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style1.xml" ContentType="application/vnd.ms-office.chartstyle+xml"/>
  <Override PartName="/xl/charts/colors1.xml" ContentType="application/vnd.ms-office.chartcolorstyle+xml"/>
  <Override PartName="/xl/charts/chart4.xml" ContentType="application/vnd.openxmlformats-officedocument.drawingml.chart+xml"/>
  <Override PartName="/xl/charts/style2.xml" ContentType="application/vnd.ms-office.chartstyle+xml"/>
  <Override PartName="/xl/charts/colors2.xml" ContentType="application/vnd.ms-office.chartcolorstyle+xml"/>
  <Override PartName="/xl/charts/chart5.xml" ContentType="application/vnd.openxmlformats-officedocument.drawingml.chart+xml"/>
  <Override PartName="/xl/charts/style3.xml" ContentType="application/vnd.ms-office.chartstyle+xml"/>
  <Override PartName="/xl/charts/colors3.xml" ContentType="application/vnd.ms-office.chartcolorstyle+xml"/>
  <Override PartName="/xl/charts/chart6.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chart8.xml" ContentType="application/vnd.openxmlformats-officedocument.drawingml.chart+xml"/>
  <Override PartName="/xl/charts/style5.xml" ContentType="application/vnd.ms-office.chartstyle+xml"/>
  <Override PartName="/xl/charts/colors5.xml" ContentType="application/vnd.ms-office.chartcolorstyle+xml"/>
  <Override PartName="/xl/charts/chart9.xml" ContentType="application/vnd.openxmlformats-officedocument.drawingml.chart+xml"/>
  <Override PartName="/xl/charts/style6.xml" ContentType="application/vnd.ms-office.chartstyle+xml"/>
  <Override PartName="/xl/charts/colors6.xml" ContentType="application/vnd.ms-office.chartcolorstyle+xml"/>
  <Override PartName="/xl/charts/chart10.xml" ContentType="application/vnd.openxmlformats-officedocument.drawingml.chart+xml"/>
  <Override PartName="/xl/charts/style7.xml" ContentType="application/vnd.ms-office.chartstyle+xml"/>
  <Override PartName="/xl/charts/colors7.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threadedComments/threadedComment3.xml" ContentType="application/vnd.ms-excel.threadedcomments+xml"/>
  <Override PartName="/xl/charts/chart11.xml" ContentType="application/vnd.openxmlformats-officedocument.drawingml.chart+xml"/>
  <Override PartName="/xl/charts/chart12.xml" ContentType="application/vnd.openxmlformats-officedocument.drawingml.chart+xml"/>
  <Override PartName="/xl/charts/style8.xml" ContentType="application/vnd.ms-office.chartstyle+xml"/>
  <Override PartName="/xl/charts/colors8.xml" ContentType="application/vnd.ms-office.chartcolorstyle+xml"/>
  <Override PartName="/xl/charts/chart13.xml" ContentType="application/vnd.openxmlformats-officedocument.drawingml.chart+xml"/>
  <Override PartName="/xl/charts/style9.xml" ContentType="application/vnd.ms-office.chartstyle+xml"/>
  <Override PartName="/xl/charts/colors9.xml" ContentType="application/vnd.ms-office.chartcolorstyle+xml"/>
  <Override PartName="/xl/charts/chart14.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threadedComments/threadedComment4.xml" ContentType="application/vnd.ms-excel.threaded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style11.xml" ContentType="application/vnd.ms-office.chartstyle+xml"/>
  <Override PartName="/xl/charts/colors11.xml" ContentType="application/vnd.ms-office.chartcolorstyle+xml"/>
  <Override PartName="/xl/charts/chart30.xml" ContentType="application/vnd.openxmlformats-officedocument.drawingml.chart+xml"/>
  <Override PartName="/xl/charts/style12.xml" ContentType="application/vnd.ms-office.chartstyle+xml"/>
  <Override PartName="/xl/charts/colors12.xml" ContentType="application/vnd.ms-office.chartcolorstyle+xml"/>
  <Override PartName="/xl/charts/chart31.xml" ContentType="application/vnd.openxmlformats-officedocument.drawingml.chart+xml"/>
  <Override PartName="/xl/comments7.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801"/>
  <workbookPr codeName="ThisWorkbook" autoCompressPictures="0" defaultThemeVersion="124226"/>
  <mc:AlternateContent xmlns:mc="http://schemas.openxmlformats.org/markup-compatibility/2006">
    <mc:Choice Requires="x15">
      <x15ac:absPath xmlns:x15ac="http://schemas.microsoft.com/office/spreadsheetml/2010/11/ac" url="C:\Models\SATIMGE\SATIM\DataSpreadsheets\"/>
    </mc:Choice>
  </mc:AlternateContent>
  <xr:revisionPtr revIDLastSave="0" documentId="13_ncr:1_{A1D8A23A-9F28-4B80-9614-1191A5FBE593}" xr6:coauthVersionLast="46" xr6:coauthVersionMax="46" xr10:uidLastSave="{00000000-0000-0000-0000-000000000000}"/>
  <bookViews>
    <workbookView xWindow="-120" yWindow="-120" windowWidth="29040" windowHeight="15840" firstSheet="7" activeTab="8" xr2:uid="{62FF4545-B45A-4099-994B-9BB0190EC182}"/>
    <workbookView xWindow="-4125" yWindow="-21720" windowWidth="38640" windowHeight="21240" firstSheet="7" activeTab="14" xr2:uid="{7ED08136-4906-4634-BFA3-EADCE83967E5}"/>
  </bookViews>
  <sheets>
    <sheet name="ChangeLog" sheetId="37" r:id="rId1"/>
    <sheet name="REGIONS" sheetId="13" r:id="rId2"/>
    <sheet name="Index_SATIM" sheetId="1" r:id="rId3"/>
    <sheet name="Index_G2E" sheetId="45" r:id="rId4"/>
    <sheet name="Index_E2G" sheetId="46" r:id="rId5"/>
    <sheet name="POP_STATSSA" sheetId="52" r:id="rId6"/>
    <sheet name="DriversGams" sheetId="49" r:id="rId7"/>
    <sheet name="Drivers" sheetId="44" r:id="rId8"/>
    <sheet name="DMD" sheetId="47" r:id="rId9"/>
    <sheet name="ITEMS_AGR" sheetId="34" r:id="rId10"/>
    <sheet name="AGR" sheetId="35" r:id="rId11"/>
    <sheet name="ITEMS_IND" sheetId="15" r:id="rId12"/>
    <sheet name="IND" sheetId="55" r:id="rId13"/>
    <sheet name="ITEMS_RES" sheetId="59" r:id="rId14"/>
    <sheet name="RES" sheetId="60" r:id="rId15"/>
    <sheet name="ITEMS_COM" sheetId="39" r:id="rId16"/>
    <sheet name="COM" sheetId="58" r:id="rId17"/>
    <sheet name="ITEMS_TRA" sheetId="27" r:id="rId18"/>
    <sheet name="FTRA" sheetId="56" r:id="rId19"/>
    <sheet name="PTRA" sheetId="57" r:id="rId20"/>
    <sheet name="OtherTRA" sheetId="29" r:id="rId21"/>
  </sheets>
  <externalReferences>
    <externalReference r:id="rId22"/>
    <externalReference r:id="rId23"/>
    <externalReference r:id="rId24"/>
    <externalReference r:id="rId25"/>
    <externalReference r:id="rId26"/>
    <externalReference r:id="rId27"/>
    <externalReference r:id="rId28"/>
  </externalReferences>
  <definedNames>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LiveUpdate" hidden="1">TRUE</definedName>
    <definedName name="_AtRisk_SimSetting_LiveUpdatePeriod" hidden="1">-1</definedName>
    <definedName name="_AtRisk_SimSetting_RandomNumberGenerator" hidden="1">7</definedName>
    <definedName name="_AtRisk_SimSetting_ReportsList" hidden="1">1832</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AGR">Index_SATIM!$C$7</definedName>
    <definedName name="COM">Index_SATIM!$C$8</definedName>
    <definedName name="com.EE.scen">Index_SATIM!$C$19</definedName>
    <definedName name="eps">Index_SATIM!$C$29</definedName>
    <definedName name="HTML1_1" hidden="1">"'[Syb96.xls]ESI in South Africa'!$A$2:$C$22"</definedName>
    <definedName name="HTML1_11" hidden="1">1</definedName>
    <definedName name="HTML1_12" hidden="1">"C:\NER\ESIFlow.htm"</definedName>
    <definedName name="HTML1_2" hidden="1">-4146</definedName>
    <definedName name="HTML1_3" hidden="1">"C:\NER\Elec\Temp.htm"</definedName>
    <definedName name="HTMLCount" hidden="1">1</definedName>
    <definedName name="IND">Index_SATIM!$C$9</definedName>
    <definedName name="MC_Switch">Index_SATIM!$C$3</definedName>
    <definedName name="Pal_Workbook_GUID" hidden="1">"JGWG76XASHMY4J7EVNW4KA69"</definedName>
    <definedName name="RES">Index_SATIM!$C$10</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5</definedName>
    <definedName name="RiskMinimizeOnStart" hidden="1">FALSE</definedName>
    <definedName name="RiskMonitorConvergence" hidden="1">FALSE</definedName>
    <definedName name="RiskMultipleCPUSupportEnabled" hidden="1">TRUE</definedName>
    <definedName name="RiskNumIterations" hidden="1">5000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TRA">Index_SATIM!$C$11</definedName>
    <definedName name="XLSIMSI" localSheetId="16" hidden="1">{"Sim",3,"Output 1","'Reworked data'!$AI$84","Output 2","'Reworked data'!$AJ$84","Output 3","'Reworked data'!$AK$84","1","2","100","0"}</definedName>
    <definedName name="XLSIMSI" localSheetId="12" hidden="1">{"Sim",3,"Output 1","'Reworked data'!$AI$84","Output 2","'Reworked data'!$AJ$84","Output 3","'Reworked data'!$AK$84","1","2","100","0"}</definedName>
    <definedName name="XLSIMSI" hidden="1">{"Sim",3,"Output 1","'Reworked data'!$AI$84","Output 2","'Reworked data'!$AJ$84","Output 3","'Reworked data'!$AK$84","1","2","100","0"}</definedName>
    <definedName name="XLSIMSIM" localSheetId="16" hidden="1">{"Sim",3,"Output 1","'Reworked data'!$AI$84","Output 2","'Reworked data'!$AJ$84","Output 3","'Reworked data'!$AK$84","1","2","100","0"}</definedName>
    <definedName name="XLSIMSIM" localSheetId="12" hidden="1">{"Sim",3,"Output 1","'Reworked data'!$AI$84","Output 2","'Reworked data'!$AJ$84","Output 3","'Reworked data'!$AK$84","1","2","100","0"}</definedName>
    <definedName name="XLSIMSIM" hidden="1">{"Sim",3,"Output 1","'Reworked data'!$AI$84","Output 2","'Reworked data'!$AJ$84","Output 3","'Reworked data'!$AK$84","1","2","100","0"}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D133" i="60" l="1"/>
  <c r="AE133" i="60"/>
  <c r="AF133" i="60"/>
  <c r="AG133" i="60"/>
  <c r="AH133" i="60"/>
  <c r="AI133" i="60"/>
  <c r="AJ133" i="60" s="1"/>
  <c r="AK133" i="60" s="1"/>
  <c r="AC133" i="60"/>
  <c r="AB54" i="55" l="1"/>
  <c r="U54" i="55"/>
  <c r="V54" i="55"/>
  <c r="W54" i="55"/>
  <c r="X54" i="55"/>
  <c r="Y54" i="55"/>
  <c r="Z54" i="55"/>
  <c r="AA54" i="55"/>
  <c r="T54" i="55"/>
  <c r="AC54" i="55" l="1"/>
  <c r="D62" i="44" l="1"/>
  <c r="E62" i="44"/>
  <c r="F62" i="44"/>
  <c r="G62" i="44"/>
  <c r="H62" i="44"/>
  <c r="I62" i="44"/>
  <c r="J62" i="44"/>
  <c r="K62" i="44"/>
  <c r="D63" i="44"/>
  <c r="D66" i="44" s="1"/>
  <c r="E63" i="44"/>
  <c r="E66" i="44" s="1"/>
  <c r="F63" i="44"/>
  <c r="F66" i="44" s="1"/>
  <c r="G63" i="44"/>
  <c r="G66" i="44" s="1"/>
  <c r="H63" i="44"/>
  <c r="H66" i="44" s="1"/>
  <c r="I63" i="44"/>
  <c r="I66" i="44" s="1"/>
  <c r="J63" i="44"/>
  <c r="J66" i="44" s="1"/>
  <c r="K63" i="44"/>
  <c r="K75" i="44" s="1"/>
  <c r="D64" i="44"/>
  <c r="D67" i="44" s="1"/>
  <c r="E64" i="44"/>
  <c r="E67" i="44" s="1"/>
  <c r="F64" i="44"/>
  <c r="F67" i="44" s="1"/>
  <c r="G64" i="44"/>
  <c r="G67" i="44" s="1"/>
  <c r="H64" i="44"/>
  <c r="H67" i="44" s="1"/>
  <c r="I64" i="44"/>
  <c r="I67" i="44" s="1"/>
  <c r="J64" i="44"/>
  <c r="J67" i="44" s="1"/>
  <c r="K64" i="44"/>
  <c r="K76" i="44" s="1"/>
  <c r="D65" i="44"/>
  <c r="D68" i="44" s="1"/>
  <c r="E65" i="44"/>
  <c r="E68" i="44" s="1"/>
  <c r="F65" i="44"/>
  <c r="F68" i="44" s="1"/>
  <c r="G65" i="44"/>
  <c r="G68" i="44" s="1"/>
  <c r="H65" i="44"/>
  <c r="H68" i="44" s="1"/>
  <c r="I65" i="44"/>
  <c r="I68" i="44" s="1"/>
  <c r="J65" i="44"/>
  <c r="J68" i="44" s="1"/>
  <c r="K65" i="44"/>
  <c r="K68" i="44" s="1"/>
  <c r="D69" i="44"/>
  <c r="D70" i="44" s="1"/>
  <c r="E69" i="44"/>
  <c r="F69" i="44"/>
  <c r="G69" i="44"/>
  <c r="H69" i="44"/>
  <c r="I69" i="44"/>
  <c r="J69" i="44"/>
  <c r="K69" i="44"/>
  <c r="M63" i="44"/>
  <c r="N63" i="44"/>
  <c r="O63" i="44"/>
  <c r="P63" i="44"/>
  <c r="Q63" i="44"/>
  <c r="R63" i="44"/>
  <c r="S63" i="44"/>
  <c r="T63" i="44"/>
  <c r="U63" i="44"/>
  <c r="V63" i="44"/>
  <c r="W63" i="44"/>
  <c r="X63" i="44"/>
  <c r="Y63" i="44"/>
  <c r="Z63" i="44"/>
  <c r="AA63" i="44"/>
  <c r="AB63" i="44"/>
  <c r="AC63" i="44"/>
  <c r="AD63" i="44"/>
  <c r="AE63" i="44"/>
  <c r="AF63" i="44"/>
  <c r="AG63" i="44"/>
  <c r="M64" i="44"/>
  <c r="N64" i="44"/>
  <c r="O64" i="44"/>
  <c r="P64" i="44"/>
  <c r="Q64" i="44"/>
  <c r="R64" i="44"/>
  <c r="S64" i="44"/>
  <c r="T64" i="44"/>
  <c r="U64" i="44"/>
  <c r="V64" i="44"/>
  <c r="W64" i="44"/>
  <c r="X64" i="44"/>
  <c r="Y64" i="44"/>
  <c r="Z64" i="44"/>
  <c r="AA64" i="44"/>
  <c r="AB64" i="44"/>
  <c r="AC64" i="44"/>
  <c r="AD64" i="44"/>
  <c r="AE64" i="44"/>
  <c r="AF64" i="44"/>
  <c r="AG64" i="44"/>
  <c r="M65" i="44"/>
  <c r="N65" i="44"/>
  <c r="O65" i="44"/>
  <c r="P65" i="44"/>
  <c r="Q65" i="44"/>
  <c r="R65" i="44"/>
  <c r="S65" i="44"/>
  <c r="T65" i="44"/>
  <c r="U65" i="44"/>
  <c r="V65" i="44"/>
  <c r="W65" i="44"/>
  <c r="X65" i="44"/>
  <c r="Y65" i="44"/>
  <c r="Z65" i="44"/>
  <c r="AA65" i="44"/>
  <c r="AB65" i="44"/>
  <c r="AC65" i="44"/>
  <c r="AD65" i="44"/>
  <c r="AE65" i="44"/>
  <c r="AF65" i="44"/>
  <c r="AG65" i="44"/>
  <c r="M69" i="44"/>
  <c r="N69" i="44"/>
  <c r="O69" i="44"/>
  <c r="P69" i="44"/>
  <c r="Q69" i="44"/>
  <c r="R69" i="44"/>
  <c r="S69" i="44"/>
  <c r="T69" i="44"/>
  <c r="U69" i="44"/>
  <c r="V69" i="44"/>
  <c r="W69" i="44"/>
  <c r="X69" i="44"/>
  <c r="Y69" i="44"/>
  <c r="Z69" i="44"/>
  <c r="AA69" i="44"/>
  <c r="AB69" i="44"/>
  <c r="AC69" i="44"/>
  <c r="AD69" i="44"/>
  <c r="AE69" i="44"/>
  <c r="AF69" i="44"/>
  <c r="AG69" i="44"/>
  <c r="L69" i="44"/>
  <c r="L64" i="44"/>
  <c r="L65" i="44"/>
  <c r="L63" i="44"/>
  <c r="D42" i="44"/>
  <c r="E42" i="44"/>
  <c r="F42" i="44"/>
  <c r="G42" i="44"/>
  <c r="H42" i="44"/>
  <c r="I42" i="44"/>
  <c r="J42" i="44"/>
  <c r="K42" i="44"/>
  <c r="D43" i="44"/>
  <c r="E43" i="44"/>
  <c r="F43" i="44"/>
  <c r="G43" i="44"/>
  <c r="H43" i="44"/>
  <c r="I43" i="44"/>
  <c r="J43" i="44"/>
  <c r="K43" i="44"/>
  <c r="D44" i="44"/>
  <c r="E44" i="44"/>
  <c r="F44" i="44"/>
  <c r="G44" i="44"/>
  <c r="H44" i="44"/>
  <c r="I44" i="44"/>
  <c r="J44" i="44"/>
  <c r="K44" i="44"/>
  <c r="D45" i="44"/>
  <c r="E45" i="44"/>
  <c r="F45" i="44"/>
  <c r="G45" i="44"/>
  <c r="H45" i="44"/>
  <c r="I45" i="44"/>
  <c r="J45" i="44"/>
  <c r="K45" i="44"/>
  <c r="D46" i="44"/>
  <c r="E46" i="44"/>
  <c r="F46" i="44"/>
  <c r="G46" i="44"/>
  <c r="H46" i="44"/>
  <c r="I46" i="44"/>
  <c r="J46" i="44"/>
  <c r="K46" i="44"/>
  <c r="D47" i="44"/>
  <c r="E47" i="44"/>
  <c r="F47" i="44"/>
  <c r="G47" i="44"/>
  <c r="H47" i="44"/>
  <c r="I47" i="44"/>
  <c r="J47" i="44"/>
  <c r="K47" i="44"/>
  <c r="D48" i="44"/>
  <c r="E48" i="44"/>
  <c r="F48" i="44"/>
  <c r="G48" i="44"/>
  <c r="H48" i="44"/>
  <c r="I48" i="44"/>
  <c r="J48" i="44"/>
  <c r="K48" i="44"/>
  <c r="D49" i="44"/>
  <c r="E49" i="44"/>
  <c r="F49" i="44"/>
  <c r="G49" i="44"/>
  <c r="H49" i="44"/>
  <c r="I49" i="44"/>
  <c r="J49" i="44"/>
  <c r="K49" i="44"/>
  <c r="D50" i="44"/>
  <c r="E50" i="44"/>
  <c r="F50" i="44"/>
  <c r="G50" i="44"/>
  <c r="H50" i="44"/>
  <c r="I50" i="44"/>
  <c r="J50" i="44"/>
  <c r="K50" i="44"/>
  <c r="D51" i="44"/>
  <c r="E51" i="44"/>
  <c r="F51" i="44"/>
  <c r="G51" i="44"/>
  <c r="H51" i="44"/>
  <c r="I51" i="44"/>
  <c r="J51" i="44"/>
  <c r="K51" i="44"/>
  <c r="D52" i="44"/>
  <c r="E52" i="44"/>
  <c r="F52" i="44"/>
  <c r="G52" i="44"/>
  <c r="H52" i="44"/>
  <c r="I52" i="44"/>
  <c r="J52" i="44"/>
  <c r="K52" i="44"/>
  <c r="D53" i="44"/>
  <c r="E53" i="44"/>
  <c r="F53" i="44"/>
  <c r="G53" i="44"/>
  <c r="H53" i="44"/>
  <c r="I53" i="44"/>
  <c r="J53" i="44"/>
  <c r="K53" i="44"/>
  <c r="D54" i="44"/>
  <c r="E54" i="44"/>
  <c r="F54" i="44"/>
  <c r="G54" i="44"/>
  <c r="H54" i="44"/>
  <c r="I54" i="44"/>
  <c r="J54" i="44"/>
  <c r="K54" i="44"/>
  <c r="D55" i="44"/>
  <c r="E55" i="44"/>
  <c r="F55" i="44"/>
  <c r="G55" i="44"/>
  <c r="H55" i="44"/>
  <c r="I55" i="44"/>
  <c r="J55" i="44"/>
  <c r="K55" i="44"/>
  <c r="D56" i="44"/>
  <c r="E56" i="44"/>
  <c r="F56" i="44"/>
  <c r="G56" i="44"/>
  <c r="H56" i="44"/>
  <c r="I56" i="44"/>
  <c r="J56" i="44"/>
  <c r="K56" i="44"/>
  <c r="D57" i="44"/>
  <c r="E57" i="44"/>
  <c r="F57" i="44"/>
  <c r="G57" i="44"/>
  <c r="H57" i="44"/>
  <c r="I57" i="44"/>
  <c r="J57" i="44"/>
  <c r="K57" i="44"/>
  <c r="D58" i="44"/>
  <c r="E58" i="44"/>
  <c r="F58" i="44"/>
  <c r="G58" i="44"/>
  <c r="H58" i="44"/>
  <c r="I58" i="44"/>
  <c r="J58" i="44"/>
  <c r="K58" i="44"/>
  <c r="D59" i="44"/>
  <c r="E59" i="44"/>
  <c r="F59" i="44"/>
  <c r="G59" i="44"/>
  <c r="H59" i="44"/>
  <c r="I59" i="44"/>
  <c r="J59" i="44"/>
  <c r="K59" i="44"/>
  <c r="AG62" i="44"/>
  <c r="AF62" i="44"/>
  <c r="AE62" i="44"/>
  <c r="AD62" i="44"/>
  <c r="AC62" i="44"/>
  <c r="AB62" i="44"/>
  <c r="AA62" i="44"/>
  <c r="Z62" i="44"/>
  <c r="Y62" i="44"/>
  <c r="X62" i="44"/>
  <c r="W62" i="44"/>
  <c r="V62" i="44"/>
  <c r="U62" i="44"/>
  <c r="T62" i="44"/>
  <c r="S62" i="44"/>
  <c r="R62" i="44"/>
  <c r="Q62" i="44"/>
  <c r="P62" i="44"/>
  <c r="O62" i="44"/>
  <c r="N62" i="44"/>
  <c r="M62" i="44"/>
  <c r="L62" i="44"/>
  <c r="AG59" i="44"/>
  <c r="AF59" i="44"/>
  <c r="AE59" i="44"/>
  <c r="AD59" i="44"/>
  <c r="AC59" i="44"/>
  <c r="AB59" i="44"/>
  <c r="AA59" i="44"/>
  <c r="Z59" i="44"/>
  <c r="Y59" i="44"/>
  <c r="X59" i="44"/>
  <c r="W59" i="44"/>
  <c r="V59" i="44"/>
  <c r="U59" i="44"/>
  <c r="T59" i="44"/>
  <c r="S59" i="44"/>
  <c r="R59" i="44"/>
  <c r="Q59" i="44"/>
  <c r="P59" i="44"/>
  <c r="O59" i="44"/>
  <c r="N59" i="44"/>
  <c r="M59" i="44"/>
  <c r="L59" i="44"/>
  <c r="AG58" i="44"/>
  <c r="AF58" i="44"/>
  <c r="AE58" i="44"/>
  <c r="AD58" i="44"/>
  <c r="AC58" i="44"/>
  <c r="AB58" i="44"/>
  <c r="AA58" i="44"/>
  <c r="Z58" i="44"/>
  <c r="Y58" i="44"/>
  <c r="X58" i="44"/>
  <c r="W58" i="44"/>
  <c r="V58" i="44"/>
  <c r="U58" i="44"/>
  <c r="T58" i="44"/>
  <c r="S58" i="44"/>
  <c r="R58" i="44"/>
  <c r="Q58" i="44"/>
  <c r="P58" i="44"/>
  <c r="O58" i="44"/>
  <c r="N58" i="44"/>
  <c r="M58" i="44"/>
  <c r="L58" i="44"/>
  <c r="AG57" i="44"/>
  <c r="AF57" i="44"/>
  <c r="AE57" i="44"/>
  <c r="AD57" i="44"/>
  <c r="AC57" i="44"/>
  <c r="AB57" i="44"/>
  <c r="AA57" i="44"/>
  <c r="Z57" i="44"/>
  <c r="Y57" i="44"/>
  <c r="X57" i="44"/>
  <c r="W57" i="44"/>
  <c r="V57" i="44"/>
  <c r="U57" i="44"/>
  <c r="T57" i="44"/>
  <c r="S57" i="44"/>
  <c r="R57" i="44"/>
  <c r="Q57" i="44"/>
  <c r="P57" i="44"/>
  <c r="O57" i="44"/>
  <c r="N57" i="44"/>
  <c r="M57" i="44"/>
  <c r="L57" i="44"/>
  <c r="AG56" i="44"/>
  <c r="AF56" i="44"/>
  <c r="AE56" i="44"/>
  <c r="AD56" i="44"/>
  <c r="AC56" i="44"/>
  <c r="AB56" i="44"/>
  <c r="AA56" i="44"/>
  <c r="Z56" i="44"/>
  <c r="Y56" i="44"/>
  <c r="X56" i="44"/>
  <c r="W56" i="44"/>
  <c r="V56" i="44"/>
  <c r="U56" i="44"/>
  <c r="T56" i="44"/>
  <c r="S56" i="44"/>
  <c r="R56" i="44"/>
  <c r="Q56" i="44"/>
  <c r="P56" i="44"/>
  <c r="O56" i="44"/>
  <c r="N56" i="44"/>
  <c r="M56" i="44"/>
  <c r="L56" i="44"/>
  <c r="AG55" i="44"/>
  <c r="AF55" i="44"/>
  <c r="AE55" i="44"/>
  <c r="AD55" i="44"/>
  <c r="AC55" i="44"/>
  <c r="AB55" i="44"/>
  <c r="AA55" i="44"/>
  <c r="Z55" i="44"/>
  <c r="Y55" i="44"/>
  <c r="X55" i="44"/>
  <c r="W55" i="44"/>
  <c r="V55" i="44"/>
  <c r="U55" i="44"/>
  <c r="T55" i="44"/>
  <c r="S55" i="44"/>
  <c r="R55" i="44"/>
  <c r="Q55" i="44"/>
  <c r="P55" i="44"/>
  <c r="O55" i="44"/>
  <c r="N55" i="44"/>
  <c r="M55" i="44"/>
  <c r="L55" i="44"/>
  <c r="AG54" i="44"/>
  <c r="AF54" i="44"/>
  <c r="AE54" i="44"/>
  <c r="AD54" i="44"/>
  <c r="AC54" i="44"/>
  <c r="AB54" i="44"/>
  <c r="AA54" i="44"/>
  <c r="Z54" i="44"/>
  <c r="Y54" i="44"/>
  <c r="X54" i="44"/>
  <c r="W54" i="44"/>
  <c r="V54" i="44"/>
  <c r="U54" i="44"/>
  <c r="T54" i="44"/>
  <c r="S54" i="44"/>
  <c r="R54" i="44"/>
  <c r="Q54" i="44"/>
  <c r="P54" i="44"/>
  <c r="O54" i="44"/>
  <c r="N54" i="44"/>
  <c r="M54" i="44"/>
  <c r="L54" i="44"/>
  <c r="AG53" i="44"/>
  <c r="AF53" i="44"/>
  <c r="AE53" i="44"/>
  <c r="AD53" i="44"/>
  <c r="AC53" i="44"/>
  <c r="AB53" i="44"/>
  <c r="AA53" i="44"/>
  <c r="Z53" i="44"/>
  <c r="Y53" i="44"/>
  <c r="X53" i="44"/>
  <c r="W53" i="44"/>
  <c r="V53" i="44"/>
  <c r="U53" i="44"/>
  <c r="T53" i="44"/>
  <c r="S53" i="44"/>
  <c r="R53" i="44"/>
  <c r="Q53" i="44"/>
  <c r="P53" i="44"/>
  <c r="O53" i="44"/>
  <c r="N53" i="44"/>
  <c r="M53" i="44"/>
  <c r="L53" i="44"/>
  <c r="AG52" i="44"/>
  <c r="AF52" i="44"/>
  <c r="AE52" i="44"/>
  <c r="AD52" i="44"/>
  <c r="AC52" i="44"/>
  <c r="AB52" i="44"/>
  <c r="AA52" i="44"/>
  <c r="Z52" i="44"/>
  <c r="Y52" i="44"/>
  <c r="X52" i="44"/>
  <c r="W52" i="44"/>
  <c r="V52" i="44"/>
  <c r="U52" i="44"/>
  <c r="T52" i="44"/>
  <c r="S52" i="44"/>
  <c r="R52" i="44"/>
  <c r="Q52" i="44"/>
  <c r="P52" i="44"/>
  <c r="O52" i="44"/>
  <c r="N52" i="44"/>
  <c r="M52" i="44"/>
  <c r="L52" i="44"/>
  <c r="AG51" i="44"/>
  <c r="AF51" i="44"/>
  <c r="AE51" i="44"/>
  <c r="AD51" i="44"/>
  <c r="AC51" i="44"/>
  <c r="AB51" i="44"/>
  <c r="AA51" i="44"/>
  <c r="Z51" i="44"/>
  <c r="Y51" i="44"/>
  <c r="X51" i="44"/>
  <c r="W51" i="44"/>
  <c r="V51" i="44"/>
  <c r="U51" i="44"/>
  <c r="T51" i="44"/>
  <c r="S51" i="44"/>
  <c r="R51" i="44"/>
  <c r="Q51" i="44"/>
  <c r="P51" i="44"/>
  <c r="O51" i="44"/>
  <c r="N51" i="44"/>
  <c r="M51" i="44"/>
  <c r="L51" i="44"/>
  <c r="AG50" i="44"/>
  <c r="AF50" i="44"/>
  <c r="AE50" i="44"/>
  <c r="AD50" i="44"/>
  <c r="AC50" i="44"/>
  <c r="AB50" i="44"/>
  <c r="AA50" i="44"/>
  <c r="Z50" i="44"/>
  <c r="Y50" i="44"/>
  <c r="X50" i="44"/>
  <c r="W50" i="44"/>
  <c r="V50" i="44"/>
  <c r="U50" i="44"/>
  <c r="T50" i="44"/>
  <c r="S50" i="44"/>
  <c r="R50" i="44"/>
  <c r="Q50" i="44"/>
  <c r="P50" i="44"/>
  <c r="O50" i="44"/>
  <c r="N50" i="44"/>
  <c r="M50" i="44"/>
  <c r="L50" i="44"/>
  <c r="AG49" i="44"/>
  <c r="AF49" i="44"/>
  <c r="AE49" i="44"/>
  <c r="AD49" i="44"/>
  <c r="AC49" i="44"/>
  <c r="AB49" i="44"/>
  <c r="AA49" i="44"/>
  <c r="Z49" i="44"/>
  <c r="Y49" i="44"/>
  <c r="X49" i="44"/>
  <c r="W49" i="44"/>
  <c r="V49" i="44"/>
  <c r="U49" i="44"/>
  <c r="T49" i="44"/>
  <c r="S49" i="44"/>
  <c r="R49" i="44"/>
  <c r="Q49" i="44"/>
  <c r="P49" i="44"/>
  <c r="O49" i="44"/>
  <c r="N49" i="44"/>
  <c r="M49" i="44"/>
  <c r="L49" i="44"/>
  <c r="AG48" i="44"/>
  <c r="AF48" i="44"/>
  <c r="AE48" i="44"/>
  <c r="AD48" i="44"/>
  <c r="AC48" i="44"/>
  <c r="AB48" i="44"/>
  <c r="AA48" i="44"/>
  <c r="Z48" i="44"/>
  <c r="Y48" i="44"/>
  <c r="X48" i="44"/>
  <c r="W48" i="44"/>
  <c r="V48" i="44"/>
  <c r="U48" i="44"/>
  <c r="T48" i="44"/>
  <c r="S48" i="44"/>
  <c r="R48" i="44"/>
  <c r="Q48" i="44"/>
  <c r="P48" i="44"/>
  <c r="O48" i="44"/>
  <c r="N48" i="44"/>
  <c r="M48" i="44"/>
  <c r="L48" i="44"/>
  <c r="AG47" i="44"/>
  <c r="AF47" i="44"/>
  <c r="AE47" i="44"/>
  <c r="AD47" i="44"/>
  <c r="AC47" i="44"/>
  <c r="AB47" i="44"/>
  <c r="AA47" i="44"/>
  <c r="Z47" i="44"/>
  <c r="Y47" i="44"/>
  <c r="X47" i="44"/>
  <c r="W47" i="44"/>
  <c r="V47" i="44"/>
  <c r="U47" i="44"/>
  <c r="T47" i="44"/>
  <c r="S47" i="44"/>
  <c r="R47" i="44"/>
  <c r="Q47" i="44"/>
  <c r="P47" i="44"/>
  <c r="O47" i="44"/>
  <c r="N47" i="44"/>
  <c r="M47" i="44"/>
  <c r="L47" i="44"/>
  <c r="AG46" i="44"/>
  <c r="AF46" i="44"/>
  <c r="AE46" i="44"/>
  <c r="AD46" i="44"/>
  <c r="AC46" i="44"/>
  <c r="AB46" i="44"/>
  <c r="AA46" i="44"/>
  <c r="Z46" i="44"/>
  <c r="Y46" i="44"/>
  <c r="X46" i="44"/>
  <c r="W46" i="44"/>
  <c r="V46" i="44"/>
  <c r="U46" i="44"/>
  <c r="T46" i="44"/>
  <c r="S46" i="44"/>
  <c r="R46" i="44"/>
  <c r="Q46" i="44"/>
  <c r="P46" i="44"/>
  <c r="O46" i="44"/>
  <c r="N46" i="44"/>
  <c r="M46" i="44"/>
  <c r="L46" i="44"/>
  <c r="AG45" i="44"/>
  <c r="AF45" i="44"/>
  <c r="AE45" i="44"/>
  <c r="AD45" i="44"/>
  <c r="AC45" i="44"/>
  <c r="AB45" i="44"/>
  <c r="AA45" i="44"/>
  <c r="Z45" i="44"/>
  <c r="Y45" i="44"/>
  <c r="X45" i="44"/>
  <c r="W45" i="44"/>
  <c r="V45" i="44"/>
  <c r="U45" i="44"/>
  <c r="T45" i="44"/>
  <c r="S45" i="44"/>
  <c r="R45" i="44"/>
  <c r="Q45" i="44"/>
  <c r="P45" i="44"/>
  <c r="O45" i="44"/>
  <c r="N45" i="44"/>
  <c r="M45" i="44"/>
  <c r="L45" i="44"/>
  <c r="AG44" i="44"/>
  <c r="AF44" i="44"/>
  <c r="AE44" i="44"/>
  <c r="AD44" i="44"/>
  <c r="AC44" i="44"/>
  <c r="AB44" i="44"/>
  <c r="AA44" i="44"/>
  <c r="Z44" i="44"/>
  <c r="Y44" i="44"/>
  <c r="X44" i="44"/>
  <c r="W44" i="44"/>
  <c r="V44" i="44"/>
  <c r="U44" i="44"/>
  <c r="T44" i="44"/>
  <c r="S44" i="44"/>
  <c r="R44" i="44"/>
  <c r="Q44" i="44"/>
  <c r="P44" i="44"/>
  <c r="O44" i="44"/>
  <c r="N44" i="44"/>
  <c r="M44" i="44"/>
  <c r="L44" i="44"/>
  <c r="AO43" i="44"/>
  <c r="AO44" i="44" s="1"/>
  <c r="AO45" i="44" s="1"/>
  <c r="AO46" i="44" s="1"/>
  <c r="AO47" i="44" s="1"/>
  <c r="AO48" i="44" s="1"/>
  <c r="AO49" i="44" s="1"/>
  <c r="AO50" i="44" s="1"/>
  <c r="AO51" i="44" s="1"/>
  <c r="AO52" i="44" s="1"/>
  <c r="AO53" i="44" s="1"/>
  <c r="AO54" i="44" s="1"/>
  <c r="AO55" i="44" s="1"/>
  <c r="AO56" i="44" s="1"/>
  <c r="AO57" i="44" s="1"/>
  <c r="AG43" i="44"/>
  <c r="AF43" i="44"/>
  <c r="AE43" i="44"/>
  <c r="AD43" i="44"/>
  <c r="AC43" i="44"/>
  <c r="AB43" i="44"/>
  <c r="AA43" i="44"/>
  <c r="Z43" i="44"/>
  <c r="Y43" i="44"/>
  <c r="X43" i="44"/>
  <c r="W43" i="44"/>
  <c r="V43" i="44"/>
  <c r="U43" i="44"/>
  <c r="T43" i="44"/>
  <c r="S43" i="44"/>
  <c r="R43" i="44"/>
  <c r="Q43" i="44"/>
  <c r="P43" i="44"/>
  <c r="O43" i="44"/>
  <c r="N43" i="44"/>
  <c r="M43" i="44"/>
  <c r="L43" i="44"/>
  <c r="B43" i="44"/>
  <c r="B44" i="44" s="1"/>
  <c r="B45" i="44" s="1"/>
  <c r="B46" i="44" s="1"/>
  <c r="B47" i="44" s="1"/>
  <c r="B48" i="44" s="1"/>
  <c r="B49" i="44" s="1"/>
  <c r="B50" i="44" s="1"/>
  <c r="B51" i="44" s="1"/>
  <c r="B52" i="44" s="1"/>
  <c r="B53" i="44" s="1"/>
  <c r="B54" i="44" s="1"/>
  <c r="B55" i="44" s="1"/>
  <c r="B56" i="44" s="1"/>
  <c r="B57" i="44" s="1"/>
  <c r="B58" i="44" s="1"/>
  <c r="B59" i="44" s="1"/>
  <c r="B60" i="44" s="1"/>
  <c r="B61" i="44" s="1"/>
  <c r="B62" i="44" s="1"/>
  <c r="B63" i="44" s="1"/>
  <c r="B64" i="44" s="1"/>
  <c r="B65" i="44" s="1"/>
  <c r="B66" i="44" s="1"/>
  <c r="B67" i="44" s="1"/>
  <c r="B68" i="44" s="1"/>
  <c r="B69" i="44" s="1"/>
  <c r="AG42" i="44"/>
  <c r="AF42" i="44"/>
  <c r="AE42" i="44"/>
  <c r="AD42" i="44"/>
  <c r="AC42" i="44"/>
  <c r="AB42" i="44"/>
  <c r="AA42" i="44"/>
  <c r="Z42" i="44"/>
  <c r="Y42" i="44"/>
  <c r="X42" i="44"/>
  <c r="W42" i="44"/>
  <c r="V42" i="44"/>
  <c r="U42" i="44"/>
  <c r="T42" i="44"/>
  <c r="S42" i="44"/>
  <c r="R42" i="44"/>
  <c r="Q42" i="44"/>
  <c r="P42" i="44"/>
  <c r="O42" i="44"/>
  <c r="N42" i="44"/>
  <c r="M42" i="44"/>
  <c r="L42" i="44"/>
  <c r="D41" i="44"/>
  <c r="E41" i="44" s="1"/>
  <c r="F41" i="44" s="1"/>
  <c r="G41" i="44" s="1"/>
  <c r="H41" i="44" s="1"/>
  <c r="I41" i="44" s="1"/>
  <c r="J41" i="44" s="1"/>
  <c r="K41" i="44" s="1"/>
  <c r="L41" i="44" s="1"/>
  <c r="M41" i="44" s="1"/>
  <c r="N41" i="44" s="1"/>
  <c r="O41" i="44" s="1"/>
  <c r="P41" i="44" s="1"/>
  <c r="Q41" i="44" s="1"/>
  <c r="R41" i="44" s="1"/>
  <c r="S41" i="44" s="1"/>
  <c r="T41" i="44" s="1"/>
  <c r="U41" i="44" s="1"/>
  <c r="V41" i="44" s="1"/>
  <c r="W41" i="44" s="1"/>
  <c r="X41" i="44" s="1"/>
  <c r="Y41" i="44" s="1"/>
  <c r="Z41" i="44" s="1"/>
  <c r="AA41" i="44" s="1"/>
  <c r="AB41" i="44" s="1"/>
  <c r="AC41" i="44" s="1"/>
  <c r="AD41" i="44" s="1"/>
  <c r="AE41" i="44" s="1"/>
  <c r="AF41" i="44" s="1"/>
  <c r="AG41" i="44" s="1"/>
  <c r="L27" i="44"/>
  <c r="L13" i="44" l="1"/>
  <c r="M13" i="44" s="1"/>
  <c r="N13" i="44" s="1"/>
  <c r="O13" i="44" s="1"/>
  <c r="P13" i="44" s="1"/>
  <c r="Q13" i="44" s="1"/>
  <c r="R13" i="44" s="1"/>
  <c r="S13" i="44" s="1"/>
  <c r="T13" i="44" s="1"/>
  <c r="U13" i="44" s="1"/>
  <c r="V13" i="44" s="1"/>
  <c r="W13" i="44" s="1"/>
  <c r="X13" i="44" s="1"/>
  <c r="Y13" i="44" s="1"/>
  <c r="Z13" i="44" s="1"/>
  <c r="AA13" i="44" s="1"/>
  <c r="AB13" i="44" s="1"/>
  <c r="AC13" i="44" s="1"/>
  <c r="AD13" i="44" s="1"/>
  <c r="AE13" i="44" s="1"/>
  <c r="AF13" i="44" s="1"/>
  <c r="AG13" i="44" s="1"/>
  <c r="L10" i="44"/>
  <c r="M10" i="44" s="1"/>
  <c r="N10" i="44" s="1"/>
  <c r="O10" i="44" s="1"/>
  <c r="P10" i="44" s="1"/>
  <c r="Q10" i="44" s="1"/>
  <c r="R10" i="44" s="1"/>
  <c r="S10" i="44" s="1"/>
  <c r="T10" i="44" s="1"/>
  <c r="U10" i="44" s="1"/>
  <c r="V10" i="44" s="1"/>
  <c r="W10" i="44" s="1"/>
  <c r="X10" i="44" s="1"/>
  <c r="Y10" i="44" s="1"/>
  <c r="Z10" i="44" s="1"/>
  <c r="AA10" i="44" s="1"/>
  <c r="AB10" i="44" s="1"/>
  <c r="AC10" i="44" s="1"/>
  <c r="AD10" i="44" s="1"/>
  <c r="AE10" i="44" s="1"/>
  <c r="AF10" i="44" s="1"/>
  <c r="AG10" i="44" s="1"/>
  <c r="L16" i="44"/>
  <c r="M16" i="44" s="1"/>
  <c r="N16" i="44" s="1"/>
  <c r="O16" i="44" s="1"/>
  <c r="P16" i="44" s="1"/>
  <c r="Q16" i="44" s="1"/>
  <c r="R16" i="44" s="1"/>
  <c r="S16" i="44" s="1"/>
  <c r="T16" i="44" s="1"/>
  <c r="U16" i="44" s="1"/>
  <c r="V16" i="44" s="1"/>
  <c r="W16" i="44" s="1"/>
  <c r="X16" i="44" s="1"/>
  <c r="Y16" i="44" s="1"/>
  <c r="Z16" i="44" s="1"/>
  <c r="AA16" i="44" s="1"/>
  <c r="AB16" i="44" s="1"/>
  <c r="AC16" i="44" s="1"/>
  <c r="AD16" i="44" s="1"/>
  <c r="AE16" i="44" s="1"/>
  <c r="AF16" i="44" s="1"/>
  <c r="AG16" i="44" s="1"/>
  <c r="L19" i="44"/>
  <c r="M19" i="44" s="1"/>
  <c r="N19" i="44" s="1"/>
  <c r="O19" i="44" s="1"/>
  <c r="P19" i="44" s="1"/>
  <c r="Q19" i="44" s="1"/>
  <c r="R19" i="44" s="1"/>
  <c r="S19" i="44" s="1"/>
  <c r="T19" i="44" s="1"/>
  <c r="U19" i="44" s="1"/>
  <c r="V19" i="44" s="1"/>
  <c r="W19" i="44" s="1"/>
  <c r="X19" i="44" s="1"/>
  <c r="Y19" i="44" s="1"/>
  <c r="Z19" i="44" s="1"/>
  <c r="AA19" i="44" s="1"/>
  <c r="AB19" i="44" s="1"/>
  <c r="AC19" i="44" s="1"/>
  <c r="AD19" i="44" s="1"/>
  <c r="AE19" i="44" s="1"/>
  <c r="AF19" i="44" s="1"/>
  <c r="AG19" i="44" s="1"/>
  <c r="L8" i="44"/>
  <c r="M8" i="44" s="1"/>
  <c r="N8" i="44" s="1"/>
  <c r="O8" i="44" s="1"/>
  <c r="P8" i="44" s="1"/>
  <c r="Q8" i="44" s="1"/>
  <c r="R8" i="44" s="1"/>
  <c r="S8" i="44" s="1"/>
  <c r="T8" i="44" s="1"/>
  <c r="U8" i="44" s="1"/>
  <c r="V8" i="44" s="1"/>
  <c r="W8" i="44" s="1"/>
  <c r="X8" i="44" s="1"/>
  <c r="Y8" i="44" s="1"/>
  <c r="Z8" i="44" s="1"/>
  <c r="AA8" i="44" s="1"/>
  <c r="AB8" i="44" s="1"/>
  <c r="AC8" i="44" s="1"/>
  <c r="AD8" i="44" s="1"/>
  <c r="AE8" i="44" s="1"/>
  <c r="AF8" i="44" s="1"/>
  <c r="AG8" i="44" s="1"/>
  <c r="L70" i="44"/>
  <c r="L11" i="44"/>
  <c r="M11" i="44" s="1"/>
  <c r="N11" i="44" s="1"/>
  <c r="O11" i="44" s="1"/>
  <c r="P11" i="44" s="1"/>
  <c r="Q11" i="44" s="1"/>
  <c r="R11" i="44" s="1"/>
  <c r="S11" i="44" s="1"/>
  <c r="T11" i="44" s="1"/>
  <c r="U11" i="44" s="1"/>
  <c r="V11" i="44" s="1"/>
  <c r="W11" i="44" s="1"/>
  <c r="X11" i="44" s="1"/>
  <c r="Y11" i="44" s="1"/>
  <c r="Z11" i="44" s="1"/>
  <c r="AA11" i="44" s="1"/>
  <c r="AB11" i="44" s="1"/>
  <c r="AC11" i="44" s="1"/>
  <c r="AD11" i="44" s="1"/>
  <c r="AE11" i="44" s="1"/>
  <c r="AF11" i="44" s="1"/>
  <c r="AG11" i="44" s="1"/>
  <c r="L22" i="44"/>
  <c r="M22" i="44" s="1"/>
  <c r="N22" i="44" s="1"/>
  <c r="O22" i="44" s="1"/>
  <c r="P22" i="44" s="1"/>
  <c r="Q22" i="44" s="1"/>
  <c r="R22" i="44" s="1"/>
  <c r="S22" i="44" s="1"/>
  <c r="T22" i="44" s="1"/>
  <c r="U22" i="44" s="1"/>
  <c r="V22" i="44" s="1"/>
  <c r="W22" i="44" s="1"/>
  <c r="X22" i="44" s="1"/>
  <c r="Y22" i="44" s="1"/>
  <c r="Z22" i="44" s="1"/>
  <c r="AA22" i="44" s="1"/>
  <c r="AB22" i="44" s="1"/>
  <c r="AC22" i="44" s="1"/>
  <c r="AD22" i="44" s="1"/>
  <c r="AE22" i="44" s="1"/>
  <c r="AF22" i="44" s="1"/>
  <c r="AG22" i="44" s="1"/>
  <c r="L14" i="44"/>
  <c r="M14" i="44" s="1"/>
  <c r="N14" i="44" s="1"/>
  <c r="O14" i="44" s="1"/>
  <c r="P14" i="44" s="1"/>
  <c r="Q14" i="44" s="1"/>
  <c r="R14" i="44" s="1"/>
  <c r="S14" i="44" s="1"/>
  <c r="T14" i="44" s="1"/>
  <c r="U14" i="44" s="1"/>
  <c r="V14" i="44" s="1"/>
  <c r="W14" i="44" s="1"/>
  <c r="X14" i="44" s="1"/>
  <c r="Y14" i="44" s="1"/>
  <c r="Z14" i="44" s="1"/>
  <c r="AA14" i="44" s="1"/>
  <c r="AB14" i="44" s="1"/>
  <c r="AC14" i="44" s="1"/>
  <c r="AD14" i="44" s="1"/>
  <c r="AE14" i="44" s="1"/>
  <c r="AF14" i="44" s="1"/>
  <c r="AG14" i="44" s="1"/>
  <c r="L17" i="44"/>
  <c r="M17" i="44" s="1"/>
  <c r="N17" i="44" s="1"/>
  <c r="O17" i="44" s="1"/>
  <c r="P17" i="44" s="1"/>
  <c r="Q17" i="44" s="1"/>
  <c r="R17" i="44" s="1"/>
  <c r="S17" i="44" s="1"/>
  <c r="T17" i="44" s="1"/>
  <c r="U17" i="44" s="1"/>
  <c r="V17" i="44" s="1"/>
  <c r="W17" i="44" s="1"/>
  <c r="X17" i="44" s="1"/>
  <c r="Y17" i="44" s="1"/>
  <c r="Z17" i="44" s="1"/>
  <c r="AA17" i="44" s="1"/>
  <c r="AB17" i="44" s="1"/>
  <c r="AC17" i="44" s="1"/>
  <c r="AD17" i="44" s="1"/>
  <c r="AE17" i="44" s="1"/>
  <c r="AF17" i="44" s="1"/>
  <c r="AG17" i="44" s="1"/>
  <c r="V70" i="44"/>
  <c r="L34" i="44"/>
  <c r="L35" i="44" s="1"/>
  <c r="L20" i="44"/>
  <c r="M20" i="44" s="1"/>
  <c r="N20" i="44" s="1"/>
  <c r="O20" i="44" s="1"/>
  <c r="P20" i="44" s="1"/>
  <c r="Q20" i="44" s="1"/>
  <c r="R20" i="44" s="1"/>
  <c r="S20" i="44" s="1"/>
  <c r="T20" i="44" s="1"/>
  <c r="U20" i="44" s="1"/>
  <c r="V20" i="44" s="1"/>
  <c r="W20" i="44" s="1"/>
  <c r="X20" i="44" s="1"/>
  <c r="Y20" i="44" s="1"/>
  <c r="Z20" i="44" s="1"/>
  <c r="AA20" i="44" s="1"/>
  <c r="AB20" i="44" s="1"/>
  <c r="AC20" i="44" s="1"/>
  <c r="AD20" i="44" s="1"/>
  <c r="AE20" i="44" s="1"/>
  <c r="AF20" i="44" s="1"/>
  <c r="AG20" i="44" s="1"/>
  <c r="L23" i="44"/>
  <c r="M23" i="44" s="1"/>
  <c r="N23" i="44" s="1"/>
  <c r="O23" i="44" s="1"/>
  <c r="P23" i="44" s="1"/>
  <c r="Q23" i="44" s="1"/>
  <c r="R23" i="44" s="1"/>
  <c r="S23" i="44" s="1"/>
  <c r="T23" i="44" s="1"/>
  <c r="U23" i="44" s="1"/>
  <c r="V23" i="44" s="1"/>
  <c r="W23" i="44" s="1"/>
  <c r="X23" i="44" s="1"/>
  <c r="Y23" i="44" s="1"/>
  <c r="Z23" i="44" s="1"/>
  <c r="AA23" i="44" s="1"/>
  <c r="AB23" i="44" s="1"/>
  <c r="AC23" i="44" s="1"/>
  <c r="AD23" i="44" s="1"/>
  <c r="AE23" i="44" s="1"/>
  <c r="AF23" i="44" s="1"/>
  <c r="AG23" i="44" s="1"/>
  <c r="AA70" i="44"/>
  <c r="AD74" i="44"/>
  <c r="R74" i="44"/>
  <c r="AA73" i="44"/>
  <c r="Z70" i="44"/>
  <c r="N70" i="44"/>
  <c r="L12" i="44"/>
  <c r="M12" i="44" s="1"/>
  <c r="N12" i="44" s="1"/>
  <c r="O12" i="44" s="1"/>
  <c r="P12" i="44" s="1"/>
  <c r="Q12" i="44" s="1"/>
  <c r="R12" i="44" s="1"/>
  <c r="S12" i="44" s="1"/>
  <c r="T12" i="44" s="1"/>
  <c r="U12" i="44" s="1"/>
  <c r="V12" i="44" s="1"/>
  <c r="W12" i="44" s="1"/>
  <c r="X12" i="44" s="1"/>
  <c r="Y12" i="44" s="1"/>
  <c r="Z12" i="44" s="1"/>
  <c r="AA12" i="44" s="1"/>
  <c r="AB12" i="44" s="1"/>
  <c r="AC12" i="44" s="1"/>
  <c r="AD12" i="44" s="1"/>
  <c r="AE12" i="44" s="1"/>
  <c r="AF12" i="44" s="1"/>
  <c r="AG12" i="44" s="1"/>
  <c r="L18" i="44"/>
  <c r="M18" i="44" s="1"/>
  <c r="N18" i="44" s="1"/>
  <c r="O18" i="44" s="1"/>
  <c r="P18" i="44" s="1"/>
  <c r="Q18" i="44" s="1"/>
  <c r="R18" i="44" s="1"/>
  <c r="S18" i="44" s="1"/>
  <c r="T18" i="44" s="1"/>
  <c r="U18" i="44" s="1"/>
  <c r="V18" i="44" s="1"/>
  <c r="W18" i="44" s="1"/>
  <c r="X18" i="44" s="1"/>
  <c r="Y18" i="44" s="1"/>
  <c r="Z18" i="44" s="1"/>
  <c r="AA18" i="44" s="1"/>
  <c r="AB18" i="44" s="1"/>
  <c r="AC18" i="44" s="1"/>
  <c r="AD18" i="44" s="1"/>
  <c r="AE18" i="44" s="1"/>
  <c r="AF18" i="44" s="1"/>
  <c r="AG18" i="44" s="1"/>
  <c r="L24" i="44"/>
  <c r="M24" i="44" s="1"/>
  <c r="N24" i="44" s="1"/>
  <c r="O24" i="44" s="1"/>
  <c r="P24" i="44" s="1"/>
  <c r="Q24" i="44" s="1"/>
  <c r="R24" i="44" s="1"/>
  <c r="S24" i="44" s="1"/>
  <c r="T24" i="44" s="1"/>
  <c r="U24" i="44" s="1"/>
  <c r="V24" i="44" s="1"/>
  <c r="W24" i="44" s="1"/>
  <c r="X24" i="44" s="1"/>
  <c r="Y24" i="44" s="1"/>
  <c r="Z24" i="44" s="1"/>
  <c r="AA24" i="44" s="1"/>
  <c r="AB24" i="44" s="1"/>
  <c r="AC24" i="44" s="1"/>
  <c r="AD24" i="44" s="1"/>
  <c r="AE24" i="44" s="1"/>
  <c r="AF24" i="44" s="1"/>
  <c r="AG24" i="44" s="1"/>
  <c r="W74" i="44"/>
  <c r="AF73" i="44"/>
  <c r="T73" i="44"/>
  <c r="AC72" i="44"/>
  <c r="Q72" i="44"/>
  <c r="Y70" i="44"/>
  <c r="L66" i="44"/>
  <c r="L9" i="44"/>
  <c r="M9" i="44" s="1"/>
  <c r="N9" i="44" s="1"/>
  <c r="O9" i="44" s="1"/>
  <c r="P9" i="44" s="1"/>
  <c r="Q9" i="44" s="1"/>
  <c r="R9" i="44" s="1"/>
  <c r="S9" i="44" s="1"/>
  <c r="T9" i="44" s="1"/>
  <c r="U9" i="44" s="1"/>
  <c r="V9" i="44" s="1"/>
  <c r="W9" i="44" s="1"/>
  <c r="X9" i="44" s="1"/>
  <c r="Y9" i="44" s="1"/>
  <c r="Z9" i="44" s="1"/>
  <c r="AA9" i="44" s="1"/>
  <c r="AB9" i="44" s="1"/>
  <c r="AC9" i="44" s="1"/>
  <c r="AD9" i="44" s="1"/>
  <c r="AE9" i="44" s="1"/>
  <c r="AF9" i="44" s="1"/>
  <c r="AG9" i="44" s="1"/>
  <c r="L15" i="44"/>
  <c r="M15" i="44" s="1"/>
  <c r="N15" i="44" s="1"/>
  <c r="O15" i="44" s="1"/>
  <c r="P15" i="44" s="1"/>
  <c r="Q15" i="44" s="1"/>
  <c r="R15" i="44" s="1"/>
  <c r="S15" i="44" s="1"/>
  <c r="T15" i="44" s="1"/>
  <c r="U15" i="44" s="1"/>
  <c r="V15" i="44" s="1"/>
  <c r="W15" i="44" s="1"/>
  <c r="X15" i="44" s="1"/>
  <c r="Y15" i="44" s="1"/>
  <c r="Z15" i="44" s="1"/>
  <c r="AA15" i="44" s="1"/>
  <c r="AB15" i="44" s="1"/>
  <c r="AC15" i="44" s="1"/>
  <c r="AD15" i="44" s="1"/>
  <c r="AE15" i="44" s="1"/>
  <c r="AF15" i="44" s="1"/>
  <c r="AG15" i="44" s="1"/>
  <c r="L21" i="44"/>
  <c r="M21" i="44" s="1"/>
  <c r="N21" i="44" s="1"/>
  <c r="O21" i="44" s="1"/>
  <c r="P21" i="44" s="1"/>
  <c r="Q21" i="44" s="1"/>
  <c r="R21" i="44" s="1"/>
  <c r="S21" i="44" s="1"/>
  <c r="T21" i="44" s="1"/>
  <c r="U21" i="44" s="1"/>
  <c r="V21" i="44" s="1"/>
  <c r="W21" i="44" s="1"/>
  <c r="X21" i="44" s="1"/>
  <c r="Y21" i="44" s="1"/>
  <c r="Z21" i="44" s="1"/>
  <c r="AA21" i="44" s="1"/>
  <c r="AB21" i="44" s="1"/>
  <c r="AC21" i="44" s="1"/>
  <c r="AD21" i="44" s="1"/>
  <c r="AE21" i="44" s="1"/>
  <c r="AF21" i="44" s="1"/>
  <c r="AG21" i="44" s="1"/>
  <c r="AE60" i="44"/>
  <c r="K66" i="44"/>
  <c r="O73" i="44"/>
  <c r="X72" i="44"/>
  <c r="K70" i="44"/>
  <c r="S60" i="44"/>
  <c r="U60" i="44"/>
  <c r="AG60" i="44"/>
  <c r="L60" i="44"/>
  <c r="X60" i="44"/>
  <c r="AC70" i="44"/>
  <c r="Q70" i="44"/>
  <c r="Z74" i="44"/>
  <c r="N74" i="44"/>
  <c r="W73" i="44"/>
  <c r="AF72" i="44"/>
  <c r="T72" i="44"/>
  <c r="X74" i="44"/>
  <c r="AG73" i="44"/>
  <c r="U73" i="44"/>
  <c r="AD72" i="44"/>
  <c r="R72" i="44"/>
  <c r="AB74" i="44"/>
  <c r="P74" i="44"/>
  <c r="Y73" i="44"/>
  <c r="M73" i="44"/>
  <c r="V72" i="44"/>
  <c r="H60" i="44"/>
  <c r="F70" i="44"/>
  <c r="L72" i="44"/>
  <c r="L75" i="44" s="1"/>
  <c r="AG74" i="44"/>
  <c r="U74" i="44"/>
  <c r="AD73" i="44"/>
  <c r="R73" i="44"/>
  <c r="AA72" i="44"/>
  <c r="O72" i="44"/>
  <c r="K67" i="44"/>
  <c r="AE74" i="44"/>
  <c r="S74" i="44"/>
  <c r="AB73" i="44"/>
  <c r="P73" i="44"/>
  <c r="Y72" i="44"/>
  <c r="M72" i="44"/>
  <c r="K60" i="44"/>
  <c r="J60" i="44"/>
  <c r="AC74" i="44"/>
  <c r="Q74" i="44"/>
  <c r="Z73" i="44"/>
  <c r="N73" i="44"/>
  <c r="W72" i="44"/>
  <c r="J70" i="44"/>
  <c r="I60" i="44"/>
  <c r="AE70" i="44"/>
  <c r="S70" i="44"/>
  <c r="AA74" i="44"/>
  <c r="O74" i="44"/>
  <c r="X73" i="44"/>
  <c r="AG72" i="44"/>
  <c r="U72" i="44"/>
  <c r="H70" i="44"/>
  <c r="G60" i="44"/>
  <c r="F60" i="44"/>
  <c r="K77" i="44"/>
  <c r="K30" i="44" s="1"/>
  <c r="K33" i="44" s="1"/>
  <c r="E60" i="44"/>
  <c r="D60" i="44"/>
  <c r="V74" i="44"/>
  <c r="AE73" i="44"/>
  <c r="S73" i="44"/>
  <c r="AB72" i="44"/>
  <c r="P72" i="44"/>
  <c r="L67" i="44"/>
  <c r="W70" i="44"/>
  <c r="AF74" i="44"/>
  <c r="T74" i="44"/>
  <c r="AC73" i="44"/>
  <c r="Q73" i="44"/>
  <c r="Z72" i="44"/>
  <c r="N72" i="44"/>
  <c r="W60" i="44"/>
  <c r="L68" i="44"/>
  <c r="I70" i="44"/>
  <c r="Y74" i="44"/>
  <c r="M74" i="44"/>
  <c r="V73" i="44"/>
  <c r="AE72" i="44"/>
  <c r="S72" i="44"/>
  <c r="G70" i="44"/>
  <c r="Y60" i="44"/>
  <c r="O60" i="44"/>
  <c r="AA60" i="44"/>
  <c r="AG70" i="44"/>
  <c r="U70" i="44"/>
  <c r="E70" i="44"/>
  <c r="L74" i="44"/>
  <c r="Z60" i="44"/>
  <c r="P60" i="44"/>
  <c r="AB60" i="44"/>
  <c r="L73" i="44"/>
  <c r="L76" i="44" s="1"/>
  <c r="N60" i="44"/>
  <c r="Q60" i="44"/>
  <c r="AC60" i="44"/>
  <c r="X70" i="44"/>
  <c r="L7" i="44"/>
  <c r="M7" i="44" s="1"/>
  <c r="N7" i="44" s="1"/>
  <c r="O7" i="44" s="1"/>
  <c r="P7" i="44" s="1"/>
  <c r="Q7" i="44" s="1"/>
  <c r="R7" i="44" s="1"/>
  <c r="S7" i="44" s="1"/>
  <c r="T7" i="44" s="1"/>
  <c r="U7" i="44" s="1"/>
  <c r="V7" i="44" s="1"/>
  <c r="W7" i="44" s="1"/>
  <c r="X7" i="44" s="1"/>
  <c r="Y7" i="44" s="1"/>
  <c r="Z7" i="44" s="1"/>
  <c r="AA7" i="44" s="1"/>
  <c r="AB7" i="44" s="1"/>
  <c r="AC7" i="44" s="1"/>
  <c r="AD7" i="44" s="1"/>
  <c r="AE7" i="44" s="1"/>
  <c r="AF7" i="44" s="1"/>
  <c r="AG7" i="44" s="1"/>
  <c r="AD60" i="44"/>
  <c r="R60" i="44"/>
  <c r="T60" i="44"/>
  <c r="AF60" i="44"/>
  <c r="O70" i="44"/>
  <c r="M60" i="44"/>
  <c r="V60" i="44"/>
  <c r="R70" i="44"/>
  <c r="AF70" i="44"/>
  <c r="AD70" i="44"/>
  <c r="T70" i="44"/>
  <c r="M70" i="44"/>
  <c r="P70" i="44"/>
  <c r="AB70" i="44"/>
  <c r="F39" i="29" a="1"/>
  <c r="F39" i="29" s="1"/>
  <c r="M34" i="44" l="1"/>
  <c r="N34" i="44" s="1"/>
  <c r="AE61" i="44"/>
  <c r="N61" i="44"/>
  <c r="AF61" i="44"/>
  <c r="T61" i="44"/>
  <c r="S61" i="44"/>
  <c r="M75" i="44"/>
  <c r="N75" i="44" s="1"/>
  <c r="V61" i="44"/>
  <c r="L25" i="44"/>
  <c r="L26" i="44" s="1"/>
  <c r="X61" i="44"/>
  <c r="U61" i="44"/>
  <c r="L77" i="44"/>
  <c r="L28" i="44" s="1"/>
  <c r="L31" i="44" s="1"/>
  <c r="M61" i="44"/>
  <c r="L61" i="44"/>
  <c r="O61" i="44"/>
  <c r="AA61" i="44"/>
  <c r="Y61" i="44"/>
  <c r="AD61" i="44"/>
  <c r="R61" i="44"/>
  <c r="Z61" i="44"/>
  <c r="M76" i="44"/>
  <c r="W61" i="44"/>
  <c r="Q61" i="44"/>
  <c r="AC61" i="44"/>
  <c r="AG61" i="44"/>
  <c r="AB61" i="44"/>
  <c r="P61" i="44"/>
  <c r="E78" i="60"/>
  <c r="M35" i="44" l="1"/>
  <c r="M77" i="44"/>
  <c r="N77" i="44" s="1"/>
  <c r="L30" i="44"/>
  <c r="L33" i="44" s="1"/>
  <c r="L29" i="44"/>
  <c r="L32" i="44" s="1"/>
  <c r="N35" i="44"/>
  <c r="O34" i="44"/>
  <c r="O75" i="44"/>
  <c r="N76" i="44"/>
  <c r="H39" i="29" a="1"/>
  <c r="H39" i="29" s="1"/>
  <c r="G5" i="55" a="1"/>
  <c r="G5" i="55" s="1"/>
  <c r="F5" i="55" a="1"/>
  <c r="F5" i="55" s="1"/>
  <c r="E5" i="55" a="1"/>
  <c r="E5" i="55" s="1"/>
  <c r="D5" i="55" a="1"/>
  <c r="D5" i="55" s="1"/>
  <c r="O88" i="58" a="1"/>
  <c r="O88" i="58" s="1"/>
  <c r="O87" i="58" a="1"/>
  <c r="O87" i="58" s="1"/>
  <c r="O77" i="58" a="1"/>
  <c r="O77" i="58" s="1"/>
  <c r="O76" i="58" a="1"/>
  <c r="O76" i="58" s="1"/>
  <c r="H6" i="58" a="1"/>
  <c r="H6" i="58" s="1"/>
  <c r="G6" i="58" a="1"/>
  <c r="G6" i="58" s="1"/>
  <c r="F6" i="58" a="1"/>
  <c r="F6" i="58" s="1"/>
  <c r="E6" i="58" a="1"/>
  <c r="E6" i="58" s="1"/>
  <c r="D6" i="58" a="1"/>
  <c r="D6" i="58" s="1"/>
  <c r="I5" i="60" a="1"/>
  <c r="I5" i="60" s="1"/>
  <c r="H5" i="60" a="1"/>
  <c r="H5" i="60" s="1"/>
  <c r="G5" i="60" a="1"/>
  <c r="G5" i="60" s="1"/>
  <c r="F5" i="60" a="1"/>
  <c r="F5" i="60" s="1"/>
  <c r="E5" i="60" a="1"/>
  <c r="E5" i="60" s="1"/>
  <c r="J172" i="56" a="1"/>
  <c r="J172" i="56" s="1"/>
  <c r="I172" i="56" a="1"/>
  <c r="I172" i="56" s="1"/>
  <c r="G172" i="56"/>
  <c r="G172" i="56" a="1"/>
  <c r="F172" i="56" a="1"/>
  <c r="F172" i="56" s="1"/>
  <c r="E172" i="56" a="1"/>
  <c r="E172" i="56" s="1"/>
  <c r="D172" i="56" a="1"/>
  <c r="D172" i="56" s="1"/>
  <c r="K129" i="56"/>
  <c r="K129" i="56" a="1"/>
  <c r="J129" i="56" a="1"/>
  <c r="J129" i="56" s="1"/>
  <c r="I129" i="56" a="1"/>
  <c r="I129" i="56" s="1"/>
  <c r="H129" i="56" a="1"/>
  <c r="H129" i="56" s="1"/>
  <c r="G129" i="56" a="1"/>
  <c r="G129" i="56" s="1"/>
  <c r="F129" i="56"/>
  <c r="F129" i="56" a="1"/>
  <c r="E129" i="56" a="1"/>
  <c r="E129" i="56" s="1"/>
  <c r="D129" i="56" a="1"/>
  <c r="D129" i="56" s="1"/>
  <c r="C129" i="56" a="1"/>
  <c r="C129" i="56" s="1"/>
  <c r="L108" i="56"/>
  <c r="L108" i="56" a="1"/>
  <c r="K108" i="56"/>
  <c r="K108" i="56" a="1"/>
  <c r="J108" i="56" a="1"/>
  <c r="J108" i="56" s="1"/>
  <c r="I108" i="56" a="1"/>
  <c r="I108" i="56" s="1"/>
  <c r="H108" i="56"/>
  <c r="H108" i="56" a="1"/>
  <c r="G108" i="56" a="1"/>
  <c r="G108" i="56" s="1"/>
  <c r="F108" i="56"/>
  <c r="F108" i="56" a="1"/>
  <c r="E108" i="56"/>
  <c r="E108" i="56" a="1"/>
  <c r="D108" i="56" a="1"/>
  <c r="D108" i="56" s="1"/>
  <c r="J229" i="57" a="1"/>
  <c r="J229" i="57" s="1"/>
  <c r="I229" i="57"/>
  <c r="I229" i="57" a="1"/>
  <c r="H229" i="57" a="1"/>
  <c r="H229" i="57" s="1"/>
  <c r="G229" i="57" a="1"/>
  <c r="G229" i="57" s="1"/>
  <c r="F229" i="57" a="1"/>
  <c r="F229" i="57" s="1"/>
  <c r="E229" i="57" a="1"/>
  <c r="E229" i="57" s="1"/>
  <c r="D229" i="57"/>
  <c r="D229" i="57" a="1"/>
  <c r="K211" i="57" a="1"/>
  <c r="K211" i="57" s="1"/>
  <c r="J211" i="57"/>
  <c r="J211" i="57" a="1"/>
  <c r="I211" i="57" a="1"/>
  <c r="I211" i="57" s="1"/>
  <c r="H211" i="57"/>
  <c r="H211" i="57" a="1"/>
  <c r="G211" i="57"/>
  <c r="G211" i="57" a="1"/>
  <c r="F211" i="57"/>
  <c r="F211" i="57" a="1"/>
  <c r="E211" i="57" a="1"/>
  <c r="E211" i="57" s="1"/>
  <c r="D211" i="57"/>
  <c r="D211" i="57" a="1"/>
  <c r="C211" i="57" a="1"/>
  <c r="C211" i="57" s="1"/>
  <c r="L197" i="57"/>
  <c r="L197" i="57" a="1"/>
  <c r="K197" i="57" a="1"/>
  <c r="K197" i="57" s="1"/>
  <c r="J197" i="57" a="1"/>
  <c r="J197" i="57" s="1"/>
  <c r="I197" i="57"/>
  <c r="I197" i="57" a="1"/>
  <c r="H197" i="57"/>
  <c r="H197" i="57" a="1"/>
  <c r="G197" i="57"/>
  <c r="G197" i="57" a="1"/>
  <c r="F197" i="57"/>
  <c r="F197" i="57" a="1"/>
  <c r="E197" i="57" a="1"/>
  <c r="E197" i="57" s="1"/>
  <c r="D197" i="57"/>
  <c r="D197" i="57" a="1"/>
  <c r="J39" i="29" a="1"/>
  <c r="J39" i="29" s="1"/>
  <c r="I39" i="29" a="1"/>
  <c r="I39" i="29" s="1"/>
  <c r="G39" i="29" a="1"/>
  <c r="G39" i="29" s="1"/>
  <c r="E39" i="29" a="1"/>
  <c r="E39" i="29" s="1"/>
  <c r="D39" i="29" a="1"/>
  <c r="D39" i="29" s="1"/>
  <c r="C39" i="29" a="1"/>
  <c r="C39" i="29" s="1"/>
  <c r="P68" i="55" a="1"/>
  <c r="M29" i="44" l="1"/>
  <c r="M30" i="44"/>
  <c r="M28" i="44"/>
  <c r="O76" i="44"/>
  <c r="N29" i="44"/>
  <c r="N28" i="44"/>
  <c r="P75" i="44"/>
  <c r="O77" i="44"/>
  <c r="N30" i="44"/>
  <c r="O35" i="44"/>
  <c r="P34" i="44"/>
  <c r="P68" i="55"/>
  <c r="L57" i="58"/>
  <c r="H69" i="58" s="1"/>
  <c r="P77" i="44" l="1"/>
  <c r="O30" i="44"/>
  <c r="Q34" i="44"/>
  <c r="P35" i="44"/>
  <c r="O28" i="44"/>
  <c r="Q75" i="44"/>
  <c r="P76" i="44"/>
  <c r="O29" i="44"/>
  <c r="E43" i="57"/>
  <c r="O43" i="57" s="1"/>
  <c r="P43" i="57" s="1"/>
  <c r="Q76" i="44" l="1"/>
  <c r="P29" i="44"/>
  <c r="P28" i="44"/>
  <c r="R75" i="44"/>
  <c r="R34" i="44"/>
  <c r="Q35" i="44"/>
  <c r="Q77" i="44"/>
  <c r="P30" i="44"/>
  <c r="P134" i="57"/>
  <c r="R77" i="44" l="1"/>
  <c r="Q30" i="44"/>
  <c r="S34" i="44"/>
  <c r="R35" i="44"/>
  <c r="Q28" i="44"/>
  <c r="S75" i="44"/>
  <c r="R76" i="44"/>
  <c r="Q29" i="44"/>
  <c r="S76" i="44" l="1"/>
  <c r="R29" i="44"/>
  <c r="T34" i="44"/>
  <c r="S35" i="44"/>
  <c r="R28" i="44"/>
  <c r="T75" i="44"/>
  <c r="S77" i="44"/>
  <c r="R30" i="44"/>
  <c r="AN21" i="60"/>
  <c r="AM21" i="60"/>
  <c r="AL21" i="60"/>
  <c r="AK21" i="60"/>
  <c r="AJ21" i="60"/>
  <c r="AI21" i="60"/>
  <c r="AH21" i="60"/>
  <c r="AG21" i="60"/>
  <c r="AF21" i="60"/>
  <c r="AE21" i="60"/>
  <c r="AD21" i="60"/>
  <c r="AC21" i="60"/>
  <c r="AB21" i="60"/>
  <c r="AA21" i="60"/>
  <c r="Z21" i="60"/>
  <c r="Y21" i="60"/>
  <c r="X21" i="60"/>
  <c r="W21" i="60"/>
  <c r="V21" i="60"/>
  <c r="U21" i="60"/>
  <c r="T21" i="60"/>
  <c r="S21" i="60"/>
  <c r="R21" i="60"/>
  <c r="Q21" i="60"/>
  <c r="P21" i="60"/>
  <c r="O21" i="60"/>
  <c r="N21" i="60"/>
  <c r="M21" i="60"/>
  <c r="L21" i="60"/>
  <c r="K21" i="60"/>
  <c r="J21" i="60"/>
  <c r="A9" i="59"/>
  <c r="T77" i="44" l="1"/>
  <c r="S30" i="44"/>
  <c r="S28" i="44"/>
  <c r="U75" i="44"/>
  <c r="U34" i="44"/>
  <c r="T35" i="44"/>
  <c r="T76" i="44"/>
  <c r="S29" i="44"/>
  <c r="L22" i="60" a="1"/>
  <c r="L22" i="60" s="1"/>
  <c r="L23" i="60" a="1"/>
  <c r="L23" i="60" s="1"/>
  <c r="L24" i="60" a="1"/>
  <c r="L24" i="60" s="1"/>
  <c r="L45" i="60" a="1"/>
  <c r="L45" i="60" s="1"/>
  <c r="M23" i="60" a="1"/>
  <c r="M23" i="60" s="1"/>
  <c r="M24" i="60" a="1"/>
  <c r="M24" i="60" s="1"/>
  <c r="M22" i="60" a="1"/>
  <c r="M22" i="60" s="1"/>
  <c r="M45" i="60" a="1"/>
  <c r="M45" i="60" s="1"/>
  <c r="N22" i="60" a="1"/>
  <c r="N22" i="60" s="1"/>
  <c r="N23" i="60" a="1"/>
  <c r="N23" i="60" s="1"/>
  <c r="N24" i="60" a="1"/>
  <c r="N24" i="60" s="1"/>
  <c r="N45" i="60" a="1"/>
  <c r="N45" i="60" s="1"/>
  <c r="O22" i="60" a="1"/>
  <c r="O22" i="60" s="1"/>
  <c r="O23" i="60" a="1"/>
  <c r="O23" i="60" s="1"/>
  <c r="O24" i="60" a="1"/>
  <c r="O24" i="60" s="1"/>
  <c r="O45" i="60" a="1"/>
  <c r="O45" i="60" s="1"/>
  <c r="P24" i="60" a="1"/>
  <c r="P24" i="60" s="1"/>
  <c r="P45" i="60" a="1"/>
  <c r="P45" i="60" s="1"/>
  <c r="P23" i="60" a="1"/>
  <c r="P23" i="60" s="1"/>
  <c r="P22" i="60" a="1"/>
  <c r="P22" i="60" s="1"/>
  <c r="Q24" i="60" a="1"/>
  <c r="Q24" i="60" s="1"/>
  <c r="Q45" i="60" a="1"/>
  <c r="Q45" i="60" s="1"/>
  <c r="Q22" i="60" a="1"/>
  <c r="Q22" i="60" s="1"/>
  <c r="Q23" i="60" a="1"/>
  <c r="Q23" i="60" s="1"/>
  <c r="J45" i="60" a="1"/>
  <c r="J45" i="60" s="1"/>
  <c r="J22" i="60" a="1"/>
  <c r="J22" i="60" s="1"/>
  <c r="J23" i="60" a="1"/>
  <c r="J23" i="60" s="1"/>
  <c r="J24" i="60" a="1"/>
  <c r="J24" i="60" s="1"/>
  <c r="R24" i="60" a="1"/>
  <c r="R24" i="60" s="1"/>
  <c r="R45" i="60" a="1"/>
  <c r="R45" i="60" s="1"/>
  <c r="R22" i="60" a="1"/>
  <c r="R22" i="60" s="1"/>
  <c r="R23" i="60" a="1"/>
  <c r="R23" i="60" s="1"/>
  <c r="K23" i="60" a="1"/>
  <c r="K23" i="60" s="1"/>
  <c r="K22" i="60" a="1"/>
  <c r="K22" i="60" s="1"/>
  <c r="K45" i="60" a="1"/>
  <c r="K45" i="60" s="1"/>
  <c r="K24" i="60" a="1"/>
  <c r="K24" i="60" s="1"/>
  <c r="A1" i="60"/>
  <c r="J4" i="60"/>
  <c r="K4" i="60"/>
  <c r="L4" i="60"/>
  <c r="M4" i="60"/>
  <c r="N4" i="60"/>
  <c r="O4" i="60"/>
  <c r="P4" i="60"/>
  <c r="Q4" i="60"/>
  <c r="R4" i="60"/>
  <c r="S4" i="60"/>
  <c r="T4" i="60"/>
  <c r="U4" i="60"/>
  <c r="V4" i="60"/>
  <c r="W4" i="60"/>
  <c r="X4" i="60"/>
  <c r="Y4" i="60"/>
  <c r="Z4" i="60"/>
  <c r="AA4" i="60"/>
  <c r="AB4" i="60"/>
  <c r="AC4" i="60"/>
  <c r="AD4" i="60"/>
  <c r="AE4" i="60"/>
  <c r="AF4" i="60"/>
  <c r="AG4" i="60"/>
  <c r="AH4" i="60"/>
  <c r="AI4" i="60"/>
  <c r="AJ4" i="60"/>
  <c r="AK4" i="60"/>
  <c r="AL4" i="60"/>
  <c r="AM4" i="60"/>
  <c r="AN4" i="60"/>
  <c r="AO4" i="60"/>
  <c r="AP4" i="60"/>
  <c r="J5" i="60"/>
  <c r="K5" i="60"/>
  <c r="L5" i="60"/>
  <c r="M5" i="60"/>
  <c r="N5" i="60"/>
  <c r="O5" i="60"/>
  <c r="P5" i="60"/>
  <c r="Q5" i="60"/>
  <c r="R5" i="60"/>
  <c r="S5" i="60"/>
  <c r="T5" i="60"/>
  <c r="U5" i="60"/>
  <c r="V5" i="60"/>
  <c r="W5" i="60"/>
  <c r="X5" i="60"/>
  <c r="Y5" i="60"/>
  <c r="Z5" i="60"/>
  <c r="AA5" i="60"/>
  <c r="AB5" i="60"/>
  <c r="AC5" i="60"/>
  <c r="AD5" i="60"/>
  <c r="AE5" i="60"/>
  <c r="AF5" i="60"/>
  <c r="AG5" i="60"/>
  <c r="AH5" i="60"/>
  <c r="AI5" i="60"/>
  <c r="AJ5" i="60"/>
  <c r="AK5" i="60"/>
  <c r="AL5" i="60"/>
  <c r="AM5" i="60"/>
  <c r="AN5" i="60"/>
  <c r="AO5" i="60"/>
  <c r="AP5" i="60"/>
  <c r="AN6" i="60"/>
  <c r="AO6" i="60"/>
  <c r="AP6" i="60"/>
  <c r="AP7" i="60" s="1"/>
  <c r="E33" i="60"/>
  <c r="F33" i="60"/>
  <c r="G33" i="60"/>
  <c r="H33" i="60"/>
  <c r="I33" i="60"/>
  <c r="B34" i="60"/>
  <c r="C34" i="60"/>
  <c r="C98" i="60" s="1"/>
  <c r="B35" i="60"/>
  <c r="C35" i="60"/>
  <c r="B36" i="60"/>
  <c r="C36" i="60"/>
  <c r="B37" i="60"/>
  <c r="C37" i="60"/>
  <c r="B38" i="60"/>
  <c r="C38" i="60"/>
  <c r="E43" i="60"/>
  <c r="F43" i="60"/>
  <c r="G43" i="60"/>
  <c r="H43" i="60"/>
  <c r="I43" i="60"/>
  <c r="M19" i="57" s="1"/>
  <c r="E44" i="60"/>
  <c r="F44" i="60"/>
  <c r="I20" i="57" s="1"/>
  <c r="G44" i="60"/>
  <c r="K20" i="57" s="1"/>
  <c r="H44" i="60"/>
  <c r="L20" i="57" s="1"/>
  <c r="I44" i="60"/>
  <c r="M20" i="57" s="1"/>
  <c r="B54" i="60"/>
  <c r="C54" i="60"/>
  <c r="C63" i="60" s="1"/>
  <c r="B55" i="60"/>
  <c r="C55" i="60"/>
  <c r="C64" i="60" s="1"/>
  <c r="B56" i="60"/>
  <c r="C56" i="60"/>
  <c r="C65" i="60" s="1"/>
  <c r="B57" i="60"/>
  <c r="C57" i="60"/>
  <c r="C66" i="60" s="1"/>
  <c r="B58" i="60"/>
  <c r="C58" i="60"/>
  <c r="C67" i="60" s="1"/>
  <c r="B59" i="60"/>
  <c r="C59" i="60"/>
  <c r="C68" i="60" s="1"/>
  <c r="B60" i="60"/>
  <c r="C60" i="60"/>
  <c r="C69" i="60" s="1"/>
  <c r="C62" i="60"/>
  <c r="K73" i="60"/>
  <c r="K80" i="60" s="1"/>
  <c r="E75" i="60"/>
  <c r="AB75" i="60" s="1"/>
  <c r="D92" i="60"/>
  <c r="D93" i="60"/>
  <c r="J97" i="60"/>
  <c r="L97" i="60"/>
  <c r="A99" i="60"/>
  <c r="B99" i="60"/>
  <c r="C99" i="60"/>
  <c r="D99" i="60"/>
  <c r="E99" i="60"/>
  <c r="F99" i="60"/>
  <c r="G99" i="60"/>
  <c r="H99" i="60"/>
  <c r="I99" i="60"/>
  <c r="A100" i="60"/>
  <c r="B100" i="60"/>
  <c r="C100" i="60"/>
  <c r="D100" i="60"/>
  <c r="A101" i="60"/>
  <c r="B101" i="60"/>
  <c r="C101" i="60"/>
  <c r="D101" i="60"/>
  <c r="A102" i="60"/>
  <c r="B102" i="60"/>
  <c r="C102" i="60"/>
  <c r="D102" i="60"/>
  <c r="A103" i="60"/>
  <c r="B103" i="60"/>
  <c r="C103" i="60"/>
  <c r="D103" i="60"/>
  <c r="A104" i="60"/>
  <c r="B104" i="60"/>
  <c r="C104" i="60"/>
  <c r="D104" i="60"/>
  <c r="A105" i="60"/>
  <c r="B105" i="60"/>
  <c r="C105" i="60"/>
  <c r="D105" i="60"/>
  <c r="A106" i="60"/>
  <c r="B106" i="60"/>
  <c r="C106" i="60"/>
  <c r="D106" i="60"/>
  <c r="A107" i="60"/>
  <c r="B107" i="60"/>
  <c r="C107" i="60"/>
  <c r="D107" i="60"/>
  <c r="A108" i="60"/>
  <c r="B108" i="60"/>
  <c r="C108" i="60"/>
  <c r="D108" i="60"/>
  <c r="A109" i="60"/>
  <c r="B109" i="60"/>
  <c r="C109" i="60"/>
  <c r="D109" i="60"/>
  <c r="A110" i="60"/>
  <c r="B110" i="60"/>
  <c r="C110" i="60"/>
  <c r="D110" i="60"/>
  <c r="A111" i="60"/>
  <c r="B111" i="60"/>
  <c r="C111" i="60"/>
  <c r="D111" i="60"/>
  <c r="A112" i="60"/>
  <c r="B112" i="60"/>
  <c r="C112" i="60"/>
  <c r="D112" i="60"/>
  <c r="A113" i="60"/>
  <c r="B113" i="60"/>
  <c r="C113" i="60"/>
  <c r="D113" i="60"/>
  <c r="D82" i="60" s="1"/>
  <c r="D90" i="60" s="1"/>
  <c r="A114" i="60"/>
  <c r="B114" i="60"/>
  <c r="C114" i="60"/>
  <c r="D114" i="60"/>
  <c r="A115" i="60"/>
  <c r="B115" i="60"/>
  <c r="C115" i="60"/>
  <c r="D115" i="60"/>
  <c r="A116" i="60"/>
  <c r="B116" i="60"/>
  <c r="C116" i="60"/>
  <c r="D116" i="60"/>
  <c r="A117" i="60"/>
  <c r="B117" i="60"/>
  <c r="C117" i="60"/>
  <c r="D117" i="60"/>
  <c r="A118" i="60"/>
  <c r="B118" i="60"/>
  <c r="C118" i="60"/>
  <c r="D118" i="60"/>
  <c r="A119" i="60"/>
  <c r="B119" i="60"/>
  <c r="C119" i="60"/>
  <c r="D119" i="60"/>
  <c r="A120" i="60"/>
  <c r="B120" i="60"/>
  <c r="C120" i="60"/>
  <c r="D120" i="60"/>
  <c r="A121" i="60"/>
  <c r="B121" i="60"/>
  <c r="C121" i="60"/>
  <c r="D121" i="60"/>
  <c r="A122" i="60"/>
  <c r="B122" i="60"/>
  <c r="C122" i="60"/>
  <c r="D122" i="60"/>
  <c r="A123" i="60"/>
  <c r="B123" i="60"/>
  <c r="C123" i="60"/>
  <c r="D123" i="60"/>
  <c r="D83" i="60" s="1"/>
  <c r="D91" i="60" s="1"/>
  <c r="A124" i="60"/>
  <c r="B124" i="60"/>
  <c r="C124" i="60"/>
  <c r="D124" i="60"/>
  <c r="B125" i="60"/>
  <c r="C125" i="60"/>
  <c r="D125" i="60"/>
  <c r="A126" i="60"/>
  <c r="B126" i="60"/>
  <c r="C126" i="60"/>
  <c r="D126" i="60"/>
  <c r="A127" i="60"/>
  <c r="B127" i="60"/>
  <c r="C127" i="60"/>
  <c r="D127" i="60"/>
  <c r="A128" i="60"/>
  <c r="B128" i="60"/>
  <c r="C128" i="60"/>
  <c r="D128" i="60"/>
  <c r="B9" i="59"/>
  <c r="C9" i="59"/>
  <c r="D9" i="59"/>
  <c r="E9" i="59"/>
  <c r="F9" i="59"/>
  <c r="A10" i="59"/>
  <c r="B10" i="59"/>
  <c r="C10" i="59"/>
  <c r="D10" i="59"/>
  <c r="E10" i="59"/>
  <c r="F10" i="59"/>
  <c r="A11" i="59"/>
  <c r="B11" i="59"/>
  <c r="C11" i="59"/>
  <c r="D11" i="59"/>
  <c r="E11" i="59"/>
  <c r="F11" i="59"/>
  <c r="A12" i="59"/>
  <c r="B12" i="59"/>
  <c r="C12" i="59"/>
  <c r="D12" i="59"/>
  <c r="E12" i="59"/>
  <c r="F12" i="59"/>
  <c r="A13" i="59"/>
  <c r="B13" i="59"/>
  <c r="C13" i="59"/>
  <c r="D13" i="59"/>
  <c r="E13" i="59"/>
  <c r="F13" i="59"/>
  <c r="A14" i="59"/>
  <c r="B14" i="59"/>
  <c r="C14" i="59"/>
  <c r="D14" i="59"/>
  <c r="E14" i="59"/>
  <c r="F14" i="59"/>
  <c r="A15" i="59"/>
  <c r="B15" i="59"/>
  <c r="C15" i="59"/>
  <c r="D15" i="59"/>
  <c r="E15" i="59"/>
  <c r="F15" i="59"/>
  <c r="A16" i="59"/>
  <c r="B16" i="59"/>
  <c r="C16" i="59"/>
  <c r="D16" i="59"/>
  <c r="E16" i="59"/>
  <c r="F16" i="59"/>
  <c r="A17" i="59"/>
  <c r="B17" i="59"/>
  <c r="C17" i="59"/>
  <c r="D17" i="59"/>
  <c r="E17" i="59"/>
  <c r="F17" i="59"/>
  <c r="A18" i="59"/>
  <c r="B18" i="59"/>
  <c r="C18" i="59"/>
  <c r="D18" i="59"/>
  <c r="E18" i="59"/>
  <c r="F18" i="59"/>
  <c r="A19" i="59"/>
  <c r="B19" i="59"/>
  <c r="C19" i="59"/>
  <c r="D19" i="59"/>
  <c r="E19" i="59"/>
  <c r="F19" i="59"/>
  <c r="A20" i="59"/>
  <c r="B20" i="59"/>
  <c r="C20" i="59"/>
  <c r="D20" i="59"/>
  <c r="E20" i="59"/>
  <c r="F20" i="59"/>
  <c r="A21" i="59"/>
  <c r="B21" i="59"/>
  <c r="C21" i="59"/>
  <c r="D21" i="59"/>
  <c r="E21" i="59"/>
  <c r="F21" i="59"/>
  <c r="A22" i="59"/>
  <c r="B22" i="59"/>
  <c r="C22" i="59"/>
  <c r="D22" i="59"/>
  <c r="E22" i="59"/>
  <c r="F22" i="59"/>
  <c r="A23" i="59"/>
  <c r="B23" i="59"/>
  <c r="C23" i="59"/>
  <c r="D23" i="59"/>
  <c r="E23" i="59"/>
  <c r="F23" i="59"/>
  <c r="A24" i="59"/>
  <c r="B24" i="59"/>
  <c r="C24" i="59"/>
  <c r="D24" i="59"/>
  <c r="E24" i="59"/>
  <c r="F24" i="59"/>
  <c r="A25" i="59"/>
  <c r="B25" i="59"/>
  <c r="C25" i="59"/>
  <c r="D25" i="59"/>
  <c r="E25" i="59"/>
  <c r="F25" i="59"/>
  <c r="A26" i="59"/>
  <c r="B26" i="59"/>
  <c r="C26" i="59"/>
  <c r="D26" i="59"/>
  <c r="E26" i="59"/>
  <c r="F26" i="59"/>
  <c r="A27" i="59"/>
  <c r="B27" i="59"/>
  <c r="C27" i="59"/>
  <c r="D27" i="59"/>
  <c r="E27" i="59"/>
  <c r="F27" i="59"/>
  <c r="A28" i="59"/>
  <c r="B28" i="59"/>
  <c r="C28" i="59"/>
  <c r="D28" i="59"/>
  <c r="E28" i="59"/>
  <c r="F28" i="59"/>
  <c r="A29" i="59"/>
  <c r="B29" i="59"/>
  <c r="C29" i="59"/>
  <c r="D29" i="59"/>
  <c r="E29" i="59"/>
  <c r="F29" i="59"/>
  <c r="A30" i="59"/>
  <c r="B30" i="59"/>
  <c r="C30" i="59"/>
  <c r="D30" i="59"/>
  <c r="E30" i="59"/>
  <c r="F30" i="59"/>
  <c r="A31" i="59"/>
  <c r="B31" i="59"/>
  <c r="C31" i="59"/>
  <c r="D31" i="59"/>
  <c r="E31" i="59"/>
  <c r="F31" i="59"/>
  <c r="A32" i="59"/>
  <c r="B32" i="59"/>
  <c r="C32" i="59"/>
  <c r="D32" i="59"/>
  <c r="E32" i="59"/>
  <c r="F32" i="59"/>
  <c r="A33" i="59"/>
  <c r="B33" i="59"/>
  <c r="C33" i="59"/>
  <c r="D33" i="59"/>
  <c r="E33" i="59"/>
  <c r="F33" i="59"/>
  <c r="A34" i="59"/>
  <c r="B34" i="59"/>
  <c r="C34" i="59"/>
  <c r="D34" i="59"/>
  <c r="E34" i="59"/>
  <c r="F34" i="59"/>
  <c r="A35" i="59"/>
  <c r="B35" i="59"/>
  <c r="C35" i="59"/>
  <c r="D35" i="59"/>
  <c r="E35" i="59"/>
  <c r="F35" i="59"/>
  <c r="A36" i="59"/>
  <c r="B36" i="59"/>
  <c r="C36" i="59"/>
  <c r="D36" i="59"/>
  <c r="E36" i="59"/>
  <c r="F36" i="59"/>
  <c r="A37" i="59"/>
  <c r="B37" i="59"/>
  <c r="C37" i="59"/>
  <c r="D37" i="59"/>
  <c r="E37" i="59"/>
  <c r="F37" i="59"/>
  <c r="A38" i="59"/>
  <c r="B38" i="59"/>
  <c r="C38" i="59"/>
  <c r="D38" i="59"/>
  <c r="E38" i="59"/>
  <c r="F38" i="59"/>
  <c r="A39" i="59"/>
  <c r="B39" i="59"/>
  <c r="C39" i="59"/>
  <c r="D39" i="59"/>
  <c r="E39" i="59"/>
  <c r="F39" i="59"/>
  <c r="A40" i="59"/>
  <c r="B40" i="59"/>
  <c r="C40" i="59"/>
  <c r="D40" i="59"/>
  <c r="E40" i="59"/>
  <c r="F40" i="59"/>
  <c r="A41" i="59"/>
  <c r="B41" i="59"/>
  <c r="C41" i="59"/>
  <c r="D41" i="59"/>
  <c r="E41" i="59"/>
  <c r="F41" i="59"/>
  <c r="A42" i="59"/>
  <c r="B42" i="59"/>
  <c r="C42" i="59"/>
  <c r="D42" i="59"/>
  <c r="E42" i="59"/>
  <c r="F42" i="59"/>
  <c r="A43" i="59"/>
  <c r="B43" i="59"/>
  <c r="C43" i="59"/>
  <c r="D43" i="59"/>
  <c r="E43" i="59"/>
  <c r="F43" i="59"/>
  <c r="A44" i="59"/>
  <c r="B44" i="59"/>
  <c r="C44" i="59"/>
  <c r="D44" i="59"/>
  <c r="E44" i="59"/>
  <c r="F44" i="59"/>
  <c r="A45" i="59"/>
  <c r="B45" i="59"/>
  <c r="C45" i="59"/>
  <c r="D45" i="59"/>
  <c r="E45" i="59"/>
  <c r="F45" i="59"/>
  <c r="A46" i="59"/>
  <c r="B46" i="59"/>
  <c r="C46" i="59"/>
  <c r="D46" i="59"/>
  <c r="E46" i="59"/>
  <c r="F46" i="59"/>
  <c r="A47" i="59"/>
  <c r="B47" i="59"/>
  <c r="C47" i="59"/>
  <c r="D47" i="59"/>
  <c r="E47" i="59"/>
  <c r="F47" i="59"/>
  <c r="A48" i="59"/>
  <c r="B48" i="59"/>
  <c r="C48" i="59"/>
  <c r="D48" i="59"/>
  <c r="E48" i="59"/>
  <c r="F48" i="59"/>
  <c r="A49" i="59"/>
  <c r="B49" i="59"/>
  <c r="C49" i="59"/>
  <c r="D49" i="59"/>
  <c r="E49" i="59"/>
  <c r="F49" i="59"/>
  <c r="A50" i="59"/>
  <c r="B50" i="59"/>
  <c r="C50" i="59"/>
  <c r="D50" i="59"/>
  <c r="E50" i="59"/>
  <c r="F50" i="59"/>
  <c r="A51" i="59"/>
  <c r="B51" i="59"/>
  <c r="C51" i="59"/>
  <c r="D51" i="59"/>
  <c r="E51" i="59"/>
  <c r="F51" i="59"/>
  <c r="U76" i="44" l="1"/>
  <c r="T29" i="44"/>
  <c r="V34" i="44"/>
  <c r="U35" i="44"/>
  <c r="T28" i="44"/>
  <c r="AA75" i="60"/>
  <c r="T75" i="60"/>
  <c r="U75" i="60"/>
  <c r="Y75" i="60"/>
  <c r="V75" i="60"/>
  <c r="W75" i="60"/>
  <c r="S75" i="60"/>
  <c r="X75" i="60"/>
  <c r="Z75" i="60"/>
  <c r="V75" i="44"/>
  <c r="U77" i="44"/>
  <c r="T30" i="44"/>
  <c r="I49" i="60"/>
  <c r="F49" i="60"/>
  <c r="E20" i="57"/>
  <c r="F20" i="57"/>
  <c r="F19" i="57"/>
  <c r="E19" i="57"/>
  <c r="H48" i="60"/>
  <c r="L19" i="57"/>
  <c r="G48" i="60"/>
  <c r="K19" i="57"/>
  <c r="F48" i="60"/>
  <c r="I19" i="57"/>
  <c r="G49" i="60"/>
  <c r="H49" i="60"/>
  <c r="AN7" i="60"/>
  <c r="AO7" i="60"/>
  <c r="BB115" i="60"/>
  <c r="BB117" i="60"/>
  <c r="BB116" i="60"/>
  <c r="BB110" i="60"/>
  <c r="BB105" i="60"/>
  <c r="BB101" i="60"/>
  <c r="BB128" i="60"/>
  <c r="BB124" i="60"/>
  <c r="BB120" i="60"/>
  <c r="BB108" i="60"/>
  <c r="BB127" i="60"/>
  <c r="BB125" i="60"/>
  <c r="BB121" i="60"/>
  <c r="BB119" i="60"/>
  <c r="BB107" i="60"/>
  <c r="BB99" i="60"/>
  <c r="BB126" i="60"/>
  <c r="BB112" i="60"/>
  <c r="BB106" i="60"/>
  <c r="BB113" i="60"/>
  <c r="BB104" i="60"/>
  <c r="E82" i="47"/>
  <c r="E70" i="47"/>
  <c r="E69" i="47"/>
  <c r="E80" i="47"/>
  <c r="E68" i="47"/>
  <c r="E79" i="47"/>
  <c r="E67" i="47"/>
  <c r="E78" i="47"/>
  <c r="E66" i="47"/>
  <c r="E62" i="47"/>
  <c r="E77" i="47"/>
  <c r="E65" i="47"/>
  <c r="E76" i="47"/>
  <c r="E64" i="47"/>
  <c r="E74" i="47"/>
  <c r="E71" i="47"/>
  <c r="E75" i="47"/>
  <c r="E63" i="47"/>
  <c r="E73" i="47"/>
  <c r="E72" i="47"/>
  <c r="BB122" i="60"/>
  <c r="BB118" i="60"/>
  <c r="BB109" i="60"/>
  <c r="BB114" i="60"/>
  <c r="BB103" i="60"/>
  <c r="AO21" i="60"/>
  <c r="AP21" i="60" s="1"/>
  <c r="E76" i="60"/>
  <c r="AB76" i="60" s="1"/>
  <c r="L6" i="60"/>
  <c r="L7" i="60" s="1"/>
  <c r="Y6" i="60"/>
  <c r="Y7" i="60" s="1"/>
  <c r="AL6" i="60"/>
  <c r="AL7" i="60" s="1"/>
  <c r="M6" i="60"/>
  <c r="M7" i="60" s="1"/>
  <c r="Z6" i="60"/>
  <c r="AM6" i="60"/>
  <c r="O6" i="60"/>
  <c r="AB6" i="60"/>
  <c r="AB7" i="60" s="1"/>
  <c r="AG6" i="60"/>
  <c r="AG7" i="60" s="1"/>
  <c r="U6" i="60"/>
  <c r="U7" i="60" s="1"/>
  <c r="AI6" i="60"/>
  <c r="AI7" i="60" s="1"/>
  <c r="P6" i="60"/>
  <c r="Q6" i="60"/>
  <c r="Q7" i="60" s="1"/>
  <c r="R6" i="60"/>
  <c r="R7" i="60" s="1"/>
  <c r="S6" i="60"/>
  <c r="S7" i="60" s="1"/>
  <c r="W6" i="60"/>
  <c r="W7" i="60" s="1"/>
  <c r="AE6" i="60"/>
  <c r="AE7" i="60" s="1"/>
  <c r="AF6" i="60"/>
  <c r="AF7" i="60" s="1"/>
  <c r="AJ6" i="60"/>
  <c r="AJ7" i="60" s="1"/>
  <c r="AC6" i="60"/>
  <c r="AC7" i="60" s="1"/>
  <c r="AD6" i="60"/>
  <c r="AD7" i="60" s="1"/>
  <c r="BB123" i="60"/>
  <c r="O7" i="60"/>
  <c r="M97" i="60"/>
  <c r="L73" i="60"/>
  <c r="L80" i="60" s="1"/>
  <c r="J73" i="60"/>
  <c r="J80" i="60" s="1"/>
  <c r="J96" i="60"/>
  <c r="AM7" i="60"/>
  <c r="Z7" i="60"/>
  <c r="D81" i="60"/>
  <c r="D89" i="60" s="1"/>
  <c r="BB102" i="60"/>
  <c r="I48" i="60"/>
  <c r="P7" i="60"/>
  <c r="AC75" i="60"/>
  <c r="AD75" i="60" s="1"/>
  <c r="AE75" i="60" s="1"/>
  <c r="AF75" i="60" s="1"/>
  <c r="AG75" i="60" s="1"/>
  <c r="AH75" i="60" s="1"/>
  <c r="AI75" i="60" s="1"/>
  <c r="AJ75" i="60" s="1"/>
  <c r="AK75" i="60" s="1"/>
  <c r="AL75" i="60" s="1"/>
  <c r="AM75" i="60" s="1"/>
  <c r="AN75" i="60" s="1"/>
  <c r="AO75" i="60" s="1"/>
  <c r="AP75" i="60" s="1"/>
  <c r="J6" i="60"/>
  <c r="J7" i="60" s="1"/>
  <c r="V6" i="60"/>
  <c r="V7" i="60" s="1"/>
  <c r="AH6" i="60"/>
  <c r="AH7" i="60" s="1"/>
  <c r="T6" i="60"/>
  <c r="T7" i="60" s="1"/>
  <c r="AA6" i="60"/>
  <c r="AA7" i="60" s="1"/>
  <c r="N6" i="60"/>
  <c r="N7" i="60" s="1"/>
  <c r="AK6" i="60"/>
  <c r="AK7" i="60" s="1"/>
  <c r="X6" i="60"/>
  <c r="X7" i="60" s="1"/>
  <c r="K6" i="60"/>
  <c r="K7" i="60" s="1"/>
  <c r="U28" i="44" l="1"/>
  <c r="V77" i="44"/>
  <c r="U30" i="44"/>
  <c r="W75" i="44"/>
  <c r="V35" i="44"/>
  <c r="W34" i="44"/>
  <c r="AC76" i="60"/>
  <c r="AD76" i="60" s="1"/>
  <c r="AE76" i="60" s="1"/>
  <c r="AF76" i="60" s="1"/>
  <c r="AG76" i="60" s="1"/>
  <c r="AH76" i="60" s="1"/>
  <c r="AI76" i="60" s="1"/>
  <c r="AJ76" i="60" s="1"/>
  <c r="AK76" i="60" s="1"/>
  <c r="AL76" i="60" s="1"/>
  <c r="AM76" i="60" s="1"/>
  <c r="AN76" i="60" s="1"/>
  <c r="AO76" i="60" s="1"/>
  <c r="AP76" i="60" s="1"/>
  <c r="T76" i="60"/>
  <c r="U76" i="60"/>
  <c r="V76" i="60"/>
  <c r="W76" i="60"/>
  <c r="X76" i="60"/>
  <c r="Y76" i="60"/>
  <c r="Z76" i="60"/>
  <c r="AA76" i="60"/>
  <c r="S76" i="60"/>
  <c r="V76" i="44"/>
  <c r="U29" i="44"/>
  <c r="R30" i="60" a="1"/>
  <c r="R30" i="60" s="1"/>
  <c r="S30" i="60" s="1" a="1"/>
  <c r="S30" i="60" s="1"/>
  <c r="T30" i="60" s="1" a="1"/>
  <c r="T30" i="60" s="1"/>
  <c r="U30" i="60" s="1" a="1"/>
  <c r="U30" i="60" s="1"/>
  <c r="V30" i="60" s="1" a="1"/>
  <c r="V30" i="60" s="1"/>
  <c r="W30" i="60" s="1" a="1"/>
  <c r="W30" i="60" s="1"/>
  <c r="X30" i="60" s="1" a="1"/>
  <c r="X30" i="60" s="1"/>
  <c r="Y30" i="60" s="1" a="1"/>
  <c r="Y30" i="60" s="1"/>
  <c r="Z30" i="60" s="1" a="1"/>
  <c r="Z30" i="60" s="1"/>
  <c r="AA30" i="60" s="1" a="1"/>
  <c r="AA30" i="60" s="1"/>
  <c r="R29" i="60" a="1"/>
  <c r="R29" i="60" s="1"/>
  <c r="S29" i="60" s="1" a="1"/>
  <c r="S29" i="60" s="1"/>
  <c r="T29" i="60" s="1" a="1"/>
  <c r="T29" i="60" s="1"/>
  <c r="U29" i="60" s="1" a="1"/>
  <c r="U29" i="60" s="1"/>
  <c r="V29" i="60" s="1" a="1"/>
  <c r="V29" i="60" s="1"/>
  <c r="W29" i="60" s="1" a="1"/>
  <c r="W29" i="60" s="1"/>
  <c r="X29" i="60" s="1" a="1"/>
  <c r="X29" i="60" s="1"/>
  <c r="Y29" i="60" s="1" a="1"/>
  <c r="Y29" i="60" s="1"/>
  <c r="Z29" i="60" s="1" a="1"/>
  <c r="Z29" i="60" s="1"/>
  <c r="AA29" i="60" s="1" a="1"/>
  <c r="AA29" i="60" s="1"/>
  <c r="AB30" i="60" a="1"/>
  <c r="AB30" i="60" s="1"/>
  <c r="AC30" i="60" s="1" a="1"/>
  <c r="AC30" i="60" s="1"/>
  <c r="AD30" i="60" s="1" a="1"/>
  <c r="AD30" i="60" s="1"/>
  <c r="AE30" i="60" s="1" a="1"/>
  <c r="AE30" i="60" s="1"/>
  <c r="AF30" i="60" s="1" a="1"/>
  <c r="AF30" i="60" s="1"/>
  <c r="AG30" i="60" s="1" a="1"/>
  <c r="AG30" i="60" s="1"/>
  <c r="AH30" i="60" s="1" a="1"/>
  <c r="AH30" i="60" s="1"/>
  <c r="AI30" i="60" s="1" a="1"/>
  <c r="AI30" i="60" s="1"/>
  <c r="AJ30" i="60" s="1" a="1"/>
  <c r="AJ30" i="60" s="1"/>
  <c r="AK30" i="60" s="1" a="1"/>
  <c r="AK30" i="60" s="1"/>
  <c r="AB29" i="60" a="1"/>
  <c r="AB29" i="60" s="1"/>
  <c r="AC29" i="60" s="1" a="1"/>
  <c r="AC29" i="60" s="1"/>
  <c r="AD29" i="60" s="1" a="1"/>
  <c r="AD29" i="60" s="1"/>
  <c r="AE29" i="60" s="1" a="1"/>
  <c r="AE29" i="60" s="1"/>
  <c r="AF29" i="60" s="1" a="1"/>
  <c r="AF29" i="60" s="1"/>
  <c r="AG29" i="60" s="1" a="1"/>
  <c r="AG29" i="60" s="1"/>
  <c r="AH29" i="60" s="1" a="1"/>
  <c r="AH29" i="60" s="1"/>
  <c r="AI29" i="60" s="1" a="1"/>
  <c r="AI29" i="60" s="1"/>
  <c r="AJ29" i="60" s="1" a="1"/>
  <c r="AJ29" i="60" s="1"/>
  <c r="AK29" i="60" s="1" a="1"/>
  <c r="AK29" i="60" s="1"/>
  <c r="AL29" i="60" a="1"/>
  <c r="AL29" i="60" s="1"/>
  <c r="AM29" i="60" s="1"/>
  <c r="AL30" i="60" a="1"/>
  <c r="AL30" i="60" s="1"/>
  <c r="J30" i="60" a="1"/>
  <c r="J30" i="60" s="1"/>
  <c r="K30" i="60" s="1" a="1"/>
  <c r="K30" i="60" s="1"/>
  <c r="L30" i="60" s="1" a="1"/>
  <c r="L30" i="60" s="1"/>
  <c r="M30" i="60" s="1" a="1"/>
  <c r="M30" i="60" s="1"/>
  <c r="N30" i="60" s="1" a="1"/>
  <c r="N30" i="60" s="1"/>
  <c r="O30" i="60" s="1" a="1"/>
  <c r="O30" i="60" s="1"/>
  <c r="P30" i="60" s="1" a="1"/>
  <c r="P30" i="60" s="1"/>
  <c r="Q30" i="60" s="1" a="1"/>
  <c r="Q30" i="60" s="1"/>
  <c r="J29" i="60" a="1"/>
  <c r="J29" i="60" s="1"/>
  <c r="K29" i="60" s="1" a="1"/>
  <c r="K29" i="60" s="1"/>
  <c r="L29" i="60" s="1" a="1"/>
  <c r="L29" i="60" s="1"/>
  <c r="M29" i="60" s="1" a="1"/>
  <c r="M29" i="60" s="1"/>
  <c r="N29" i="60" s="1" a="1"/>
  <c r="N29" i="60" s="1"/>
  <c r="O29" i="60" s="1" a="1"/>
  <c r="O29" i="60" s="1"/>
  <c r="P29" i="60" s="1" a="1"/>
  <c r="P29" i="60" s="1"/>
  <c r="Q29" i="60" s="1" a="1"/>
  <c r="Q29" i="60" s="1"/>
  <c r="AN29" i="60" a="1"/>
  <c r="AN29" i="60" s="1"/>
  <c r="AO29" i="60" s="1" a="1"/>
  <c r="AO29" i="60" s="1"/>
  <c r="AP29" i="60" s="1" a="1"/>
  <c r="AP29" i="60" s="1"/>
  <c r="AN30" i="60" a="1"/>
  <c r="AN30" i="60" s="1"/>
  <c r="AO30" i="60" s="1" a="1"/>
  <c r="AO30" i="60" s="1"/>
  <c r="AP30" i="60" s="1" a="1"/>
  <c r="AP30" i="60" s="1"/>
  <c r="M73" i="60"/>
  <c r="M80" i="60" s="1"/>
  <c r="N97" i="60"/>
  <c r="X34" i="44" l="1"/>
  <c r="W35" i="44"/>
  <c r="W77" i="44"/>
  <c r="V30" i="44"/>
  <c r="W76" i="44"/>
  <c r="V29" i="44"/>
  <c r="V28" i="44"/>
  <c r="X75" i="44"/>
  <c r="AM30" i="60"/>
  <c r="N73" i="60"/>
  <c r="N80" i="60" s="1"/>
  <c r="O97" i="60"/>
  <c r="W28" i="44" l="1"/>
  <c r="Y34" i="44"/>
  <c r="X35" i="44"/>
  <c r="Y75" i="44"/>
  <c r="X76" i="44"/>
  <c r="W29" i="44"/>
  <c r="X77" i="44"/>
  <c r="W30" i="44"/>
  <c r="P97" i="60"/>
  <c r="O73" i="60"/>
  <c r="O80" i="60" s="1"/>
  <c r="X28" i="44" l="1"/>
  <c r="Z75" i="44"/>
  <c r="Y77" i="44"/>
  <c r="X30" i="44"/>
  <c r="Y76" i="44"/>
  <c r="X29" i="44"/>
  <c r="Y35" i="44"/>
  <c r="Z34" i="44"/>
  <c r="P73" i="60"/>
  <c r="P80" i="60" s="1"/>
  <c r="Q97" i="60"/>
  <c r="Y28" i="44" l="1"/>
  <c r="Z77" i="44"/>
  <c r="Y30" i="44"/>
  <c r="Z35" i="44"/>
  <c r="AA34" i="44"/>
  <c r="Z76" i="44"/>
  <c r="Y29" i="44"/>
  <c r="AA75" i="44"/>
  <c r="Q73" i="60"/>
  <c r="Q80" i="60" s="1"/>
  <c r="R97" i="60"/>
  <c r="Z28" i="44" l="1"/>
  <c r="AA76" i="44"/>
  <c r="Z29" i="44"/>
  <c r="AB34" i="44"/>
  <c r="AA35" i="44"/>
  <c r="AB75" i="44"/>
  <c r="AA77" i="44"/>
  <c r="Z30" i="44"/>
  <c r="R73" i="60"/>
  <c r="R80" i="60" s="1"/>
  <c r="S97" i="60"/>
  <c r="AA28" i="44" l="1"/>
  <c r="AC75" i="44"/>
  <c r="AC34" i="44"/>
  <c r="AB35" i="44"/>
  <c r="AB77" i="44"/>
  <c r="AA30" i="44"/>
  <c r="AB76" i="44"/>
  <c r="AA29" i="44"/>
  <c r="S73" i="60"/>
  <c r="S80" i="60" s="1"/>
  <c r="T97" i="60"/>
  <c r="AB28" i="44" l="1"/>
  <c r="AC77" i="44"/>
  <c r="AB30" i="44"/>
  <c r="AC76" i="44"/>
  <c r="AB29" i="44"/>
  <c r="AC35" i="44"/>
  <c r="AD34" i="44"/>
  <c r="AD75" i="44"/>
  <c r="T73" i="60"/>
  <c r="T80" i="60" s="1"/>
  <c r="U97" i="60"/>
  <c r="AC28" i="44" l="1"/>
  <c r="AD35" i="44"/>
  <c r="AE34" i="44"/>
  <c r="AE75" i="44"/>
  <c r="AD76" i="44"/>
  <c r="AC29" i="44"/>
  <c r="AD77" i="44"/>
  <c r="AC30" i="44"/>
  <c r="U73" i="60"/>
  <c r="U80" i="60" s="1"/>
  <c r="V97" i="60"/>
  <c r="AE77" i="44" l="1"/>
  <c r="AD30" i="44"/>
  <c r="AE76" i="44"/>
  <c r="AD29" i="44"/>
  <c r="AE35" i="44"/>
  <c r="AF34" i="44"/>
  <c r="AD28" i="44"/>
  <c r="AF75" i="44"/>
  <c r="V73" i="60"/>
  <c r="V80" i="60" s="1"/>
  <c r="W97" i="60"/>
  <c r="AE28" i="44" l="1"/>
  <c r="AG75" i="44"/>
  <c r="AF35" i="44"/>
  <c r="AG34" i="44"/>
  <c r="AG35" i="44" s="1"/>
  <c r="AF76" i="44"/>
  <c r="AE29" i="44"/>
  <c r="AF77" i="44"/>
  <c r="AE30" i="44"/>
  <c r="W73" i="60"/>
  <c r="W80" i="60" s="1"/>
  <c r="X97" i="60"/>
  <c r="AF28" i="44" l="1"/>
  <c r="AG77" i="44"/>
  <c r="AF30" i="44"/>
  <c r="AG76" i="44"/>
  <c r="AF29" i="44"/>
  <c r="X73" i="60"/>
  <c r="X80" i="60" s="1"/>
  <c r="Y97" i="60"/>
  <c r="AG29" i="44" l="1"/>
  <c r="AG28" i="44"/>
  <c r="AG30" i="44"/>
  <c r="Z97" i="60"/>
  <c r="Y73" i="60"/>
  <c r="Y80" i="60" s="1"/>
  <c r="Z73" i="60" l="1"/>
  <c r="Z80" i="60" s="1"/>
  <c r="AA97" i="60"/>
  <c r="AA73" i="60" l="1"/>
  <c r="AA80" i="60" s="1"/>
  <c r="AB97" i="60"/>
  <c r="AC97" i="60" l="1"/>
  <c r="AB73" i="60"/>
  <c r="AB80" i="60" l="1"/>
  <c r="AC73" i="60"/>
  <c r="AC80" i="60" s="1"/>
  <c r="AD97" i="60"/>
  <c r="AD73" i="60" l="1"/>
  <c r="AD80" i="60" s="1"/>
  <c r="AE97" i="60"/>
  <c r="AE73" i="60" l="1"/>
  <c r="AE80" i="60" s="1"/>
  <c r="AF97" i="60"/>
  <c r="AF73" i="60" l="1"/>
  <c r="AF80" i="60" s="1"/>
  <c r="AG97" i="60"/>
  <c r="AG73" i="60" l="1"/>
  <c r="AG80" i="60" s="1"/>
  <c r="AH97" i="60"/>
  <c r="AH73" i="60" l="1"/>
  <c r="AH80" i="60" s="1"/>
  <c r="AI97" i="60"/>
  <c r="AI73" i="60" l="1"/>
  <c r="AI80" i="60" s="1"/>
  <c r="AJ97" i="60"/>
  <c r="AJ73" i="60" l="1"/>
  <c r="AJ80" i="60" s="1"/>
  <c r="AK97" i="60"/>
  <c r="AK73" i="60" l="1"/>
  <c r="AK80" i="60" s="1"/>
  <c r="AL97" i="60"/>
  <c r="AL73" i="60" l="1"/>
  <c r="AL80" i="60" s="1"/>
  <c r="AM97" i="60"/>
  <c r="AM73" i="60" l="1"/>
  <c r="AM80" i="60" s="1"/>
  <c r="AN97" i="60"/>
  <c r="AN73" i="60" l="1"/>
  <c r="AN80" i="60" s="1"/>
  <c r="AO97" i="60"/>
  <c r="AP97" i="60" l="1"/>
  <c r="AP73" i="60" s="1"/>
  <c r="AP80" i="60" s="1"/>
  <c r="AO73" i="60"/>
  <c r="AO80" i="60" s="1"/>
  <c r="T75" i="56" l="1"/>
  <c r="T91" i="56" s="1"/>
  <c r="R75" i="56"/>
  <c r="R91" i="56" s="1"/>
  <c r="S75" i="56"/>
  <c r="S91" i="56" s="1"/>
  <c r="D3" i="56"/>
  <c r="S12" i="56"/>
  <c r="AA12" i="56" s="1"/>
  <c r="AA4" i="56"/>
  <c r="Q75" i="56"/>
  <c r="Q91" i="56" s="1"/>
  <c r="D3" i="57"/>
  <c r="Q12" i="56"/>
  <c r="Y12" i="56" s="1"/>
  <c r="E96" i="57"/>
  <c r="AA75" i="56" l="1"/>
  <c r="AA91" i="56" s="1"/>
  <c r="Y75" i="56"/>
  <c r="Y91" i="56" s="1"/>
  <c r="Y185" i="57"/>
  <c r="Z185" i="57"/>
  <c r="AA185" i="57"/>
  <c r="AB185" i="57"/>
  <c r="AC185" i="57"/>
  <c r="AD185" i="57"/>
  <c r="AE185" i="57"/>
  <c r="AF185" i="57"/>
  <c r="AG185" i="57"/>
  <c r="AH185" i="57"/>
  <c r="AI185" i="57"/>
  <c r="AJ185" i="57"/>
  <c r="AK185" i="57"/>
  <c r="AL185" i="57"/>
  <c r="AM185" i="57"/>
  <c r="AN185" i="57"/>
  <c r="AO185" i="57"/>
  <c r="AP185" i="57"/>
  <c r="AQ185" i="57"/>
  <c r="AR185" i="57"/>
  <c r="X185" i="57"/>
  <c r="W185" i="57"/>
  <c r="Y138" i="57"/>
  <c r="Y137" i="57"/>
  <c r="Y94" i="57"/>
  <c r="Z94" i="57"/>
  <c r="Y98" i="57"/>
  <c r="Z98" i="57"/>
  <c r="Y102" i="57"/>
  <c r="Z102" i="57"/>
  <c r="AA103" i="57"/>
  <c r="V76" i="57"/>
  <c r="U76" i="57"/>
  <c r="T76" i="57"/>
  <c r="Z79" i="57"/>
  <c r="AA79" i="57"/>
  <c r="AB79" i="57"/>
  <c r="Z88" i="57"/>
  <c r="AA88" i="57"/>
  <c r="AB88" i="57"/>
  <c r="Z89" i="57"/>
  <c r="AA89" i="57"/>
  <c r="AB89" i="57"/>
  <c r="AE12" i="57"/>
  <c r="AE63" i="57" s="1"/>
  <c r="AE24" i="57" l="1"/>
  <c r="AE53" i="57"/>
  <c r="AE76" i="57"/>
  <c r="AE148" i="57"/>
  <c r="AE160" i="57"/>
  <c r="AE171" i="57" s="1"/>
  <c r="AC12" i="57"/>
  <c r="Q138" i="57"/>
  <c r="H185" i="57"/>
  <c r="I185" i="57"/>
  <c r="J185" i="57"/>
  <c r="G160" i="57"/>
  <c r="H160" i="57"/>
  <c r="I160" i="57"/>
  <c r="J160" i="57"/>
  <c r="K160" i="57"/>
  <c r="L160" i="57"/>
  <c r="M160" i="57"/>
  <c r="G148" i="57"/>
  <c r="H148" i="57"/>
  <c r="I148" i="57"/>
  <c r="J148" i="57"/>
  <c r="K148" i="57"/>
  <c r="L148" i="57"/>
  <c r="M148" i="57"/>
  <c r="H171" i="57"/>
  <c r="I171" i="57"/>
  <c r="J171" i="57"/>
  <c r="V160" i="57"/>
  <c r="V171" i="57" s="1"/>
  <c r="V185" i="57" s="1"/>
  <c r="U160" i="57"/>
  <c r="U171" i="57" s="1"/>
  <c r="U185" i="57" s="1"/>
  <c r="T160" i="57"/>
  <c r="T171" i="57" s="1"/>
  <c r="T185" i="57" s="1"/>
  <c r="V148" i="57"/>
  <c r="U148" i="57"/>
  <c r="T148" i="57"/>
  <c r="V131" i="57"/>
  <c r="U131" i="57"/>
  <c r="T131" i="57"/>
  <c r="V72" i="57"/>
  <c r="U72" i="57"/>
  <c r="T72" i="57"/>
  <c r="T113" i="57"/>
  <c r="U113" i="57"/>
  <c r="V113" i="57"/>
  <c r="Q137" i="57"/>
  <c r="R102" i="57"/>
  <c r="R98" i="57"/>
  <c r="AA98" i="57" s="1"/>
  <c r="R94" i="57"/>
  <c r="AA94" i="57" s="1"/>
  <c r="S94" i="57"/>
  <c r="AB94" i="57" s="1"/>
  <c r="O94" i="57"/>
  <c r="X94" i="57" s="1"/>
  <c r="O103" i="57"/>
  <c r="O102" i="57"/>
  <c r="X102" i="57" s="1"/>
  <c r="O99" i="57"/>
  <c r="O98" i="57"/>
  <c r="X98" i="57" s="1"/>
  <c r="O95" i="57"/>
  <c r="O79" i="57"/>
  <c r="O78" i="57"/>
  <c r="O84" i="57"/>
  <c r="O83" i="57"/>
  <c r="O89" i="57"/>
  <c r="O88" i="57"/>
  <c r="P78" i="57" l="1"/>
  <c r="X78" i="57"/>
  <c r="R137" i="57"/>
  <c r="Z137" i="57"/>
  <c r="R138" i="57"/>
  <c r="Z138" i="57"/>
  <c r="P79" i="57"/>
  <c r="Y79" i="57" s="1"/>
  <c r="X79" i="57"/>
  <c r="P89" i="57"/>
  <c r="Y89" i="57" s="1"/>
  <c r="X89" i="57"/>
  <c r="P95" i="57"/>
  <c r="Y95" i="57" s="1"/>
  <c r="X95" i="57"/>
  <c r="P103" i="57"/>
  <c r="Y103" i="57" s="1"/>
  <c r="Y104" i="57" s="1"/>
  <c r="X103" i="57"/>
  <c r="AC53" i="57"/>
  <c r="AC76" i="57"/>
  <c r="AC160" i="57"/>
  <c r="AC171" i="57" s="1"/>
  <c r="AC63" i="57"/>
  <c r="AC148" i="57"/>
  <c r="AC24" i="57"/>
  <c r="P99" i="57"/>
  <c r="X99" i="57"/>
  <c r="P88" i="57"/>
  <c r="Y88" i="57" s="1"/>
  <c r="X88" i="57"/>
  <c r="P83" i="57"/>
  <c r="X83" i="57"/>
  <c r="P84" i="57"/>
  <c r="X84" i="57"/>
  <c r="R104" i="57"/>
  <c r="AA102" i="57"/>
  <c r="AA104" i="57" s="1"/>
  <c r="S102" i="57"/>
  <c r="AB102" i="57" s="1"/>
  <c r="S98" i="57"/>
  <c r="AB98" i="57" s="1"/>
  <c r="O48" i="57"/>
  <c r="X48" i="57" s="1"/>
  <c r="Q103" i="57" l="1"/>
  <c r="P96" i="57"/>
  <c r="Y96" i="57" s="1"/>
  <c r="P104" i="57"/>
  <c r="Q99" i="57"/>
  <c r="Y99" i="57"/>
  <c r="S138" i="57"/>
  <c r="AB138" i="57" s="1"/>
  <c r="AA138" i="57"/>
  <c r="P100" i="57"/>
  <c r="Y100" i="57" s="1"/>
  <c r="Q78" i="57"/>
  <c r="Z78" i="57" s="1"/>
  <c r="Y78" i="57"/>
  <c r="Q95" i="57"/>
  <c r="Q84" i="57"/>
  <c r="Y84" i="57"/>
  <c r="S137" i="57"/>
  <c r="AB137" i="57" s="1"/>
  <c r="AA137" i="57"/>
  <c r="Q83" i="57"/>
  <c r="Y83" i="57"/>
  <c r="Q104" i="57" l="1"/>
  <c r="Z103" i="57"/>
  <c r="Z104" i="57" s="1"/>
  <c r="R95" i="57"/>
  <c r="Z95" i="57"/>
  <c r="Q96" i="57"/>
  <c r="Z96" i="57" s="1"/>
  <c r="R83" i="57"/>
  <c r="Z83" i="57"/>
  <c r="Z99" i="57"/>
  <c r="Q100" i="57"/>
  <c r="Z100" i="57" s="1"/>
  <c r="R99" i="57"/>
  <c r="R84" i="57"/>
  <c r="Z84" i="57"/>
  <c r="S84" i="57" l="1"/>
  <c r="AA84" i="57"/>
  <c r="S99" i="57"/>
  <c r="AA99" i="57"/>
  <c r="R100" i="57"/>
  <c r="AA100" i="57" s="1"/>
  <c r="S83" i="57"/>
  <c r="AB83" i="57" s="1"/>
  <c r="AA83" i="57"/>
  <c r="R96" i="57"/>
  <c r="AA96" i="57" s="1"/>
  <c r="AA95" i="57"/>
  <c r="S95" i="57"/>
  <c r="V18" i="57"/>
  <c r="U18" i="57"/>
  <c r="T18" i="57"/>
  <c r="O18" i="57"/>
  <c r="AD12" i="57"/>
  <c r="K53" i="57"/>
  <c r="K63" i="57" s="1"/>
  <c r="L53" i="57"/>
  <c r="L63" i="57" s="1"/>
  <c r="M53" i="57"/>
  <c r="E53" i="57"/>
  <c r="E63" i="57" s="1"/>
  <c r="I91" i="56"/>
  <c r="J91" i="56"/>
  <c r="K91" i="56"/>
  <c r="I75" i="56"/>
  <c r="J75" i="56"/>
  <c r="K75" i="56"/>
  <c r="G12" i="56"/>
  <c r="H12" i="56"/>
  <c r="I12" i="56"/>
  <c r="J12" i="56"/>
  <c r="K12" i="56"/>
  <c r="L12" i="56"/>
  <c r="F12" i="56"/>
  <c r="I3" i="56"/>
  <c r="J3" i="56"/>
  <c r="K3" i="56"/>
  <c r="H40" i="57"/>
  <c r="I40" i="57"/>
  <c r="I53" i="57" s="1"/>
  <c r="J40" i="57"/>
  <c r="H34" i="57"/>
  <c r="Z34" i="57" s="1"/>
  <c r="I34" i="57"/>
  <c r="J34" i="57"/>
  <c r="AB34" i="57" s="1"/>
  <c r="H29" i="57"/>
  <c r="Z29" i="57" s="1"/>
  <c r="I29" i="57"/>
  <c r="J29" i="57"/>
  <c r="AB29" i="57" s="1"/>
  <c r="F24" i="57"/>
  <c r="G24" i="57"/>
  <c r="P24" i="57" s="1"/>
  <c r="P29" i="57" s="1"/>
  <c r="P34" i="57" s="1"/>
  <c r="P40" i="57" s="1"/>
  <c r="P53" i="57" s="1"/>
  <c r="H24" i="57"/>
  <c r="Q24" i="57" s="1"/>
  <c r="Q29" i="57" s="1"/>
  <c r="Q34" i="57" s="1"/>
  <c r="Q40" i="57" s="1"/>
  <c r="Q53" i="57" s="1"/>
  <c r="I24" i="57"/>
  <c r="J24" i="57"/>
  <c r="S24" i="57" s="1"/>
  <c r="S29" i="57" s="1"/>
  <c r="S34" i="57" s="1"/>
  <c r="S40" i="57" s="1"/>
  <c r="S53" i="57" s="1"/>
  <c r="K24" i="57"/>
  <c r="L24" i="57"/>
  <c r="M24" i="57"/>
  <c r="E24" i="57"/>
  <c r="F12" i="57"/>
  <c r="G12" i="57"/>
  <c r="P12" i="57" s="1"/>
  <c r="H12" i="57"/>
  <c r="I12" i="57"/>
  <c r="J12" i="57"/>
  <c r="K12" i="57"/>
  <c r="L12" i="57"/>
  <c r="M12" i="57"/>
  <c r="E12" i="57"/>
  <c r="Y12" i="57" l="1"/>
  <c r="P76" i="57"/>
  <c r="T84" i="57"/>
  <c r="U84" i="57" s="1"/>
  <c r="V84" i="57" s="1"/>
  <c r="AB84" i="57"/>
  <c r="T95" i="57"/>
  <c r="AB95" i="57"/>
  <c r="S96" i="57"/>
  <c r="AB96" i="57" s="1"/>
  <c r="J53" i="57"/>
  <c r="J63" i="57" s="1"/>
  <c r="AB40" i="57"/>
  <c r="H53" i="57"/>
  <c r="H63" i="57" s="1"/>
  <c r="Z40" i="57"/>
  <c r="AD63" i="57"/>
  <c r="AD76" i="57"/>
  <c r="AD53" i="57"/>
  <c r="AD160" i="57"/>
  <c r="AD171" i="57" s="1"/>
  <c r="AD24" i="57"/>
  <c r="AD148" i="57"/>
  <c r="T99" i="57"/>
  <c r="AB99" i="57"/>
  <c r="S100" i="57"/>
  <c r="AB100" i="57" s="1"/>
  <c r="I63" i="57"/>
  <c r="S66" i="57"/>
  <c r="S63" i="57"/>
  <c r="Q66" i="57"/>
  <c r="Q63" i="57"/>
  <c r="P66" i="57"/>
  <c r="P63" i="57"/>
  <c r="O12" i="57"/>
  <c r="F113" i="57"/>
  <c r="F131" i="57"/>
  <c r="M131" i="57"/>
  <c r="M113" i="57"/>
  <c r="L113" i="57"/>
  <c r="L131" i="57"/>
  <c r="K131" i="57"/>
  <c r="K113" i="57"/>
  <c r="J18" i="57"/>
  <c r="S18" i="57" s="1"/>
  <c r="J131" i="57"/>
  <c r="J113" i="57"/>
  <c r="M63" i="57"/>
  <c r="I11" i="57"/>
  <c r="I131" i="57"/>
  <c r="I113" i="57"/>
  <c r="S12" i="57"/>
  <c r="H18" i="57"/>
  <c r="Q18" i="57" s="1"/>
  <c r="H131" i="57"/>
  <c r="H113" i="57"/>
  <c r="R12" i="57"/>
  <c r="R76" i="57" s="1"/>
  <c r="P113" i="57"/>
  <c r="P131" i="57"/>
  <c r="P148" i="57"/>
  <c r="P72" i="57"/>
  <c r="P160" i="57"/>
  <c r="P171" i="57" s="1"/>
  <c r="P185" i="57" s="1"/>
  <c r="G131" i="57"/>
  <c r="G113" i="57"/>
  <c r="Q12" i="57"/>
  <c r="Q76" i="57" s="1"/>
  <c r="H11" i="57"/>
  <c r="J11" i="57"/>
  <c r="I18" i="57"/>
  <c r="R18" i="57" s="1"/>
  <c r="K33" i="29"/>
  <c r="L36" i="29"/>
  <c r="H13" i="57" l="1" a="1"/>
  <c r="H13" i="57" s="1"/>
  <c r="H15" i="57" a="1"/>
  <c r="H15" i="57" s="1"/>
  <c r="H14" i="57" a="1"/>
  <c r="H14" i="57" s="1"/>
  <c r="I15" i="57" a="1"/>
  <c r="I15" i="57" s="1"/>
  <c r="I14" i="57" a="1"/>
  <c r="I14" i="57" s="1"/>
  <c r="I13" i="57" a="1"/>
  <c r="I13" i="57" s="1"/>
  <c r="Y160" i="57"/>
  <c r="Y171" i="57" s="1"/>
  <c r="Y24" i="57"/>
  <c r="Y63" i="57"/>
  <c r="Y148" i="57"/>
  <c r="Y76" i="57"/>
  <c r="Y53" i="57"/>
  <c r="S76" i="57"/>
  <c r="AB12" i="57"/>
  <c r="U99" i="57"/>
  <c r="T100" i="57"/>
  <c r="O76" i="57"/>
  <c r="X12" i="57"/>
  <c r="T96" i="57"/>
  <c r="U95" i="57"/>
  <c r="R148" i="57"/>
  <c r="R131" i="57"/>
  <c r="R113" i="57"/>
  <c r="R160" i="57"/>
  <c r="R72" i="57"/>
  <c r="AA12" i="57"/>
  <c r="O72" i="57"/>
  <c r="O148" i="57"/>
  <c r="O131" i="57"/>
  <c r="O113" i="57"/>
  <c r="O160" i="57"/>
  <c r="Q160" i="57"/>
  <c r="Q171" i="57" s="1"/>
  <c r="Q185" i="57" s="1"/>
  <c r="Q148" i="57"/>
  <c r="Q131" i="57"/>
  <c r="Q113" i="57"/>
  <c r="Q72" i="57"/>
  <c r="Z12" i="57"/>
  <c r="S131" i="57"/>
  <c r="S160" i="57"/>
  <c r="S171" i="57" s="1"/>
  <c r="S185" i="57" s="1"/>
  <c r="S113" i="57"/>
  <c r="S148" i="57"/>
  <c r="S72" i="57"/>
  <c r="L33" i="29"/>
  <c r="Z160" i="57" l="1"/>
  <c r="Z171" i="57" s="1"/>
  <c r="Z53" i="57"/>
  <c r="Z63" i="57"/>
  <c r="Z24" i="57"/>
  <c r="Z148" i="57"/>
  <c r="Z76" i="57"/>
  <c r="V99" i="57"/>
  <c r="V100" i="57" s="1"/>
  <c r="U100" i="57"/>
  <c r="AB53" i="57"/>
  <c r="AB148" i="57"/>
  <c r="AB76" i="57"/>
  <c r="AB63" i="57"/>
  <c r="AB24" i="57"/>
  <c r="AB160" i="57"/>
  <c r="AB171" i="57" s="1"/>
  <c r="AA53" i="57"/>
  <c r="AA63" i="57"/>
  <c r="AA148" i="57"/>
  <c r="AA76" i="57"/>
  <c r="AA24" i="57"/>
  <c r="AA160" i="57"/>
  <c r="AA171" i="57" s="1"/>
  <c r="O171" i="57"/>
  <c r="O185" i="57" s="1"/>
  <c r="X24" i="57"/>
  <c r="X160" i="57"/>
  <c r="X171" i="57" s="1"/>
  <c r="X63" i="57"/>
  <c r="X76" i="57"/>
  <c r="X148" i="57"/>
  <c r="X53" i="57"/>
  <c r="V95" i="57"/>
  <c r="V96" i="57" s="1"/>
  <c r="U96" i="57"/>
  <c r="R171" i="57"/>
  <c r="O3" i="29"/>
  <c r="M3" i="29"/>
  <c r="R185" i="57" l="1"/>
  <c r="E27" i="57"/>
  <c r="D27" i="39" l="1"/>
  <c r="C27" i="39"/>
  <c r="D26" i="39"/>
  <c r="C26" i="39"/>
  <c r="D25" i="39"/>
  <c r="C25" i="39"/>
  <c r="D24" i="39"/>
  <c r="C24" i="39"/>
  <c r="D23" i="39"/>
  <c r="C23" i="39"/>
  <c r="D22" i="39"/>
  <c r="C22" i="39"/>
  <c r="D21" i="39"/>
  <c r="C21" i="39"/>
  <c r="D20" i="39"/>
  <c r="C20" i="39"/>
  <c r="D19" i="39"/>
  <c r="C19" i="39"/>
  <c r="D17" i="39"/>
  <c r="C17" i="39"/>
  <c r="D16" i="39"/>
  <c r="C16" i="39"/>
  <c r="D15" i="39"/>
  <c r="C15" i="39"/>
  <c r="D14" i="39"/>
  <c r="C14" i="39"/>
  <c r="D13" i="39"/>
  <c r="C13" i="39"/>
  <c r="D12" i="39"/>
  <c r="C12" i="39"/>
  <c r="D11" i="39"/>
  <c r="C11" i="39"/>
  <c r="D10" i="39"/>
  <c r="C10" i="39"/>
  <c r="D9" i="39"/>
  <c r="C9" i="39"/>
  <c r="D1" i="57" l="1"/>
  <c r="B41" i="57" l="1"/>
  <c r="B25" i="57"/>
  <c r="C12" i="45"/>
  <c r="M27" i="44" l="1"/>
  <c r="N27" i="44"/>
  <c r="O27" i="44"/>
  <c r="P27" i="44"/>
  <c r="Q27" i="44"/>
  <c r="R27" i="44"/>
  <c r="S27" i="44"/>
  <c r="T27" i="44"/>
  <c r="U27" i="44"/>
  <c r="V27" i="44"/>
  <c r="W27" i="44"/>
  <c r="X27" i="44"/>
  <c r="Y27" i="44"/>
  <c r="Z27" i="44"/>
  <c r="AA27" i="44"/>
  <c r="AB27" i="44"/>
  <c r="AC27" i="44"/>
  <c r="AD27" i="44"/>
  <c r="AE27" i="44"/>
  <c r="AF27" i="44"/>
  <c r="AG27" i="44"/>
  <c r="K36" i="60"/>
  <c r="N35" i="60"/>
  <c r="N38" i="60" s="1"/>
  <c r="P35" i="60"/>
  <c r="S45" i="60" a="1"/>
  <c r="S45" i="60" s="1"/>
  <c r="T45" i="60" a="1"/>
  <c r="T45" i="60" s="1"/>
  <c r="U45" i="60" a="1"/>
  <c r="U45" i="60" s="1"/>
  <c r="V45" i="60" a="1"/>
  <c r="V45" i="60" s="1"/>
  <c r="W45" i="60" a="1"/>
  <c r="W45" i="60" s="1"/>
  <c r="X45" i="60" a="1"/>
  <c r="X45" i="60" s="1"/>
  <c r="Y45" i="60" a="1"/>
  <c r="Y45" i="60" s="1"/>
  <c r="Z45" i="60" a="1"/>
  <c r="Z45" i="60" s="1"/>
  <c r="AA45" i="60" a="1"/>
  <c r="AA45" i="60" s="1"/>
  <c r="AB45" i="60" a="1"/>
  <c r="AB45" i="60" s="1"/>
  <c r="AC45" i="60" a="1"/>
  <c r="AC45" i="60" s="1"/>
  <c r="AD45" i="60" a="1"/>
  <c r="AD45" i="60" s="1"/>
  <c r="AE45" i="60" a="1"/>
  <c r="AE45" i="60" s="1"/>
  <c r="AF45" i="60" a="1"/>
  <c r="AF45" i="60" s="1"/>
  <c r="AG45" i="60" a="1"/>
  <c r="AG45" i="60" s="1"/>
  <c r="AH45" i="60" a="1"/>
  <c r="AH45" i="60" s="1"/>
  <c r="AI45" i="60" a="1"/>
  <c r="AI45" i="60" s="1"/>
  <c r="AJ45" i="60" a="1"/>
  <c r="AJ45" i="60" s="1"/>
  <c r="AK45" i="60" a="1"/>
  <c r="AK45" i="60" s="1"/>
  <c r="AL45" i="60" a="1"/>
  <c r="AL45" i="60" s="1"/>
  <c r="AM45" i="60" a="1"/>
  <c r="AM45" i="60" s="1"/>
  <c r="AN45" i="60" a="1"/>
  <c r="AN45" i="60" s="1"/>
  <c r="V68" i="44" l="1"/>
  <c r="V66" i="44"/>
  <c r="V67" i="44"/>
  <c r="V32" i="44"/>
  <c r="AC23" i="60" s="1" a="1"/>
  <c r="AC23" i="60" s="1"/>
  <c r="AC35" i="60" s="1"/>
  <c r="V33" i="44"/>
  <c r="V31" i="44"/>
  <c r="X67" i="44"/>
  <c r="X66" i="44"/>
  <c r="X68" i="44"/>
  <c r="X31" i="44"/>
  <c r="AE22" i="60" s="1" a="1"/>
  <c r="AE22" i="60" s="1"/>
  <c r="X32" i="44"/>
  <c r="AE23" i="60" s="1" a="1"/>
  <c r="AE23" i="60" s="1"/>
  <c r="X33" i="44"/>
  <c r="AG66" i="44"/>
  <c r="AG67" i="44"/>
  <c r="AG68" i="44"/>
  <c r="AG31" i="44"/>
  <c r="AG32" i="44"/>
  <c r="AG33" i="44"/>
  <c r="U66" i="44"/>
  <c r="U67" i="44"/>
  <c r="U68" i="44"/>
  <c r="U31" i="44"/>
  <c r="U32" i="44"/>
  <c r="U33" i="44"/>
  <c r="AF66" i="44"/>
  <c r="AF67" i="44"/>
  <c r="AF68" i="44"/>
  <c r="AF31" i="44"/>
  <c r="AM22" i="60" s="1" a="1"/>
  <c r="AM22" i="60" s="1"/>
  <c r="AF33" i="44"/>
  <c r="AM24" i="60" s="1" a="1"/>
  <c r="AM24" i="60" s="1"/>
  <c r="AF32" i="44"/>
  <c r="T66" i="44"/>
  <c r="T68" i="44"/>
  <c r="T67" i="44"/>
  <c r="T33" i="44"/>
  <c r="AA24" i="60" s="1" a="1"/>
  <c r="AA24" i="60" s="1"/>
  <c r="T31" i="44"/>
  <c r="AA22" i="60" s="1" a="1"/>
  <c r="AA22" i="60" s="1"/>
  <c r="T32" i="44"/>
  <c r="AA23" i="60" s="1" a="1"/>
  <c r="AA23" i="60" s="1"/>
  <c r="AA35" i="60" s="1"/>
  <c r="AE68" i="44"/>
  <c r="AE67" i="44"/>
  <c r="AE66" i="44"/>
  <c r="AE31" i="44"/>
  <c r="AE33" i="44"/>
  <c r="AE32" i="44"/>
  <c r="AL23" i="60" s="1" a="1"/>
  <c r="AL23" i="60" s="1"/>
  <c r="H23" i="60" s="1"/>
  <c r="H35" i="60" s="1"/>
  <c r="H38" i="60" s="1"/>
  <c r="S67" i="44"/>
  <c r="S68" i="44"/>
  <c r="S66" i="44"/>
  <c r="S32" i="44"/>
  <c r="Z23" i="60" s="1" a="1"/>
  <c r="Z23" i="60" s="1"/>
  <c r="S33" i="44"/>
  <c r="Z24" i="60" s="1" a="1"/>
  <c r="Z24" i="60" s="1"/>
  <c r="S31" i="44"/>
  <c r="Z22" i="60" s="1" a="1"/>
  <c r="Z22" i="60" s="1"/>
  <c r="AD66" i="44"/>
  <c r="AD67" i="44"/>
  <c r="AD68" i="44"/>
  <c r="AD32" i="44"/>
  <c r="AK23" i="60" s="1" a="1"/>
  <c r="AK23" i="60" s="1"/>
  <c r="AK35" i="60" s="1"/>
  <c r="AD31" i="44"/>
  <c r="AK22" i="60" s="1" a="1"/>
  <c r="AK22" i="60" s="1"/>
  <c r="AD33" i="44"/>
  <c r="AK24" i="60" s="1" a="1"/>
  <c r="AK24" i="60" s="1"/>
  <c r="R67" i="44"/>
  <c r="R66" i="44"/>
  <c r="R68" i="44"/>
  <c r="R33" i="44"/>
  <c r="Y24" i="60" s="1" a="1"/>
  <c r="Y24" i="60" s="1"/>
  <c r="R32" i="44"/>
  <c r="R31" i="44"/>
  <c r="Y22" i="60" s="1" a="1"/>
  <c r="Y22" i="60" s="1"/>
  <c r="Y34" i="60" s="1"/>
  <c r="Y37" i="60" s="1"/>
  <c r="AC67" i="44"/>
  <c r="AC68" i="44"/>
  <c r="AC66" i="44"/>
  <c r="AC31" i="44"/>
  <c r="AC32" i="44"/>
  <c r="AC33" i="44"/>
  <c r="Q67" i="44"/>
  <c r="Q68" i="44"/>
  <c r="Q66" i="44"/>
  <c r="Q32" i="44"/>
  <c r="X23" i="60" s="1" a="1"/>
  <c r="X23" i="60" s="1"/>
  <c r="Q31" i="44"/>
  <c r="X22" i="60" s="1" a="1"/>
  <c r="X22" i="60" s="1"/>
  <c r="X34" i="60" s="1"/>
  <c r="X37" i="60" s="1"/>
  <c r="Q33" i="44"/>
  <c r="W67" i="44"/>
  <c r="W68" i="44"/>
  <c r="W66" i="44"/>
  <c r="W31" i="44"/>
  <c r="AD22" i="60" s="1" a="1"/>
  <c r="AD22" i="60" s="1"/>
  <c r="AD34" i="60" s="1"/>
  <c r="AD37" i="60" s="1"/>
  <c r="W33" i="44"/>
  <c r="W32" i="44"/>
  <c r="AD23" i="60" s="1" a="1"/>
  <c r="AD23" i="60" s="1"/>
  <c r="AD35" i="60" s="1"/>
  <c r="AB66" i="44"/>
  <c r="AB67" i="44"/>
  <c r="AB68" i="44"/>
  <c r="AB31" i="44"/>
  <c r="AI22" i="60" s="1" a="1"/>
  <c r="AI22" i="60" s="1"/>
  <c r="AB33" i="44"/>
  <c r="AB32" i="44"/>
  <c r="AI23" i="60" s="1" a="1"/>
  <c r="AI23" i="60" s="1"/>
  <c r="P66" i="44"/>
  <c r="P67" i="44"/>
  <c r="P68" i="44"/>
  <c r="P33" i="44"/>
  <c r="W24" i="60" s="1" a="1"/>
  <c r="W24" i="60" s="1"/>
  <c r="W36" i="60" s="1"/>
  <c r="P32" i="44"/>
  <c r="W23" i="60" s="1" a="1"/>
  <c r="W23" i="60" s="1"/>
  <c r="P31" i="44"/>
  <c r="W22" i="60" s="1" a="1"/>
  <c r="W22" i="60" s="1"/>
  <c r="AA66" i="44"/>
  <c r="AA68" i="44"/>
  <c r="AA67" i="44"/>
  <c r="AA31" i="44"/>
  <c r="AH22" i="60" s="1" a="1"/>
  <c r="AH22" i="60" s="1"/>
  <c r="AA32" i="44"/>
  <c r="AH23" i="60" s="1" a="1"/>
  <c r="AH23" i="60" s="1"/>
  <c r="AH35" i="60" s="1"/>
  <c r="AH38" i="60" s="1"/>
  <c r="AA33" i="44"/>
  <c r="AH24" i="60" s="1" a="1"/>
  <c r="AH24" i="60" s="1"/>
  <c r="O68" i="44"/>
  <c r="O66" i="44"/>
  <c r="O67" i="44"/>
  <c r="O32" i="44"/>
  <c r="V23" i="60" s="1" a="1"/>
  <c r="V23" i="60" s="1"/>
  <c r="O31" i="44"/>
  <c r="V22" i="60" s="1" a="1"/>
  <c r="V22" i="60" s="1"/>
  <c r="O33" i="44"/>
  <c r="V24" i="60" s="1" a="1"/>
  <c r="V24" i="60" s="1"/>
  <c r="Z66" i="44"/>
  <c r="Z68" i="44"/>
  <c r="Z67" i="44"/>
  <c r="Z31" i="44"/>
  <c r="AG22" i="60" s="1" a="1"/>
  <c r="AG22" i="60" s="1"/>
  <c r="Z33" i="44"/>
  <c r="Z32" i="44"/>
  <c r="AG23" i="60" s="1" a="1"/>
  <c r="AG23" i="60" s="1"/>
  <c r="N68" i="44"/>
  <c r="N66" i="44"/>
  <c r="N67" i="44"/>
  <c r="N31" i="44"/>
  <c r="U22" i="60" s="1" a="1"/>
  <c r="U22" i="60" s="1"/>
  <c r="N33" i="44"/>
  <c r="U24" i="60" s="1" a="1"/>
  <c r="U24" i="60" s="1"/>
  <c r="N32" i="44"/>
  <c r="U23" i="60" s="1" a="1"/>
  <c r="U23" i="60" s="1"/>
  <c r="Y66" i="44"/>
  <c r="Y67" i="44"/>
  <c r="Y68" i="44"/>
  <c r="Y31" i="44"/>
  <c r="AF22" i="60" s="1" a="1"/>
  <c r="AF22" i="60" s="1"/>
  <c r="Y32" i="44"/>
  <c r="AF23" i="60" s="1" a="1"/>
  <c r="AF23" i="60" s="1"/>
  <c r="AF35" i="60" s="1"/>
  <c r="Y33" i="44"/>
  <c r="AF24" i="60" s="1" a="1"/>
  <c r="AF24" i="60" s="1"/>
  <c r="M66" i="44"/>
  <c r="M67" i="44"/>
  <c r="M68" i="44"/>
  <c r="M31" i="44"/>
  <c r="T22" i="60" s="1" a="1"/>
  <c r="T22" i="60" s="1"/>
  <c r="M32" i="44"/>
  <c r="T23" i="60" s="1" a="1"/>
  <c r="T23" i="60" s="1"/>
  <c r="T35" i="60" s="1"/>
  <c r="M33" i="44"/>
  <c r="F45" i="60"/>
  <c r="G45" i="60"/>
  <c r="H45" i="60"/>
  <c r="E45" i="60"/>
  <c r="L34" i="60"/>
  <c r="L37" i="60" s="1"/>
  <c r="M34" i="60"/>
  <c r="M37" i="60" s="1"/>
  <c r="P38" i="60"/>
  <c r="O35" i="60"/>
  <c r="O38" i="60" s="1"/>
  <c r="L36" i="60"/>
  <c r="O36" i="60"/>
  <c r="AJ22" i="60" a="1"/>
  <c r="AJ22" i="60" s="1"/>
  <c r="AM23" i="60" a="1"/>
  <c r="AM23" i="60" s="1"/>
  <c r="C11" i="45"/>
  <c r="C10" i="45"/>
  <c r="C9" i="45"/>
  <c r="C8" i="45"/>
  <c r="C7" i="45"/>
  <c r="AL35" i="60" l="1"/>
  <c r="AL38" i="60" s="1"/>
  <c r="AL22" i="60" a="1"/>
  <c r="AL22" i="60" s="1"/>
  <c r="H22" i="60" s="1"/>
  <c r="AJ24" i="60" a="1"/>
  <c r="AJ24" i="60" s="1"/>
  <c r="AJ36" i="60" s="1"/>
  <c r="Y23" i="60" a="1"/>
  <c r="Y23" i="60" s="1"/>
  <c r="Y35" i="60" s="1"/>
  <c r="Y38" i="60" s="1"/>
  <c r="J15" i="57" a="1"/>
  <c r="J15" i="57" s="1"/>
  <c r="S15" i="57" s="1"/>
  <c r="S24" i="60" a="1"/>
  <c r="S24" i="60" s="1"/>
  <c r="S36" i="60" s="1"/>
  <c r="AE24" i="60" a="1"/>
  <c r="AE24" i="60" s="1"/>
  <c r="AE36" i="60" s="1"/>
  <c r="AB22" i="60" a="1"/>
  <c r="AB22" i="60" s="1"/>
  <c r="AB34" i="60" s="1"/>
  <c r="AB37" i="60" s="1"/>
  <c r="AJ23" i="60" a="1"/>
  <c r="AJ23" i="60" s="1"/>
  <c r="AJ35" i="60" s="1"/>
  <c r="AJ38" i="60" s="1"/>
  <c r="S22" i="60" a="1"/>
  <c r="S22" i="60" s="1"/>
  <c r="J13" i="57" a="1"/>
  <c r="J13" i="57" s="1"/>
  <c r="AN22" i="60" a="1"/>
  <c r="AN22" i="60" s="1"/>
  <c r="AN34" i="60" s="1"/>
  <c r="AN37" i="60" s="1"/>
  <c r="T24" i="60" a="1"/>
  <c r="T24" i="60" s="1"/>
  <c r="T36" i="60" s="1"/>
  <c r="AB23" i="60" a="1"/>
  <c r="AB23" i="60" s="1"/>
  <c r="AB35" i="60" s="1"/>
  <c r="AN23" i="60" a="1"/>
  <c r="AN23" i="60" s="1"/>
  <c r="AO23" i="60" s="1"/>
  <c r="J14" i="57" a="1"/>
  <c r="J14" i="57" s="1"/>
  <c r="S23" i="60" a="1"/>
  <c r="S23" i="60" s="1"/>
  <c r="AC24" i="60" a="1"/>
  <c r="AC24" i="60" s="1"/>
  <c r="AC36" i="60" s="1"/>
  <c r="AI24" i="60" a="1"/>
  <c r="AI24" i="60" s="1"/>
  <c r="AI36" i="60" s="1"/>
  <c r="AB24" i="60" a="1"/>
  <c r="AB24" i="60" s="1"/>
  <c r="AD24" i="60" a="1"/>
  <c r="AD24" i="60" s="1"/>
  <c r="AD36" i="60" s="1"/>
  <c r="AG24" i="60" a="1"/>
  <c r="AG24" i="60" s="1"/>
  <c r="AG36" i="60" s="1"/>
  <c r="AN24" i="60" a="1"/>
  <c r="AN24" i="60" s="1"/>
  <c r="AO24" i="60" s="1"/>
  <c r="AC22" i="60" a="1"/>
  <c r="AC22" i="60" s="1"/>
  <c r="AC34" i="60" s="1"/>
  <c r="AC37" i="60" s="1"/>
  <c r="AL24" i="60" a="1"/>
  <c r="AL24" i="60" s="1"/>
  <c r="X24" i="60" a="1"/>
  <c r="X24" i="60" s="1"/>
  <c r="X36" i="60" s="1"/>
  <c r="M25" i="60"/>
  <c r="M17" i="60" s="1"/>
  <c r="AF34" i="60"/>
  <c r="AF37" i="60" s="1"/>
  <c r="AF25" i="60"/>
  <c r="AF19" i="60" s="1"/>
  <c r="V35" i="60"/>
  <c r="V38" i="60" s="1"/>
  <c r="Q34" i="60"/>
  <c r="Q37" i="60" s="1"/>
  <c r="E66" i="60"/>
  <c r="J66" i="60" s="1" a="1"/>
  <c r="J66" i="60" s="1"/>
  <c r="F21" i="57"/>
  <c r="E21" i="57"/>
  <c r="E67" i="60"/>
  <c r="J67" i="60" s="1" a="1"/>
  <c r="J67" i="60" s="1"/>
  <c r="E64" i="60"/>
  <c r="J64" i="60" s="1" a="1"/>
  <c r="J64" i="60" s="1"/>
  <c r="E69" i="60"/>
  <c r="J69" i="60" s="1" a="1"/>
  <c r="J69" i="60" s="1"/>
  <c r="E65" i="60"/>
  <c r="J65" i="60" s="1" a="1"/>
  <c r="J65" i="60" s="1"/>
  <c r="E68" i="60"/>
  <c r="J68" i="60" s="1" a="1"/>
  <c r="J68" i="60" s="1"/>
  <c r="E63" i="60"/>
  <c r="J63" i="60" s="1" a="1"/>
  <c r="J63" i="60" s="1"/>
  <c r="AF36" i="60"/>
  <c r="K25" i="60"/>
  <c r="K19" i="60" s="1"/>
  <c r="K34" i="60"/>
  <c r="K37" i="60" s="1"/>
  <c r="AA14" i="57"/>
  <c r="R14" i="57"/>
  <c r="AD38" i="60"/>
  <c r="G68" i="60"/>
  <c r="K21" i="57"/>
  <c r="G63" i="60"/>
  <c r="G66" i="60"/>
  <c r="G67" i="60"/>
  <c r="G64" i="60"/>
  <c r="G69" i="60"/>
  <c r="G65" i="60"/>
  <c r="G50" i="60"/>
  <c r="AH36" i="60"/>
  <c r="Z36" i="60"/>
  <c r="V25" i="60"/>
  <c r="V18" i="60" s="1"/>
  <c r="V34" i="60"/>
  <c r="V37" i="60" s="1"/>
  <c r="K35" i="60"/>
  <c r="K38" i="60" s="1"/>
  <c r="Z35" i="60"/>
  <c r="Z38" i="60" s="1"/>
  <c r="W34" i="60"/>
  <c r="W37" i="60" s="1"/>
  <c r="W25" i="60"/>
  <c r="W19" i="60" s="1"/>
  <c r="AH34" i="60"/>
  <c r="AH37" i="60" s="1"/>
  <c r="AH25" i="60"/>
  <c r="AH18" i="60" s="1"/>
  <c r="R35" i="60"/>
  <c r="F23" i="60"/>
  <c r="AE34" i="60"/>
  <c r="AE37" i="60" s="1"/>
  <c r="AI34" i="60"/>
  <c r="AI37" i="60" s="1"/>
  <c r="O34" i="60"/>
  <c r="O37" i="60" s="1"/>
  <c r="O25" i="60"/>
  <c r="O17" i="60" s="1"/>
  <c r="AA13" i="57"/>
  <c r="R13" i="57"/>
  <c r="I16" i="57"/>
  <c r="W35" i="60"/>
  <c r="AI35" i="60"/>
  <c r="AJ34" i="60"/>
  <c r="AJ37" i="60" s="1"/>
  <c r="M36" i="60"/>
  <c r="U34" i="60"/>
  <c r="U37" i="60" s="1"/>
  <c r="U25" i="60"/>
  <c r="U17" i="60" s="1"/>
  <c r="AM25" i="60"/>
  <c r="AM19" i="60" s="1"/>
  <c r="AM34" i="60"/>
  <c r="AM37" i="60" s="1"/>
  <c r="F22" i="60"/>
  <c r="R25" i="60"/>
  <c r="R17" i="60" s="1"/>
  <c r="R34" i="60"/>
  <c r="R37" i="60" s="1"/>
  <c r="Z13" i="57"/>
  <c r="Q13" i="57"/>
  <c r="U36" i="60"/>
  <c r="I21" i="57"/>
  <c r="F50" i="60"/>
  <c r="F63" i="60"/>
  <c r="F65" i="60"/>
  <c r="F67" i="60"/>
  <c r="F68" i="60"/>
  <c r="F66" i="60"/>
  <c r="F69" i="60"/>
  <c r="F64" i="60"/>
  <c r="AK25" i="60"/>
  <c r="AK18" i="60" s="1"/>
  <c r="AK34" i="60"/>
  <c r="AK37" i="60" s="1"/>
  <c r="AE35" i="60"/>
  <c r="AA36" i="60"/>
  <c r="AK36" i="60"/>
  <c r="N36" i="60"/>
  <c r="AM35" i="60"/>
  <c r="Q36" i="60"/>
  <c r="P34" i="60"/>
  <c r="P25" i="60"/>
  <c r="P18" i="60" s="1"/>
  <c r="T38" i="60"/>
  <c r="L21" i="57"/>
  <c r="H66" i="60"/>
  <c r="H69" i="60"/>
  <c r="H65" i="60"/>
  <c r="H63" i="60"/>
  <c r="H50" i="60"/>
  <c r="H64" i="60"/>
  <c r="H67" i="60"/>
  <c r="H68" i="60"/>
  <c r="M35" i="60"/>
  <c r="M38" i="60" s="1"/>
  <c r="AM36" i="60"/>
  <c r="L35" i="60"/>
  <c r="L38" i="60" s="1"/>
  <c r="AG35" i="60"/>
  <c r="N34" i="60"/>
  <c r="N37" i="60" s="1"/>
  <c r="N25" i="60"/>
  <c r="N18" i="60" s="1"/>
  <c r="P36" i="60"/>
  <c r="AC38" i="60"/>
  <c r="AA38" i="60"/>
  <c r="Y36" i="60"/>
  <c r="X35" i="60"/>
  <c r="X38" i="60" s="1"/>
  <c r="AA34" i="60"/>
  <c r="AA37" i="60" s="1"/>
  <c r="AA25" i="60"/>
  <c r="AA19" i="60" s="1"/>
  <c r="Z34" i="60"/>
  <c r="Z37" i="60" s="1"/>
  <c r="Z25" i="60"/>
  <c r="Z18" i="60" s="1"/>
  <c r="AA15" i="57"/>
  <c r="R15" i="57"/>
  <c r="AF38" i="60"/>
  <c r="Q14" i="57"/>
  <c r="Z14" i="57"/>
  <c r="T34" i="60"/>
  <c r="AG34" i="60"/>
  <c r="AG37" i="60" s="1"/>
  <c r="U35" i="60"/>
  <c r="V36" i="60"/>
  <c r="AK38" i="60"/>
  <c r="R36" i="60"/>
  <c r="F24" i="60"/>
  <c r="L25" i="60"/>
  <c r="L18" i="60" s="1"/>
  <c r="AO45" i="60"/>
  <c r="AP45" i="60" s="1"/>
  <c r="I45" i="60"/>
  <c r="Q35" i="60"/>
  <c r="AS162" i="57"/>
  <c r="AQ162" i="57"/>
  <c r="AO162" i="57"/>
  <c r="AK162" i="57"/>
  <c r="AI162" i="57"/>
  <c r="AJ161" i="57"/>
  <c r="AJ162" i="57" s="1"/>
  <c r="T25" i="60" l="1"/>
  <c r="T17" i="60" s="1"/>
  <c r="I22" i="60"/>
  <c r="I34" i="60" s="1"/>
  <c r="I37" i="60" s="1"/>
  <c r="AD25" i="60"/>
  <c r="AD17" i="60" s="1"/>
  <c r="AG25" i="60"/>
  <c r="AG19" i="60" s="1"/>
  <c r="AO22" i="60"/>
  <c r="AP22" i="60" s="1"/>
  <c r="AN36" i="60"/>
  <c r="G22" i="60"/>
  <c r="G34" i="60" s="1"/>
  <c r="G37" i="60" s="1"/>
  <c r="AN35" i="60"/>
  <c r="AN38" i="60" s="1"/>
  <c r="AN25" i="60"/>
  <c r="AN18" i="60" s="1"/>
  <c r="Y25" i="60"/>
  <c r="Y19" i="60" s="1"/>
  <c r="I24" i="60"/>
  <c r="I36" i="60" s="1"/>
  <c r="AB15" i="57"/>
  <c r="AB25" i="60"/>
  <c r="AB18" i="60" s="1"/>
  <c r="AL25" i="60"/>
  <c r="AL19" i="60" s="1"/>
  <c r="AL34" i="60"/>
  <c r="AL37" i="60" s="1"/>
  <c r="AB36" i="60"/>
  <c r="G24" i="60"/>
  <c r="G36" i="60" s="1"/>
  <c r="M18" i="60"/>
  <c r="M19" i="60"/>
  <c r="G23" i="60"/>
  <c r="AL36" i="60"/>
  <c r="H24" i="60"/>
  <c r="H36" i="60" s="1"/>
  <c r="AI25" i="60"/>
  <c r="AI19" i="60" s="1"/>
  <c r="AE25" i="60"/>
  <c r="AE19" i="60" s="1"/>
  <c r="AJ25" i="60"/>
  <c r="AJ17" i="60" s="1"/>
  <c r="AC25" i="60"/>
  <c r="I23" i="60"/>
  <c r="I35" i="60" s="1"/>
  <c r="I38" i="60" s="1"/>
  <c r="X25" i="60"/>
  <c r="AL64" i="60" a="1"/>
  <c r="AL64" i="60" s="1"/>
  <c r="K67" i="60" a="1"/>
  <c r="K67" i="60" s="1"/>
  <c r="L67" i="60" s="1" a="1"/>
  <c r="L67" i="60" s="1"/>
  <c r="M67" i="60" s="1" a="1"/>
  <c r="M67" i="60" s="1"/>
  <c r="N67" i="60" s="1" a="1"/>
  <c r="N67" i="60" s="1"/>
  <c r="O67" i="60" s="1" a="1"/>
  <c r="O67" i="60" s="1"/>
  <c r="P67" i="60" s="1" a="1"/>
  <c r="P67" i="60" s="1"/>
  <c r="Q67" i="60" s="1" a="1"/>
  <c r="Q67" i="60" s="1"/>
  <c r="R67" i="60" a="1"/>
  <c r="R67" i="60" s="1"/>
  <c r="S67" i="60" s="1" a="1"/>
  <c r="S67" i="60" s="1"/>
  <c r="T67" i="60" s="1" a="1"/>
  <c r="T67" i="60" s="1"/>
  <c r="U67" i="60" s="1" a="1"/>
  <c r="U67" i="60" s="1"/>
  <c r="V67" i="60" s="1" a="1"/>
  <c r="V67" i="60" s="1"/>
  <c r="W67" i="60" s="1" a="1"/>
  <c r="W67" i="60" s="1"/>
  <c r="X67" i="60" s="1" a="1"/>
  <c r="X67" i="60" s="1"/>
  <c r="Y67" i="60" s="1" a="1"/>
  <c r="Y67" i="60" s="1"/>
  <c r="Z67" i="60" s="1" a="1"/>
  <c r="Z67" i="60" s="1"/>
  <c r="AA67" i="60" s="1" a="1"/>
  <c r="AA67" i="60" s="1"/>
  <c r="AB69" i="60" a="1"/>
  <c r="AB69" i="60" s="1"/>
  <c r="AC69" i="60" s="1" a="1"/>
  <c r="AC69" i="60" s="1"/>
  <c r="AD69" i="60" s="1" a="1"/>
  <c r="AD69" i="60" s="1"/>
  <c r="AE69" i="60" s="1" a="1"/>
  <c r="AE69" i="60" s="1"/>
  <c r="AF69" i="60" s="1" a="1"/>
  <c r="AF69" i="60" s="1"/>
  <c r="AG69" i="60" s="1" a="1"/>
  <c r="AG69" i="60" s="1"/>
  <c r="AH69" i="60" s="1" a="1"/>
  <c r="AH69" i="60" s="1"/>
  <c r="AI69" i="60" s="1" a="1"/>
  <c r="AI69" i="60" s="1"/>
  <c r="AJ69" i="60" s="1" a="1"/>
  <c r="AJ69" i="60" s="1"/>
  <c r="AK69" i="60" s="1" a="1"/>
  <c r="AK69" i="60" s="1"/>
  <c r="R65" i="60" a="1"/>
  <c r="R65" i="60" s="1"/>
  <c r="S65" i="60" s="1" a="1"/>
  <c r="S65" i="60" s="1"/>
  <c r="T65" i="60" s="1" a="1"/>
  <c r="T65" i="60" s="1"/>
  <c r="U65" i="60" s="1" a="1"/>
  <c r="U65" i="60" s="1"/>
  <c r="V65" i="60" s="1" a="1"/>
  <c r="V65" i="60" s="1"/>
  <c r="W65" i="60" s="1" a="1"/>
  <c r="W65" i="60" s="1"/>
  <c r="X65" i="60" s="1" a="1"/>
  <c r="X65" i="60" s="1"/>
  <c r="Y65" i="60" s="1" a="1"/>
  <c r="Y65" i="60" s="1"/>
  <c r="Z65" i="60" s="1" a="1"/>
  <c r="Z65" i="60" s="1"/>
  <c r="AA65" i="60" s="1" a="1"/>
  <c r="AA65" i="60" s="1"/>
  <c r="K65" i="60" a="1"/>
  <c r="K65" i="60" s="1"/>
  <c r="L65" i="60" s="1" a="1"/>
  <c r="L65" i="60" s="1"/>
  <c r="M65" i="60" s="1" a="1"/>
  <c r="M65" i="60" s="1"/>
  <c r="N65" i="60" s="1" a="1"/>
  <c r="N65" i="60" s="1"/>
  <c r="O65" i="60" s="1" a="1"/>
  <c r="O65" i="60" s="1"/>
  <c r="P65" i="60" s="1" a="1"/>
  <c r="P65" i="60" s="1"/>
  <c r="Q65" i="60" s="1" a="1"/>
  <c r="Q65" i="60" s="1"/>
  <c r="AB64" i="60" a="1"/>
  <c r="AB64" i="60" s="1"/>
  <c r="AC64" i="60" s="1" a="1"/>
  <c r="AC64" i="60" s="1"/>
  <c r="AD64" i="60" s="1" a="1"/>
  <c r="AD64" i="60" s="1"/>
  <c r="AE64" i="60" s="1" a="1"/>
  <c r="AE64" i="60" s="1"/>
  <c r="AF64" i="60" s="1" a="1"/>
  <c r="AF64" i="60" s="1"/>
  <c r="AG64" i="60" s="1" a="1"/>
  <c r="AG64" i="60" s="1"/>
  <c r="AH64" i="60" s="1" a="1"/>
  <c r="AH64" i="60" s="1"/>
  <c r="AI64" i="60" s="1" a="1"/>
  <c r="AI64" i="60" s="1"/>
  <c r="AJ64" i="60" s="1" a="1"/>
  <c r="AJ64" i="60" s="1"/>
  <c r="AK64" i="60" s="1" a="1"/>
  <c r="AK64" i="60" s="1"/>
  <c r="K63" i="60" a="1"/>
  <c r="K63" i="60" s="1"/>
  <c r="L63" i="60" s="1" a="1"/>
  <c r="L63" i="60" s="1"/>
  <c r="M63" i="60" s="1" a="1"/>
  <c r="M63" i="60" s="1"/>
  <c r="N63" i="60" s="1" a="1"/>
  <c r="N63" i="60" s="1"/>
  <c r="O63" i="60" s="1" a="1"/>
  <c r="O63" i="60" s="1"/>
  <c r="P63" i="60" s="1" a="1"/>
  <c r="P63" i="60" s="1"/>
  <c r="Q63" i="60" s="1" a="1"/>
  <c r="Q63" i="60" s="1"/>
  <c r="R63" i="60" a="1"/>
  <c r="R63" i="60" s="1"/>
  <c r="S63" i="60" s="1" a="1"/>
  <c r="S63" i="60" s="1"/>
  <c r="T63" i="60" s="1" a="1"/>
  <c r="T63" i="60" s="1"/>
  <c r="U63" i="60" s="1" a="1"/>
  <c r="U63" i="60" s="1"/>
  <c r="V63" i="60" s="1" a="1"/>
  <c r="V63" i="60" s="1"/>
  <c r="W63" i="60" s="1" a="1"/>
  <c r="W63" i="60" s="1"/>
  <c r="X63" i="60" s="1" a="1"/>
  <c r="X63" i="60" s="1"/>
  <c r="Y63" i="60" s="1" a="1"/>
  <c r="Y63" i="60" s="1"/>
  <c r="Z63" i="60" s="1" a="1"/>
  <c r="Z63" i="60" s="1"/>
  <c r="AA63" i="60" s="1" a="1"/>
  <c r="AA63" i="60" s="1"/>
  <c r="AB67" i="60" a="1"/>
  <c r="AB67" i="60" s="1"/>
  <c r="AC67" i="60" s="1" a="1"/>
  <c r="AC67" i="60" s="1"/>
  <c r="AD67" i="60" s="1" a="1"/>
  <c r="AD67" i="60" s="1"/>
  <c r="AE67" i="60" s="1" a="1"/>
  <c r="AE67" i="60" s="1"/>
  <c r="AF67" i="60" s="1" a="1"/>
  <c r="AF67" i="60" s="1"/>
  <c r="AG67" i="60" s="1" a="1"/>
  <c r="AG67" i="60" s="1"/>
  <c r="AH67" i="60" s="1" a="1"/>
  <c r="AH67" i="60" s="1"/>
  <c r="AI67" i="60" s="1" a="1"/>
  <c r="AI67" i="60" s="1"/>
  <c r="AJ67" i="60" s="1" a="1"/>
  <c r="AJ67" i="60" s="1"/>
  <c r="AK67" i="60" s="1" a="1"/>
  <c r="AK67" i="60" s="1"/>
  <c r="AL65" i="60" a="1"/>
  <c r="AL65" i="60" s="1"/>
  <c r="AB66" i="60" a="1"/>
  <c r="AB66" i="60" s="1"/>
  <c r="AC66" i="60" s="1" a="1"/>
  <c r="AC66" i="60" s="1"/>
  <c r="AD66" i="60" s="1" a="1"/>
  <c r="AD66" i="60" s="1"/>
  <c r="AE66" i="60" s="1" a="1"/>
  <c r="AE66" i="60" s="1"/>
  <c r="AF66" i="60" s="1" a="1"/>
  <c r="AF66" i="60" s="1"/>
  <c r="AG66" i="60" s="1" a="1"/>
  <c r="AG66" i="60" s="1"/>
  <c r="AH66" i="60" s="1" a="1"/>
  <c r="AH66" i="60" s="1"/>
  <c r="AI66" i="60" s="1" a="1"/>
  <c r="AI66" i="60" s="1"/>
  <c r="AJ66" i="60" s="1" a="1"/>
  <c r="AJ66" i="60" s="1"/>
  <c r="AK66" i="60" s="1" a="1"/>
  <c r="AK66" i="60" s="1"/>
  <c r="AL63" i="60" a="1"/>
  <c r="AL63" i="60" s="1"/>
  <c r="AL69" i="60" a="1"/>
  <c r="AL69" i="60" s="1"/>
  <c r="AB63" i="60" a="1"/>
  <c r="AB63" i="60" s="1"/>
  <c r="AC63" i="60" s="1" a="1"/>
  <c r="AC63" i="60" s="1"/>
  <c r="AD63" i="60" s="1" a="1"/>
  <c r="AD63" i="60" s="1"/>
  <c r="AE63" i="60" s="1" a="1"/>
  <c r="AE63" i="60" s="1"/>
  <c r="AF63" i="60" s="1" a="1"/>
  <c r="AF63" i="60" s="1"/>
  <c r="AG63" i="60" s="1" a="1"/>
  <c r="AG63" i="60" s="1"/>
  <c r="AH63" i="60" s="1" a="1"/>
  <c r="AH63" i="60" s="1"/>
  <c r="AI63" i="60" s="1" a="1"/>
  <c r="AI63" i="60" s="1"/>
  <c r="AJ63" i="60" s="1" a="1"/>
  <c r="AJ63" i="60" s="1"/>
  <c r="AK63" i="60" s="1" a="1"/>
  <c r="AK63" i="60" s="1"/>
  <c r="AL66" i="60" a="1"/>
  <c r="AL66" i="60" s="1"/>
  <c r="AB68" i="60" a="1"/>
  <c r="AB68" i="60" s="1"/>
  <c r="AC68" i="60" s="1" a="1"/>
  <c r="AC68" i="60" s="1"/>
  <c r="AD68" i="60" s="1" a="1"/>
  <c r="AD68" i="60" s="1"/>
  <c r="AE68" i="60" s="1" a="1"/>
  <c r="AE68" i="60" s="1"/>
  <c r="AF68" i="60" s="1" a="1"/>
  <c r="AF68" i="60" s="1"/>
  <c r="AG68" i="60" s="1" a="1"/>
  <c r="AG68" i="60" s="1"/>
  <c r="AH68" i="60" s="1" a="1"/>
  <c r="AH68" i="60" s="1"/>
  <c r="AI68" i="60" s="1" a="1"/>
  <c r="AI68" i="60" s="1"/>
  <c r="AJ68" i="60" s="1" a="1"/>
  <c r="AJ68" i="60" s="1"/>
  <c r="AK68" i="60" s="1" a="1"/>
  <c r="AK68" i="60" s="1"/>
  <c r="K64" i="60" a="1"/>
  <c r="K64" i="60" s="1"/>
  <c r="L64" i="60" s="1" a="1"/>
  <c r="L64" i="60" s="1"/>
  <c r="M64" i="60" s="1" a="1"/>
  <c r="M64" i="60" s="1"/>
  <c r="N64" i="60" s="1" a="1"/>
  <c r="N64" i="60" s="1"/>
  <c r="O64" i="60" s="1" a="1"/>
  <c r="O64" i="60" s="1"/>
  <c r="P64" i="60" s="1" a="1"/>
  <c r="P64" i="60" s="1"/>
  <c r="Q64" i="60" s="1" a="1"/>
  <c r="Q64" i="60" s="1"/>
  <c r="R64" i="60" a="1"/>
  <c r="R64" i="60" s="1"/>
  <c r="S64" i="60" s="1" a="1"/>
  <c r="S64" i="60" s="1"/>
  <c r="T64" i="60" s="1" a="1"/>
  <c r="T64" i="60" s="1"/>
  <c r="U64" i="60" s="1" a="1"/>
  <c r="U64" i="60" s="1"/>
  <c r="V64" i="60" s="1" a="1"/>
  <c r="V64" i="60" s="1"/>
  <c r="W64" i="60" s="1" a="1"/>
  <c r="W64" i="60" s="1"/>
  <c r="X64" i="60" s="1" a="1"/>
  <c r="X64" i="60" s="1"/>
  <c r="Y64" i="60" s="1" a="1"/>
  <c r="Y64" i="60" s="1"/>
  <c r="Z64" i="60" s="1" a="1"/>
  <c r="Z64" i="60" s="1"/>
  <c r="AA64" i="60" s="1" a="1"/>
  <c r="AA64" i="60" s="1"/>
  <c r="R69" i="60" a="1"/>
  <c r="R69" i="60" s="1"/>
  <c r="S69" i="60" s="1" a="1"/>
  <c r="S69" i="60" s="1"/>
  <c r="T69" i="60" s="1" a="1"/>
  <c r="T69" i="60" s="1"/>
  <c r="U69" i="60" s="1" a="1"/>
  <c r="U69" i="60" s="1"/>
  <c r="V69" i="60" s="1" a="1"/>
  <c r="V69" i="60" s="1"/>
  <c r="W69" i="60" s="1" a="1"/>
  <c r="W69" i="60" s="1"/>
  <c r="X69" i="60" s="1" a="1"/>
  <c r="X69" i="60" s="1"/>
  <c r="Y69" i="60" s="1" a="1"/>
  <c r="Y69" i="60" s="1"/>
  <c r="Z69" i="60" s="1" a="1"/>
  <c r="Z69" i="60" s="1"/>
  <c r="AA69" i="60" s="1" a="1"/>
  <c r="AA69" i="60" s="1"/>
  <c r="K69" i="60" a="1"/>
  <c r="K69" i="60" s="1"/>
  <c r="L69" i="60" s="1" a="1"/>
  <c r="L69" i="60" s="1"/>
  <c r="M69" i="60" s="1" a="1"/>
  <c r="M69" i="60" s="1"/>
  <c r="N69" i="60" s="1" a="1"/>
  <c r="N69" i="60" s="1"/>
  <c r="O69" i="60" s="1" a="1"/>
  <c r="O69" i="60" s="1"/>
  <c r="P69" i="60" s="1" a="1"/>
  <c r="P69" i="60" s="1"/>
  <c r="Q69" i="60" s="1" a="1"/>
  <c r="Q69" i="60" s="1"/>
  <c r="AL68" i="60" a="1"/>
  <c r="AL68" i="60" s="1"/>
  <c r="R66" i="60" a="1"/>
  <c r="R66" i="60" s="1"/>
  <c r="S66" i="60" s="1" a="1"/>
  <c r="S66" i="60" s="1"/>
  <c r="T66" i="60" s="1" a="1"/>
  <c r="T66" i="60" s="1"/>
  <c r="U66" i="60" s="1" a="1"/>
  <c r="U66" i="60" s="1"/>
  <c r="V66" i="60" s="1" a="1"/>
  <c r="V66" i="60" s="1"/>
  <c r="W66" i="60" s="1" a="1"/>
  <c r="W66" i="60" s="1"/>
  <c r="X66" i="60" s="1" a="1"/>
  <c r="X66" i="60" s="1"/>
  <c r="Y66" i="60" s="1" a="1"/>
  <c r="Y66" i="60" s="1"/>
  <c r="Z66" i="60" s="1" a="1"/>
  <c r="Z66" i="60" s="1"/>
  <c r="AA66" i="60" s="1" a="1"/>
  <c r="AA66" i="60" s="1"/>
  <c r="K66" i="60" a="1"/>
  <c r="K66" i="60" s="1"/>
  <c r="L66" i="60" s="1" a="1"/>
  <c r="L66" i="60" s="1"/>
  <c r="M66" i="60" s="1" a="1"/>
  <c r="M66" i="60" s="1"/>
  <c r="N66" i="60" s="1" a="1"/>
  <c r="N66" i="60" s="1"/>
  <c r="O66" i="60" s="1" a="1"/>
  <c r="O66" i="60" s="1"/>
  <c r="P66" i="60" s="1" a="1"/>
  <c r="P66" i="60" s="1"/>
  <c r="Q66" i="60" s="1" a="1"/>
  <c r="Q66" i="60" s="1"/>
  <c r="AL67" i="60" a="1"/>
  <c r="AL67" i="60" s="1"/>
  <c r="R68" i="60" a="1"/>
  <c r="R68" i="60" s="1"/>
  <c r="S68" i="60" s="1" a="1"/>
  <c r="S68" i="60" s="1"/>
  <c r="T68" i="60" s="1" a="1"/>
  <c r="T68" i="60" s="1"/>
  <c r="U68" i="60" s="1" a="1"/>
  <c r="U68" i="60" s="1"/>
  <c r="V68" i="60" s="1" a="1"/>
  <c r="V68" i="60" s="1"/>
  <c r="W68" i="60" s="1" a="1"/>
  <c r="W68" i="60" s="1"/>
  <c r="X68" i="60" s="1" a="1"/>
  <c r="X68" i="60" s="1"/>
  <c r="Y68" i="60" s="1" a="1"/>
  <c r="Y68" i="60" s="1"/>
  <c r="Z68" i="60" s="1" a="1"/>
  <c r="Z68" i="60" s="1"/>
  <c r="AA68" i="60" s="1" a="1"/>
  <c r="AA68" i="60" s="1"/>
  <c r="K68" i="60" a="1"/>
  <c r="K68" i="60" s="1"/>
  <c r="L68" i="60" s="1" a="1"/>
  <c r="L68" i="60" s="1"/>
  <c r="M68" i="60" s="1" a="1"/>
  <c r="M68" i="60" s="1"/>
  <c r="N68" i="60" s="1" a="1"/>
  <c r="N68" i="60" s="1"/>
  <c r="O68" i="60" s="1" a="1"/>
  <c r="O68" i="60" s="1"/>
  <c r="P68" i="60" s="1" a="1"/>
  <c r="P68" i="60" s="1"/>
  <c r="Q68" i="60" s="1" a="1"/>
  <c r="Q68" i="60" s="1"/>
  <c r="AB65" i="60" a="1"/>
  <c r="AB65" i="60" s="1"/>
  <c r="AC65" i="60" s="1" a="1"/>
  <c r="AC65" i="60" s="1"/>
  <c r="AD65" i="60" s="1" a="1"/>
  <c r="AD65" i="60" s="1"/>
  <c r="AE65" i="60" s="1" a="1"/>
  <c r="AE65" i="60" s="1"/>
  <c r="AF65" i="60" s="1" a="1"/>
  <c r="AF65" i="60" s="1"/>
  <c r="AG65" i="60" s="1" a="1"/>
  <c r="AG65" i="60" s="1"/>
  <c r="AH65" i="60" s="1" a="1"/>
  <c r="AH65" i="60" s="1"/>
  <c r="AI65" i="60" s="1" a="1"/>
  <c r="AI65" i="60" s="1"/>
  <c r="AJ65" i="60" s="1" a="1"/>
  <c r="AJ65" i="60" s="1"/>
  <c r="AK65" i="60" s="1" a="1"/>
  <c r="AK65" i="60" s="1"/>
  <c r="U18" i="60"/>
  <c r="AM18" i="60"/>
  <c r="U19" i="60"/>
  <c r="P19" i="60"/>
  <c r="R19" i="60"/>
  <c r="AK17" i="60"/>
  <c r="K17" i="60"/>
  <c r="V19" i="60"/>
  <c r="K18" i="60"/>
  <c r="K39" i="60"/>
  <c r="AK19" i="60"/>
  <c r="W18" i="60"/>
  <c r="AM17" i="60"/>
  <c r="V17" i="60"/>
  <c r="T37" i="60"/>
  <c r="S34" i="60"/>
  <c r="S37" i="60" s="1"/>
  <c r="S25" i="60"/>
  <c r="S18" i="60" s="1"/>
  <c r="AG38" i="60"/>
  <c r="P37" i="60"/>
  <c r="N19" i="60"/>
  <c r="R18" i="60"/>
  <c r="Z19" i="60"/>
  <c r="U38" i="60"/>
  <c r="Z15" i="57"/>
  <c r="Z16" i="57" s="1"/>
  <c r="Q15" i="57"/>
  <c r="Q16" i="57" s="1"/>
  <c r="R38" i="60"/>
  <c r="AH19" i="60"/>
  <c r="Z17" i="60"/>
  <c r="AE38" i="60"/>
  <c r="F36" i="60"/>
  <c r="AB14" i="57"/>
  <c r="S14" i="57"/>
  <c r="AM38" i="60"/>
  <c r="H16" i="57"/>
  <c r="Q25" i="60"/>
  <c r="S35" i="60"/>
  <c r="W17" i="60"/>
  <c r="AI38" i="60"/>
  <c r="R16" i="57"/>
  <c r="AP23" i="60"/>
  <c r="AO35" i="60"/>
  <c r="AF17" i="60"/>
  <c r="AF18" i="60"/>
  <c r="Q38" i="60"/>
  <c r="AA16" i="57"/>
  <c r="I50" i="60"/>
  <c r="M21" i="57"/>
  <c r="I65" i="60"/>
  <c r="I67" i="60"/>
  <c r="I68" i="60"/>
  <c r="I63" i="60"/>
  <c r="I64" i="60"/>
  <c r="I46" i="60"/>
  <c r="H46" i="60" s="1"/>
  <c r="I66" i="60"/>
  <c r="I69" i="60"/>
  <c r="N17" i="60"/>
  <c r="P17" i="60"/>
  <c r="W38" i="60"/>
  <c r="AH17" i="60"/>
  <c r="AB13" i="57"/>
  <c r="S13" i="57"/>
  <c r="J16" i="57"/>
  <c r="AP24" i="60"/>
  <c r="AO36" i="60"/>
  <c r="AA17" i="60"/>
  <c r="AA18" i="60"/>
  <c r="H34" i="60"/>
  <c r="H37" i="60" s="1"/>
  <c r="AB38" i="60"/>
  <c r="L17" i="60"/>
  <c r="L19" i="60"/>
  <c r="O19" i="60"/>
  <c r="O18" i="60"/>
  <c r="F34" i="60"/>
  <c r="F37" i="60" s="1"/>
  <c r="F25" i="60"/>
  <c r="F17" i="60" s="1"/>
  <c r="F35" i="60"/>
  <c r="F38" i="60" s="1"/>
  <c r="E126" i="47"/>
  <c r="E125" i="47"/>
  <c r="E124" i="47"/>
  <c r="E123" i="47"/>
  <c r="E122" i="47"/>
  <c r="E121" i="47"/>
  <c r="E120" i="47"/>
  <c r="E119" i="47"/>
  <c r="E118" i="47"/>
  <c r="E117" i="47"/>
  <c r="E116" i="47"/>
  <c r="E115" i="47"/>
  <c r="E114" i="47"/>
  <c r="E113" i="47"/>
  <c r="E112" i="47"/>
  <c r="E111" i="47"/>
  <c r="E110" i="47"/>
  <c r="E109" i="47"/>
  <c r="E10" i="58"/>
  <c r="AV3" i="58"/>
  <c r="AU3" i="58"/>
  <c r="AT3" i="58"/>
  <c r="AS3" i="58"/>
  <c r="AR3" i="58"/>
  <c r="AQ3" i="58"/>
  <c r="AP3" i="58"/>
  <c r="AO3" i="58"/>
  <c r="AN3" i="58"/>
  <c r="AM3" i="58"/>
  <c r="AL3" i="58"/>
  <c r="AK3" i="58"/>
  <c r="AJ3" i="58"/>
  <c r="AI3" i="58"/>
  <c r="AH3" i="58"/>
  <c r="AG3" i="58"/>
  <c r="AF3" i="58"/>
  <c r="AE3" i="58"/>
  <c r="AD3" i="58"/>
  <c r="AC3" i="58"/>
  <c r="AB3" i="58"/>
  <c r="AA3" i="58"/>
  <c r="Z3" i="58"/>
  <c r="Y3" i="58"/>
  <c r="X3" i="58"/>
  <c r="W3" i="58"/>
  <c r="V3" i="58"/>
  <c r="U3" i="58"/>
  <c r="T3" i="58"/>
  <c r="S3" i="58"/>
  <c r="R3" i="58"/>
  <c r="Q3" i="58"/>
  <c r="P3" i="58"/>
  <c r="O3" i="58"/>
  <c r="N3" i="58"/>
  <c r="M3" i="58"/>
  <c r="L3" i="58"/>
  <c r="K3" i="58"/>
  <c r="J3" i="58"/>
  <c r="I266" i="58"/>
  <c r="H266" i="58"/>
  <c r="G266" i="58"/>
  <c r="F266" i="58"/>
  <c r="E266" i="58"/>
  <c r="C266" i="58"/>
  <c r="B266" i="58"/>
  <c r="I265" i="58"/>
  <c r="H265" i="58"/>
  <c r="G265" i="58"/>
  <c r="F265" i="58"/>
  <c r="E265" i="58"/>
  <c r="C265" i="58"/>
  <c r="B265" i="58"/>
  <c r="I264" i="58"/>
  <c r="H264" i="58"/>
  <c r="G264" i="58"/>
  <c r="F264" i="58"/>
  <c r="E264" i="58"/>
  <c r="C264" i="58"/>
  <c r="B264" i="58"/>
  <c r="I263" i="58"/>
  <c r="H263" i="58"/>
  <c r="G263" i="58"/>
  <c r="F263" i="58"/>
  <c r="E263" i="58"/>
  <c r="C263" i="58"/>
  <c r="B263" i="58"/>
  <c r="I262" i="58"/>
  <c r="H262" i="58"/>
  <c r="G262" i="58"/>
  <c r="F262" i="58"/>
  <c r="E262" i="58"/>
  <c r="C262" i="58"/>
  <c r="B262" i="58"/>
  <c r="I261" i="58"/>
  <c r="H261" i="58"/>
  <c r="G261" i="58"/>
  <c r="F261" i="58"/>
  <c r="E261" i="58"/>
  <c r="C261" i="58"/>
  <c r="B261" i="58"/>
  <c r="I260" i="58"/>
  <c r="H260" i="58"/>
  <c r="G260" i="58"/>
  <c r="F260" i="58"/>
  <c r="E260" i="58"/>
  <c r="C260" i="58"/>
  <c r="B260" i="58"/>
  <c r="I259" i="58"/>
  <c r="H259" i="58"/>
  <c r="G259" i="58"/>
  <c r="F259" i="58"/>
  <c r="E259" i="58"/>
  <c r="C259" i="58"/>
  <c r="B259" i="58"/>
  <c r="I258" i="58"/>
  <c r="H258" i="58"/>
  <c r="G258" i="58"/>
  <c r="F258" i="58"/>
  <c r="E258" i="58"/>
  <c r="C258" i="58"/>
  <c r="B258" i="58"/>
  <c r="AO257" i="58"/>
  <c r="AP257" i="58" s="1"/>
  <c r="I257" i="58"/>
  <c r="H257" i="58"/>
  <c r="F257" i="58"/>
  <c r="E257" i="58"/>
  <c r="C257" i="58"/>
  <c r="I256" i="58"/>
  <c r="H256" i="58"/>
  <c r="G256" i="58"/>
  <c r="F256" i="58"/>
  <c r="E256" i="58"/>
  <c r="C256" i="58"/>
  <c r="B256" i="58"/>
  <c r="I255" i="58"/>
  <c r="H255" i="58"/>
  <c r="G255" i="58"/>
  <c r="F255" i="58"/>
  <c r="E255" i="58"/>
  <c r="C255" i="58"/>
  <c r="B255" i="58"/>
  <c r="I254" i="58"/>
  <c r="H254" i="58"/>
  <c r="G254" i="58"/>
  <c r="F254" i="58"/>
  <c r="E254" i="58"/>
  <c r="C254" i="58"/>
  <c r="B254" i="58"/>
  <c r="I253" i="58"/>
  <c r="H253" i="58"/>
  <c r="G253" i="58"/>
  <c r="F253" i="58"/>
  <c r="E253" i="58"/>
  <c r="C253" i="58"/>
  <c r="B253" i="58"/>
  <c r="I252" i="58"/>
  <c r="H252" i="58"/>
  <c r="G252" i="58"/>
  <c r="F252" i="58"/>
  <c r="E252" i="58"/>
  <c r="C252" i="58"/>
  <c r="B252" i="58"/>
  <c r="I251" i="58"/>
  <c r="H251" i="58"/>
  <c r="G251" i="58"/>
  <c r="F251" i="58"/>
  <c r="E251" i="58"/>
  <c r="C251" i="58"/>
  <c r="B251" i="58"/>
  <c r="I250" i="58"/>
  <c r="H250" i="58"/>
  <c r="G250" i="58"/>
  <c r="F250" i="58"/>
  <c r="E250" i="58"/>
  <c r="C250" i="58"/>
  <c r="B250" i="58"/>
  <c r="I249" i="58"/>
  <c r="H249" i="58"/>
  <c r="G249" i="58"/>
  <c r="F249" i="58"/>
  <c r="E249" i="58"/>
  <c r="C249" i="58"/>
  <c r="B249" i="58"/>
  <c r="I248" i="58"/>
  <c r="H248" i="58"/>
  <c r="G248" i="58"/>
  <c r="F248" i="58"/>
  <c r="E248" i="58"/>
  <c r="C248" i="58"/>
  <c r="B248" i="58"/>
  <c r="B193" i="58"/>
  <c r="B192" i="58"/>
  <c r="B189" i="58"/>
  <c r="B182" i="58"/>
  <c r="B181" i="58"/>
  <c r="B180" i="58"/>
  <c r="B179" i="58"/>
  <c r="B178" i="58"/>
  <c r="B177" i="58"/>
  <c r="B176" i="58"/>
  <c r="B175" i="58"/>
  <c r="B174" i="58"/>
  <c r="B170" i="58"/>
  <c r="B169" i="58"/>
  <c r="B168" i="58"/>
  <c r="B167" i="58"/>
  <c r="B166" i="58"/>
  <c r="B165" i="58"/>
  <c r="B164" i="58"/>
  <c r="B163" i="58"/>
  <c r="B162" i="58"/>
  <c r="B155" i="58"/>
  <c r="AL146" i="58"/>
  <c r="T146" i="58"/>
  <c r="E146" i="58"/>
  <c r="AT146" i="58" s="1"/>
  <c r="AQ145" i="58"/>
  <c r="E145" i="58"/>
  <c r="AK144" i="58"/>
  <c r="AA144" i="58"/>
  <c r="O144" i="58"/>
  <c r="E144" i="58"/>
  <c r="AR143" i="58"/>
  <c r="AQ143" i="58"/>
  <c r="AM143" i="58"/>
  <c r="AA143" i="58"/>
  <c r="B142" i="58"/>
  <c r="AP141" i="58"/>
  <c r="AB141" i="58"/>
  <c r="AM140" i="58"/>
  <c r="M140" i="58"/>
  <c r="E140" i="58"/>
  <c r="U140" i="58" s="1"/>
  <c r="AM139" i="58"/>
  <c r="AD139" i="58"/>
  <c r="T139" i="58"/>
  <c r="E139" i="58"/>
  <c r="AS138" i="58"/>
  <c r="T138" i="58"/>
  <c r="E138" i="58"/>
  <c r="AP138" i="58" s="1"/>
  <c r="AS135" i="58"/>
  <c r="AS146" i="58" s="1"/>
  <c r="AN135" i="58"/>
  <c r="AN146" i="58" s="1"/>
  <c r="AM135" i="58"/>
  <c r="AL135" i="58"/>
  <c r="AK135" i="58"/>
  <c r="AK146" i="58" s="1"/>
  <c r="AG135" i="58"/>
  <c r="AG146" i="58" s="1"/>
  <c r="AB135" i="58"/>
  <c r="AB146" i="58" s="1"/>
  <c r="AA135" i="58"/>
  <c r="Z135" i="58"/>
  <c r="Z146" i="58" s="1"/>
  <c r="Y135" i="58"/>
  <c r="T135" i="58"/>
  <c r="R135" i="58"/>
  <c r="R146" i="58" s="1"/>
  <c r="O135" i="58"/>
  <c r="O146" i="58" s="1"/>
  <c r="N135" i="58"/>
  <c r="N146" i="58" s="1"/>
  <c r="M135" i="58"/>
  <c r="M146" i="58" s="1"/>
  <c r="E135" i="58"/>
  <c r="AR134" i="58"/>
  <c r="AR145" i="58" s="1"/>
  <c r="AQ134" i="58"/>
  <c r="AO134" i="58"/>
  <c r="AO145" i="58" s="1"/>
  <c r="AF134" i="58"/>
  <c r="AF145" i="58" s="1"/>
  <c r="AE134" i="58"/>
  <c r="AE145" i="58" s="1"/>
  <c r="AC134" i="58"/>
  <c r="AC145" i="58" s="1"/>
  <c r="AB134" i="58"/>
  <c r="AB145" i="58" s="1"/>
  <c r="T134" i="58"/>
  <c r="T145" i="58" s="1"/>
  <c r="S134" i="58"/>
  <c r="S145" i="58" s="1"/>
  <c r="Q134" i="58"/>
  <c r="Q145" i="58" s="1"/>
  <c r="E134" i="58"/>
  <c r="B134" i="58"/>
  <c r="B145" i="58" s="1"/>
  <c r="AV133" i="58"/>
  <c r="AV144" i="58" s="1"/>
  <c r="AT133" i="58"/>
  <c r="AT144" i="58" s="1"/>
  <c r="AQ133" i="58"/>
  <c r="AQ144" i="58" s="1"/>
  <c r="AK133" i="58"/>
  <c r="AJ133" i="58"/>
  <c r="AJ144" i="58" s="1"/>
  <c r="AI133" i="58"/>
  <c r="AI144" i="58" s="1"/>
  <c r="AE133" i="58"/>
  <c r="AE144" i="58" s="1"/>
  <c r="Y133" i="58"/>
  <c r="Y144" i="58" s="1"/>
  <c r="X133" i="58"/>
  <c r="X144" i="58" s="1"/>
  <c r="V133" i="58"/>
  <c r="V144" i="58" s="1"/>
  <c r="S133" i="58"/>
  <c r="S144" i="58" s="1"/>
  <c r="Q133" i="58"/>
  <c r="Q144" i="58" s="1"/>
  <c r="M133" i="58"/>
  <c r="M144" i="58" s="1"/>
  <c r="L133" i="58"/>
  <c r="L144" i="58" s="1"/>
  <c r="J133" i="58"/>
  <c r="J144" i="58" s="1"/>
  <c r="E133" i="58"/>
  <c r="B133" i="58"/>
  <c r="B144" i="58" s="1"/>
  <c r="AV132" i="58"/>
  <c r="AV143" i="58" s="1"/>
  <c r="AR132" i="58"/>
  <c r="AP132" i="58"/>
  <c r="AP143" i="58" s="1"/>
  <c r="AO132" i="58"/>
  <c r="AO143" i="58" s="1"/>
  <c r="AK132" i="58"/>
  <c r="AK143" i="58" s="1"/>
  <c r="AJ132" i="58"/>
  <c r="AJ143" i="58" s="1"/>
  <c r="AF132" i="58"/>
  <c r="AF143" i="58" s="1"/>
  <c r="AD132" i="58"/>
  <c r="AD143" i="58" s="1"/>
  <c r="AC132" i="58"/>
  <c r="AC143" i="58" s="1"/>
  <c r="Y132" i="58"/>
  <c r="Y143" i="58" s="1"/>
  <c r="X132" i="58"/>
  <c r="X143" i="58" s="1"/>
  <c r="T132" i="58"/>
  <c r="T143" i="58" s="1"/>
  <c r="R132" i="58"/>
  <c r="R143" i="58" s="1"/>
  <c r="Q132" i="58"/>
  <c r="Q143" i="58" s="1"/>
  <c r="M132" i="58"/>
  <c r="M143" i="58" s="1"/>
  <c r="L132" i="58"/>
  <c r="L143" i="58" s="1"/>
  <c r="E132" i="58"/>
  <c r="E143" i="58" s="1"/>
  <c r="B132" i="58"/>
  <c r="B143" i="58" s="1"/>
  <c r="AU131" i="58"/>
  <c r="AT131" i="58"/>
  <c r="AT142" i="58" s="1"/>
  <c r="AP131" i="58"/>
  <c r="AP142" i="58" s="1"/>
  <c r="AO131" i="58"/>
  <c r="AO142" i="58" s="1"/>
  <c r="AI131" i="58"/>
  <c r="AH131" i="58"/>
  <c r="AH142" i="58" s="1"/>
  <c r="AE131" i="58"/>
  <c r="AE142" i="58" s="1"/>
  <c r="AD131" i="58"/>
  <c r="AC131" i="58"/>
  <c r="AC142" i="58" s="1"/>
  <c r="Y131" i="58"/>
  <c r="Y142" i="58" s="1"/>
  <c r="W131" i="58"/>
  <c r="V131" i="58"/>
  <c r="R131" i="58"/>
  <c r="R142" i="58" s="1"/>
  <c r="Q131" i="58"/>
  <c r="M131" i="58"/>
  <c r="M142" i="58" s="1"/>
  <c r="K131" i="58"/>
  <c r="J131" i="58"/>
  <c r="E131" i="58"/>
  <c r="E142" i="58" s="1"/>
  <c r="AD142" i="58" s="1"/>
  <c r="B131" i="58"/>
  <c r="AU130" i="58"/>
  <c r="AU141" i="58" s="1"/>
  <c r="AP130" i="58"/>
  <c r="AN130" i="58"/>
  <c r="AN141" i="58" s="1"/>
  <c r="AI130" i="58"/>
  <c r="AI141" i="58" s="1"/>
  <c r="AD130" i="58"/>
  <c r="AD141" i="58" s="1"/>
  <c r="AB130" i="58"/>
  <c r="Y130" i="58"/>
  <c r="Y141" i="58" s="1"/>
  <c r="W130" i="58"/>
  <c r="W141" i="58" s="1"/>
  <c r="T130" i="58"/>
  <c r="T141" i="58" s="1"/>
  <c r="R130" i="58"/>
  <c r="R141" i="58" s="1"/>
  <c r="P130" i="58"/>
  <c r="P141" i="58" s="1"/>
  <c r="M130" i="58"/>
  <c r="M141" i="58" s="1"/>
  <c r="K130" i="58"/>
  <c r="K141" i="58" s="1"/>
  <c r="E130" i="58"/>
  <c r="E141" i="58" s="1"/>
  <c r="AU129" i="58"/>
  <c r="AU140" i="58" s="1"/>
  <c r="AP129" i="58"/>
  <c r="AP140" i="58" s="1"/>
  <c r="AD129" i="58"/>
  <c r="AD140" i="58" s="1"/>
  <c r="AC129" i="58"/>
  <c r="AC140" i="58" s="1"/>
  <c r="W129" i="58"/>
  <c r="W140" i="58" s="1"/>
  <c r="R129" i="58"/>
  <c r="R140" i="58" s="1"/>
  <c r="K129" i="58"/>
  <c r="K140" i="58" s="1"/>
  <c r="E129" i="58"/>
  <c r="B129" i="58"/>
  <c r="B140" i="58" s="1"/>
  <c r="AR128" i="58"/>
  <c r="AR139" i="58" s="1"/>
  <c r="AK128" i="58"/>
  <c r="AK139" i="58" s="1"/>
  <c r="AJ128" i="58"/>
  <c r="AJ139" i="58" s="1"/>
  <c r="AF128" i="58"/>
  <c r="AF139" i="58" s="1"/>
  <c r="Y128" i="58"/>
  <c r="Y139" i="58" s="1"/>
  <c r="T128" i="58"/>
  <c r="R128" i="58"/>
  <c r="R139" i="58" s="1"/>
  <c r="M128" i="58"/>
  <c r="M139" i="58" s="1"/>
  <c r="E128" i="58"/>
  <c r="B128" i="58"/>
  <c r="B139" i="58" s="1"/>
  <c r="AQ127" i="58"/>
  <c r="AQ138" i="58" s="1"/>
  <c r="AP127" i="58"/>
  <c r="AO127" i="58"/>
  <c r="AO138" i="58" s="1"/>
  <c r="AL127" i="58"/>
  <c r="AL138" i="58" s="1"/>
  <c r="AK127" i="58"/>
  <c r="AK138" i="58" s="1"/>
  <c r="AE127" i="58"/>
  <c r="AD127" i="58"/>
  <c r="AD138" i="58" s="1"/>
  <c r="Z127" i="58"/>
  <c r="Z138" i="58" s="1"/>
  <c r="Y127" i="58"/>
  <c r="Y138" i="58" s="1"/>
  <c r="S127" i="58"/>
  <c r="S138" i="58" s="1"/>
  <c r="R127" i="58"/>
  <c r="R138" i="58" s="1"/>
  <c r="Q127" i="58"/>
  <c r="Q138" i="58" s="1"/>
  <c r="N127" i="58"/>
  <c r="N138" i="58" s="1"/>
  <c r="M127" i="58"/>
  <c r="E127" i="58"/>
  <c r="AV124" i="58"/>
  <c r="AV135" i="58" s="1"/>
  <c r="AV146" i="58" s="1"/>
  <c r="AU124" i="58"/>
  <c r="AU135" i="58" s="1"/>
  <c r="AU146" i="58" s="1"/>
  <c r="AT124" i="58"/>
  <c r="AT135" i="58" s="1"/>
  <c r="AS124" i="58"/>
  <c r="AR124" i="58"/>
  <c r="AR135" i="58" s="1"/>
  <c r="AR146" i="58" s="1"/>
  <c r="AQ124" i="58"/>
  <c r="AQ135" i="58" s="1"/>
  <c r="AQ146" i="58" s="1"/>
  <c r="AP124" i="58"/>
  <c r="AP135" i="58" s="1"/>
  <c r="AO124" i="58"/>
  <c r="AO135" i="58" s="1"/>
  <c r="AO146" i="58" s="1"/>
  <c r="AN124" i="58"/>
  <c r="AM124" i="58"/>
  <c r="AL124" i="58"/>
  <c r="AK124" i="58"/>
  <c r="AJ124" i="58"/>
  <c r="AJ135" i="58" s="1"/>
  <c r="AJ146" i="58" s="1"/>
  <c r="AI124" i="58"/>
  <c r="AI135" i="58" s="1"/>
  <c r="AI146" i="58" s="1"/>
  <c r="AH124" i="58"/>
  <c r="AH135" i="58" s="1"/>
  <c r="AG124" i="58"/>
  <c r="AF124" i="58"/>
  <c r="AF135" i="58" s="1"/>
  <c r="AF146" i="58" s="1"/>
  <c r="AE124" i="58"/>
  <c r="AE135" i="58" s="1"/>
  <c r="AE146" i="58" s="1"/>
  <c r="AD124" i="58"/>
  <c r="AD135" i="58" s="1"/>
  <c r="AD146" i="58" s="1"/>
  <c r="AC124" i="58"/>
  <c r="AC135" i="58" s="1"/>
  <c r="AC146" i="58" s="1"/>
  <c r="AB124" i="58"/>
  <c r="AA124" i="58"/>
  <c r="Z124" i="58"/>
  <c r="Y124" i="58"/>
  <c r="X124" i="58"/>
  <c r="X135" i="58" s="1"/>
  <c r="X146" i="58" s="1"/>
  <c r="W124" i="58"/>
  <c r="W135" i="58" s="1"/>
  <c r="W146" i="58" s="1"/>
  <c r="V124" i="58"/>
  <c r="V135" i="58" s="1"/>
  <c r="U124" i="58"/>
  <c r="U135" i="58" s="1"/>
  <c r="U146" i="58" s="1"/>
  <c r="T124" i="58"/>
  <c r="S124" i="58"/>
  <c r="S135" i="58" s="1"/>
  <c r="S146" i="58" s="1"/>
  <c r="R124" i="58"/>
  <c r="Q124" i="58"/>
  <c r="Q135" i="58" s="1"/>
  <c r="Q146" i="58" s="1"/>
  <c r="P124" i="58"/>
  <c r="P135" i="58" s="1"/>
  <c r="O124" i="58"/>
  <c r="N124" i="58"/>
  <c r="M124" i="58"/>
  <c r="L124" i="58"/>
  <c r="L135" i="58" s="1"/>
  <c r="L146" i="58" s="1"/>
  <c r="K124" i="58"/>
  <c r="K135" i="58" s="1"/>
  <c r="K146" i="58" s="1"/>
  <c r="J124" i="58"/>
  <c r="J135" i="58" s="1"/>
  <c r="B124" i="58"/>
  <c r="B135" i="58" s="1"/>
  <c r="B146" i="58" s="1"/>
  <c r="AV123" i="58"/>
  <c r="AV134" i="58" s="1"/>
  <c r="AV145" i="58" s="1"/>
  <c r="AU123" i="58"/>
  <c r="AU134" i="58" s="1"/>
  <c r="AU145" i="58" s="1"/>
  <c r="AT123" i="58"/>
  <c r="AT134" i="58" s="1"/>
  <c r="AT145" i="58" s="1"/>
  <c r="AS123" i="58"/>
  <c r="AS134" i="58" s="1"/>
  <c r="AS145" i="58" s="1"/>
  <c r="AR123" i="58"/>
  <c r="AQ123" i="58"/>
  <c r="AP123" i="58"/>
  <c r="AP134" i="58" s="1"/>
  <c r="AP145" i="58" s="1"/>
  <c r="AO123" i="58"/>
  <c r="AN123" i="58"/>
  <c r="AN134" i="58" s="1"/>
  <c r="AN145" i="58" s="1"/>
  <c r="AM123" i="58"/>
  <c r="AM134" i="58" s="1"/>
  <c r="AM145" i="58" s="1"/>
  <c r="AL123" i="58"/>
  <c r="AL134" i="58" s="1"/>
  <c r="AL145" i="58" s="1"/>
  <c r="AK123" i="58"/>
  <c r="AK134" i="58" s="1"/>
  <c r="AK145" i="58" s="1"/>
  <c r="AJ123" i="58"/>
  <c r="AJ134" i="58" s="1"/>
  <c r="AJ145" i="58" s="1"/>
  <c r="AI123" i="58"/>
  <c r="AI134" i="58" s="1"/>
  <c r="AI145" i="58" s="1"/>
  <c r="AH123" i="58"/>
  <c r="AH134" i="58" s="1"/>
  <c r="AH145" i="58" s="1"/>
  <c r="AG123" i="58"/>
  <c r="AG134" i="58" s="1"/>
  <c r="AG145" i="58" s="1"/>
  <c r="AF123" i="58"/>
  <c r="AE123" i="58"/>
  <c r="AD123" i="58"/>
  <c r="AD134" i="58" s="1"/>
  <c r="AD145" i="58" s="1"/>
  <c r="AC123" i="58"/>
  <c r="AB123" i="58"/>
  <c r="AA123" i="58"/>
  <c r="AA134" i="58" s="1"/>
  <c r="AA145" i="58" s="1"/>
  <c r="Z123" i="58"/>
  <c r="Z134" i="58" s="1"/>
  <c r="Z145" i="58" s="1"/>
  <c r="Y123" i="58"/>
  <c r="Y134" i="58" s="1"/>
  <c r="Y145" i="58" s="1"/>
  <c r="X123" i="58"/>
  <c r="X134" i="58" s="1"/>
  <c r="X145" i="58" s="1"/>
  <c r="W123" i="58"/>
  <c r="W134" i="58" s="1"/>
  <c r="W145" i="58" s="1"/>
  <c r="V123" i="58"/>
  <c r="V134" i="58" s="1"/>
  <c r="V145" i="58" s="1"/>
  <c r="U123" i="58"/>
  <c r="U134" i="58" s="1"/>
  <c r="U145" i="58" s="1"/>
  <c r="T123" i="58"/>
  <c r="S123" i="58"/>
  <c r="R123" i="58"/>
  <c r="R134" i="58" s="1"/>
  <c r="R145" i="58" s="1"/>
  <c r="Q123" i="58"/>
  <c r="P123" i="58"/>
  <c r="P134" i="58" s="1"/>
  <c r="P145" i="58" s="1"/>
  <c r="O123" i="58"/>
  <c r="O134" i="58" s="1"/>
  <c r="O145" i="58" s="1"/>
  <c r="N123" i="58"/>
  <c r="N134" i="58" s="1"/>
  <c r="N145" i="58" s="1"/>
  <c r="M123" i="58"/>
  <c r="M134" i="58" s="1"/>
  <c r="M145" i="58" s="1"/>
  <c r="L123" i="58"/>
  <c r="L134" i="58" s="1"/>
  <c r="L145" i="58" s="1"/>
  <c r="K123" i="58"/>
  <c r="K134" i="58" s="1"/>
  <c r="K145" i="58" s="1"/>
  <c r="J123" i="58"/>
  <c r="J134" i="58" s="1"/>
  <c r="J145" i="58" s="1"/>
  <c r="B123" i="58"/>
  <c r="AV122" i="58"/>
  <c r="AU122" i="58"/>
  <c r="AU133" i="58" s="1"/>
  <c r="AU144" i="58" s="1"/>
  <c r="AT122" i="58"/>
  <c r="AS122" i="58"/>
  <c r="AS133" i="58" s="1"/>
  <c r="AS144" i="58" s="1"/>
  <c r="AR122" i="58"/>
  <c r="AR133" i="58" s="1"/>
  <c r="AR144" i="58" s="1"/>
  <c r="AQ122" i="58"/>
  <c r="AP122" i="58"/>
  <c r="AP133" i="58" s="1"/>
  <c r="AP144" i="58" s="1"/>
  <c r="AO122" i="58"/>
  <c r="AO133" i="58" s="1"/>
  <c r="AO144" i="58" s="1"/>
  <c r="AN122" i="58"/>
  <c r="AN133" i="58" s="1"/>
  <c r="AN144" i="58" s="1"/>
  <c r="AM122" i="58"/>
  <c r="AM133" i="58" s="1"/>
  <c r="AM144" i="58" s="1"/>
  <c r="AL122" i="58"/>
  <c r="AL133" i="58" s="1"/>
  <c r="AL144" i="58" s="1"/>
  <c r="AK122" i="58"/>
  <c r="AJ122" i="58"/>
  <c r="AI122" i="58"/>
  <c r="AH122" i="58"/>
  <c r="AH133" i="58" s="1"/>
  <c r="AH144" i="58" s="1"/>
  <c r="AG122" i="58"/>
  <c r="AG133" i="58" s="1"/>
  <c r="AG144" i="58" s="1"/>
  <c r="AF122" i="58"/>
  <c r="AF133" i="58" s="1"/>
  <c r="AF144" i="58" s="1"/>
  <c r="AE122" i="58"/>
  <c r="AD122" i="58"/>
  <c r="AD133" i="58" s="1"/>
  <c r="AD144" i="58" s="1"/>
  <c r="AC122" i="58"/>
  <c r="AC133" i="58" s="1"/>
  <c r="AC144" i="58" s="1"/>
  <c r="AB122" i="58"/>
  <c r="AB133" i="58" s="1"/>
  <c r="AB144" i="58" s="1"/>
  <c r="AA122" i="58"/>
  <c r="AA133" i="58" s="1"/>
  <c r="Z122" i="58"/>
  <c r="Z133" i="58" s="1"/>
  <c r="Z144" i="58" s="1"/>
  <c r="Y122" i="58"/>
  <c r="X122" i="58"/>
  <c r="W122" i="58"/>
  <c r="W133" i="58" s="1"/>
  <c r="W144" i="58" s="1"/>
  <c r="V122" i="58"/>
  <c r="U122" i="58"/>
  <c r="U133" i="58" s="1"/>
  <c r="U144" i="58" s="1"/>
  <c r="T122" i="58"/>
  <c r="T133" i="58" s="1"/>
  <c r="T144" i="58" s="1"/>
  <c r="S122" i="58"/>
  <c r="R122" i="58"/>
  <c r="R133" i="58" s="1"/>
  <c r="R144" i="58" s="1"/>
  <c r="Q122" i="58"/>
  <c r="P122" i="58"/>
  <c r="P133" i="58" s="1"/>
  <c r="P144" i="58" s="1"/>
  <c r="O122" i="58"/>
  <c r="O133" i="58" s="1"/>
  <c r="N122" i="58"/>
  <c r="N133" i="58" s="1"/>
  <c r="N144" i="58" s="1"/>
  <c r="M122" i="58"/>
  <c r="L122" i="58"/>
  <c r="K122" i="58"/>
  <c r="K133" i="58" s="1"/>
  <c r="K144" i="58" s="1"/>
  <c r="J122" i="58"/>
  <c r="B122" i="58"/>
  <c r="AV121" i="58"/>
  <c r="AU121" i="58"/>
  <c r="AU132" i="58" s="1"/>
  <c r="AU143" i="58" s="1"/>
  <c r="AT121" i="58"/>
  <c r="AT132" i="58" s="1"/>
  <c r="AT143" i="58" s="1"/>
  <c r="AS121" i="58"/>
  <c r="AS132" i="58" s="1"/>
  <c r="AS143" i="58" s="1"/>
  <c r="AR121" i="58"/>
  <c r="AQ121" i="58"/>
  <c r="AQ132" i="58" s="1"/>
  <c r="AP121" i="58"/>
  <c r="AO121" i="58"/>
  <c r="AN121" i="58"/>
  <c r="AN132" i="58" s="1"/>
  <c r="AN143" i="58" s="1"/>
  <c r="AM121" i="58"/>
  <c r="AM132" i="58" s="1"/>
  <c r="AL121" i="58"/>
  <c r="AL132" i="58" s="1"/>
  <c r="AL143" i="58" s="1"/>
  <c r="AK121" i="58"/>
  <c r="AJ121" i="58"/>
  <c r="AI121" i="58"/>
  <c r="AI132" i="58" s="1"/>
  <c r="AI143" i="58" s="1"/>
  <c r="AH121" i="58"/>
  <c r="AH132" i="58" s="1"/>
  <c r="AH143" i="58" s="1"/>
  <c r="AG121" i="58"/>
  <c r="AG132" i="58" s="1"/>
  <c r="AG143" i="58" s="1"/>
  <c r="AF121" i="58"/>
  <c r="AE121" i="58"/>
  <c r="AE132" i="58" s="1"/>
  <c r="AE143" i="58" s="1"/>
  <c r="AD121" i="58"/>
  <c r="AC121" i="58"/>
  <c r="AB121" i="58"/>
  <c r="AB132" i="58" s="1"/>
  <c r="AB143" i="58" s="1"/>
  <c r="AA121" i="58"/>
  <c r="AA132" i="58" s="1"/>
  <c r="Z121" i="58"/>
  <c r="Z132" i="58" s="1"/>
  <c r="Z143" i="58" s="1"/>
  <c r="Y121" i="58"/>
  <c r="X121" i="58"/>
  <c r="W121" i="58"/>
  <c r="W132" i="58" s="1"/>
  <c r="W143" i="58" s="1"/>
  <c r="V121" i="58"/>
  <c r="V132" i="58" s="1"/>
  <c r="V143" i="58" s="1"/>
  <c r="U121" i="58"/>
  <c r="U132" i="58" s="1"/>
  <c r="U143" i="58" s="1"/>
  <c r="T121" i="58"/>
  <c r="S121" i="58"/>
  <c r="S132" i="58" s="1"/>
  <c r="S143" i="58" s="1"/>
  <c r="R121" i="58"/>
  <c r="Q121" i="58"/>
  <c r="P121" i="58"/>
  <c r="P132" i="58" s="1"/>
  <c r="P143" i="58" s="1"/>
  <c r="O121" i="58"/>
  <c r="O132" i="58" s="1"/>
  <c r="O143" i="58" s="1"/>
  <c r="N121" i="58"/>
  <c r="N132" i="58" s="1"/>
  <c r="N143" i="58" s="1"/>
  <c r="M121" i="58"/>
  <c r="L121" i="58"/>
  <c r="K121" i="58"/>
  <c r="K132" i="58" s="1"/>
  <c r="K143" i="58" s="1"/>
  <c r="J121" i="58"/>
  <c r="J132" i="58" s="1"/>
  <c r="J143" i="58" s="1"/>
  <c r="B121" i="58"/>
  <c r="AV120" i="58"/>
  <c r="AV131" i="58" s="1"/>
  <c r="AV142" i="58" s="1"/>
  <c r="AU120" i="58"/>
  <c r="AT120" i="58"/>
  <c r="AS120" i="58"/>
  <c r="AS131" i="58" s="1"/>
  <c r="AS142" i="58" s="1"/>
  <c r="AR120" i="58"/>
  <c r="AR131" i="58" s="1"/>
  <c r="AQ120" i="58"/>
  <c r="AQ131" i="58" s="1"/>
  <c r="AQ142" i="58" s="1"/>
  <c r="AP120" i="58"/>
  <c r="AO120" i="58"/>
  <c r="AN120" i="58"/>
  <c r="AN131" i="58" s="1"/>
  <c r="AN142" i="58" s="1"/>
  <c r="AM120" i="58"/>
  <c r="AM131" i="58" s="1"/>
  <c r="AM142" i="58" s="1"/>
  <c r="AL120" i="58"/>
  <c r="AL131" i="58" s="1"/>
  <c r="AL142" i="58" s="1"/>
  <c r="AK120" i="58"/>
  <c r="AK131" i="58" s="1"/>
  <c r="AK142" i="58" s="1"/>
  <c r="AJ120" i="58"/>
  <c r="AJ131" i="58" s="1"/>
  <c r="AJ142" i="58" s="1"/>
  <c r="AI120" i="58"/>
  <c r="AH120" i="58"/>
  <c r="AG120" i="58"/>
  <c r="AG131" i="58" s="1"/>
  <c r="AG142" i="58" s="1"/>
  <c r="AF120" i="58"/>
  <c r="AF131" i="58" s="1"/>
  <c r="AF142" i="58" s="1"/>
  <c r="AE120" i="58"/>
  <c r="AD120" i="58"/>
  <c r="AC120" i="58"/>
  <c r="AB120" i="58"/>
  <c r="AB131" i="58" s="1"/>
  <c r="AB142" i="58" s="1"/>
  <c r="AA120" i="58"/>
  <c r="AA131" i="58" s="1"/>
  <c r="AA142" i="58" s="1"/>
  <c r="Z120" i="58"/>
  <c r="Z131" i="58" s="1"/>
  <c r="Z142" i="58" s="1"/>
  <c r="Y120" i="58"/>
  <c r="X120" i="58"/>
  <c r="X131" i="58" s="1"/>
  <c r="X142" i="58" s="1"/>
  <c r="W120" i="58"/>
  <c r="V120" i="58"/>
  <c r="U120" i="58"/>
  <c r="U131" i="58" s="1"/>
  <c r="U142" i="58" s="1"/>
  <c r="T120" i="58"/>
  <c r="T131" i="58" s="1"/>
  <c r="S120" i="58"/>
  <c r="S131" i="58" s="1"/>
  <c r="S142" i="58" s="1"/>
  <c r="R120" i="58"/>
  <c r="Q120" i="58"/>
  <c r="P120" i="58"/>
  <c r="P131" i="58" s="1"/>
  <c r="P142" i="58" s="1"/>
  <c r="O120" i="58"/>
  <c r="O131" i="58" s="1"/>
  <c r="O142" i="58" s="1"/>
  <c r="N120" i="58"/>
  <c r="N131" i="58" s="1"/>
  <c r="N142" i="58" s="1"/>
  <c r="M120" i="58"/>
  <c r="L120" i="58"/>
  <c r="L131" i="58" s="1"/>
  <c r="L142" i="58" s="1"/>
  <c r="K120" i="58"/>
  <c r="J120" i="58"/>
  <c r="C120" i="58"/>
  <c r="C131" i="58" s="1"/>
  <c r="C142" i="58" s="1"/>
  <c r="C166" i="58" s="1"/>
  <c r="B120" i="58"/>
  <c r="AV119" i="58"/>
  <c r="AV130" i="58" s="1"/>
  <c r="AV141" i="58" s="1"/>
  <c r="AU119" i="58"/>
  <c r="AT119" i="58"/>
  <c r="AT130" i="58" s="1"/>
  <c r="AT141" i="58" s="1"/>
  <c r="AS119" i="58"/>
  <c r="AS130" i="58" s="1"/>
  <c r="AS141" i="58" s="1"/>
  <c r="AR119" i="58"/>
  <c r="AR130" i="58" s="1"/>
  <c r="AR141" i="58" s="1"/>
  <c r="AQ119" i="58"/>
  <c r="AQ130" i="58" s="1"/>
  <c r="AQ141" i="58" s="1"/>
  <c r="AP119" i="58"/>
  <c r="AO119" i="58"/>
  <c r="AO130" i="58" s="1"/>
  <c r="AO141" i="58" s="1"/>
  <c r="AN119" i="58"/>
  <c r="AM119" i="58"/>
  <c r="AM130" i="58" s="1"/>
  <c r="AM141" i="58" s="1"/>
  <c r="AL119" i="58"/>
  <c r="AL130" i="58" s="1"/>
  <c r="AL141" i="58" s="1"/>
  <c r="AK119" i="58"/>
  <c r="AK130" i="58" s="1"/>
  <c r="AK141" i="58" s="1"/>
  <c r="AJ119" i="58"/>
  <c r="AJ130" i="58" s="1"/>
  <c r="AJ141" i="58" s="1"/>
  <c r="AI119" i="58"/>
  <c r="AH119" i="58"/>
  <c r="AH130" i="58" s="1"/>
  <c r="AH141" i="58" s="1"/>
  <c r="AG119" i="58"/>
  <c r="AG130" i="58" s="1"/>
  <c r="AG141" i="58" s="1"/>
  <c r="AF119" i="58"/>
  <c r="AF130" i="58" s="1"/>
  <c r="AF141" i="58" s="1"/>
  <c r="AE119" i="58"/>
  <c r="AE130" i="58" s="1"/>
  <c r="AE141" i="58" s="1"/>
  <c r="AD119" i="58"/>
  <c r="AC119" i="58"/>
  <c r="AC130" i="58" s="1"/>
  <c r="AC141" i="58" s="1"/>
  <c r="AB119" i="58"/>
  <c r="AA119" i="58"/>
  <c r="AA130" i="58" s="1"/>
  <c r="AA141" i="58" s="1"/>
  <c r="Z119" i="58"/>
  <c r="Z130" i="58" s="1"/>
  <c r="Z141" i="58" s="1"/>
  <c r="Y119" i="58"/>
  <c r="X119" i="58"/>
  <c r="X130" i="58" s="1"/>
  <c r="X141" i="58" s="1"/>
  <c r="W119" i="58"/>
  <c r="V119" i="58"/>
  <c r="V130" i="58" s="1"/>
  <c r="V141" i="58" s="1"/>
  <c r="U119" i="58"/>
  <c r="U130" i="58" s="1"/>
  <c r="U141" i="58" s="1"/>
  <c r="T119" i="58"/>
  <c r="S119" i="58"/>
  <c r="S130" i="58" s="1"/>
  <c r="S141" i="58" s="1"/>
  <c r="R119" i="58"/>
  <c r="Q119" i="58"/>
  <c r="Q130" i="58" s="1"/>
  <c r="Q141" i="58" s="1"/>
  <c r="P119" i="58"/>
  <c r="O119" i="58"/>
  <c r="O130" i="58" s="1"/>
  <c r="O141" i="58" s="1"/>
  <c r="N119" i="58"/>
  <c r="N130" i="58" s="1"/>
  <c r="N141" i="58" s="1"/>
  <c r="M119" i="58"/>
  <c r="L119" i="58"/>
  <c r="L130" i="58" s="1"/>
  <c r="L141" i="58" s="1"/>
  <c r="K119" i="58"/>
  <c r="J119" i="58"/>
  <c r="J130" i="58" s="1"/>
  <c r="J141" i="58" s="1"/>
  <c r="B119" i="58"/>
  <c r="B130" i="58" s="1"/>
  <c r="B141" i="58" s="1"/>
  <c r="AV118" i="58"/>
  <c r="AV129" i="58" s="1"/>
  <c r="AV140" i="58" s="1"/>
  <c r="AU118" i="58"/>
  <c r="AT118" i="58"/>
  <c r="AT129" i="58" s="1"/>
  <c r="AT140" i="58" s="1"/>
  <c r="AS118" i="58"/>
  <c r="AS129" i="58" s="1"/>
  <c r="AS140" i="58" s="1"/>
  <c r="AR118" i="58"/>
  <c r="AR129" i="58" s="1"/>
  <c r="AR140" i="58" s="1"/>
  <c r="AQ118" i="58"/>
  <c r="AQ129" i="58" s="1"/>
  <c r="AQ140" i="58" s="1"/>
  <c r="AP118" i="58"/>
  <c r="AO118" i="58"/>
  <c r="AO129" i="58" s="1"/>
  <c r="AO140" i="58" s="1"/>
  <c r="AN118" i="58"/>
  <c r="AN129" i="58" s="1"/>
  <c r="AN140" i="58" s="1"/>
  <c r="AM118" i="58"/>
  <c r="AM129" i="58" s="1"/>
  <c r="AL118" i="58"/>
  <c r="AL129" i="58" s="1"/>
  <c r="AL140" i="58" s="1"/>
  <c r="AK118" i="58"/>
  <c r="AK129" i="58" s="1"/>
  <c r="AK140" i="58" s="1"/>
  <c r="AJ118" i="58"/>
  <c r="AJ129" i="58" s="1"/>
  <c r="AJ140" i="58" s="1"/>
  <c r="AI118" i="58"/>
  <c r="AI129" i="58" s="1"/>
  <c r="AI140" i="58" s="1"/>
  <c r="AH118" i="58"/>
  <c r="AH129" i="58" s="1"/>
  <c r="AH140" i="58" s="1"/>
  <c r="AG118" i="58"/>
  <c r="AG129" i="58" s="1"/>
  <c r="AF118" i="58"/>
  <c r="AF129" i="58" s="1"/>
  <c r="AF140" i="58" s="1"/>
  <c r="AE118" i="58"/>
  <c r="AE129" i="58" s="1"/>
  <c r="AE140" i="58" s="1"/>
  <c r="AD118" i="58"/>
  <c r="AC118" i="58"/>
  <c r="AB118" i="58"/>
  <c r="AB129" i="58" s="1"/>
  <c r="AB140" i="58" s="1"/>
  <c r="AA118" i="58"/>
  <c r="AA129" i="58" s="1"/>
  <c r="AA140" i="58" s="1"/>
  <c r="Z118" i="58"/>
  <c r="Z129" i="58" s="1"/>
  <c r="Z140" i="58" s="1"/>
  <c r="Y118" i="58"/>
  <c r="Y129" i="58" s="1"/>
  <c r="Y140" i="58" s="1"/>
  <c r="X118" i="58"/>
  <c r="X129" i="58" s="1"/>
  <c r="X140" i="58" s="1"/>
  <c r="W118" i="58"/>
  <c r="V118" i="58"/>
  <c r="V129" i="58" s="1"/>
  <c r="V140" i="58" s="1"/>
  <c r="U118" i="58"/>
  <c r="U129" i="58" s="1"/>
  <c r="T118" i="58"/>
  <c r="T129" i="58" s="1"/>
  <c r="T140" i="58" s="1"/>
  <c r="S118" i="58"/>
  <c r="S129" i="58" s="1"/>
  <c r="S140" i="58" s="1"/>
  <c r="R118" i="58"/>
  <c r="Q118" i="58"/>
  <c r="Q129" i="58" s="1"/>
  <c r="Q140" i="58" s="1"/>
  <c r="P118" i="58"/>
  <c r="P129" i="58" s="1"/>
  <c r="P140" i="58" s="1"/>
  <c r="O118" i="58"/>
  <c r="O129" i="58" s="1"/>
  <c r="O140" i="58" s="1"/>
  <c r="N118" i="58"/>
  <c r="N129" i="58" s="1"/>
  <c r="N140" i="58" s="1"/>
  <c r="M118" i="58"/>
  <c r="M129" i="58" s="1"/>
  <c r="L118" i="58"/>
  <c r="L129" i="58" s="1"/>
  <c r="L140" i="58" s="1"/>
  <c r="K118" i="58"/>
  <c r="J118" i="58"/>
  <c r="J129" i="58" s="1"/>
  <c r="J140" i="58" s="1"/>
  <c r="B118" i="58"/>
  <c r="AV117" i="58"/>
  <c r="AV128" i="58" s="1"/>
  <c r="AV139" i="58" s="1"/>
  <c r="AU117" i="58"/>
  <c r="AU128" i="58" s="1"/>
  <c r="AU139" i="58" s="1"/>
  <c r="AT117" i="58"/>
  <c r="AT128" i="58" s="1"/>
  <c r="AT139" i="58" s="1"/>
  <c r="AS117" i="58"/>
  <c r="AS128" i="58" s="1"/>
  <c r="AS139" i="58" s="1"/>
  <c r="AR117" i="58"/>
  <c r="AQ117" i="58"/>
  <c r="AQ128" i="58" s="1"/>
  <c r="AQ139" i="58" s="1"/>
  <c r="AP117" i="58"/>
  <c r="AP128" i="58" s="1"/>
  <c r="AP139" i="58" s="1"/>
  <c r="AO117" i="58"/>
  <c r="AO128" i="58" s="1"/>
  <c r="AO139" i="58" s="1"/>
  <c r="AN117" i="58"/>
  <c r="AN128" i="58" s="1"/>
  <c r="AN139" i="58" s="1"/>
  <c r="AM117" i="58"/>
  <c r="AM128" i="58" s="1"/>
  <c r="AL117" i="58"/>
  <c r="AL128" i="58" s="1"/>
  <c r="AL139" i="58" s="1"/>
  <c r="AK117" i="58"/>
  <c r="AJ117" i="58"/>
  <c r="AI117" i="58"/>
  <c r="AI128" i="58" s="1"/>
  <c r="AI139" i="58" s="1"/>
  <c r="AH117" i="58"/>
  <c r="AH128" i="58" s="1"/>
  <c r="AH139" i="58" s="1"/>
  <c r="AG117" i="58"/>
  <c r="AG128" i="58" s="1"/>
  <c r="AG139" i="58" s="1"/>
  <c r="AF117" i="58"/>
  <c r="AE117" i="58"/>
  <c r="AE128" i="58" s="1"/>
  <c r="AE139" i="58" s="1"/>
  <c r="AD117" i="58"/>
  <c r="AD128" i="58" s="1"/>
  <c r="AC117" i="58"/>
  <c r="AC128" i="58" s="1"/>
  <c r="AC139" i="58" s="1"/>
  <c r="AB117" i="58"/>
  <c r="AB128" i="58" s="1"/>
  <c r="AB139" i="58" s="1"/>
  <c r="AA117" i="58"/>
  <c r="AA128" i="58" s="1"/>
  <c r="AA139" i="58" s="1"/>
  <c r="Z117" i="58"/>
  <c r="Z128" i="58" s="1"/>
  <c r="Z139" i="58" s="1"/>
  <c r="Y117" i="58"/>
  <c r="X117" i="58"/>
  <c r="X128" i="58" s="1"/>
  <c r="X139" i="58" s="1"/>
  <c r="W117" i="58"/>
  <c r="W128" i="58" s="1"/>
  <c r="W139" i="58" s="1"/>
  <c r="V117" i="58"/>
  <c r="V128" i="58" s="1"/>
  <c r="V139" i="58" s="1"/>
  <c r="U117" i="58"/>
  <c r="U128" i="58" s="1"/>
  <c r="U139" i="58" s="1"/>
  <c r="T117" i="58"/>
  <c r="S117" i="58"/>
  <c r="S128" i="58" s="1"/>
  <c r="S139" i="58" s="1"/>
  <c r="R117" i="58"/>
  <c r="Q117" i="58"/>
  <c r="Q128" i="58" s="1"/>
  <c r="Q139" i="58" s="1"/>
  <c r="P117" i="58"/>
  <c r="P128" i="58" s="1"/>
  <c r="P139" i="58" s="1"/>
  <c r="O117" i="58"/>
  <c r="O128" i="58" s="1"/>
  <c r="O139" i="58" s="1"/>
  <c r="N117" i="58"/>
  <c r="N128" i="58" s="1"/>
  <c r="N139" i="58" s="1"/>
  <c r="M117" i="58"/>
  <c r="L117" i="58"/>
  <c r="L128" i="58" s="1"/>
  <c r="L139" i="58" s="1"/>
  <c r="K117" i="58"/>
  <c r="K128" i="58" s="1"/>
  <c r="K139" i="58" s="1"/>
  <c r="J117" i="58"/>
  <c r="J128" i="58" s="1"/>
  <c r="J139" i="58" s="1"/>
  <c r="B117" i="58"/>
  <c r="AV116" i="58"/>
  <c r="AV127" i="58" s="1"/>
  <c r="AV138" i="58" s="1"/>
  <c r="AU116" i="58"/>
  <c r="AU127" i="58" s="1"/>
  <c r="AU138" i="58" s="1"/>
  <c r="AT116" i="58"/>
  <c r="AT127" i="58" s="1"/>
  <c r="AT138" i="58" s="1"/>
  <c r="AS116" i="58"/>
  <c r="AS127" i="58" s="1"/>
  <c r="AR116" i="58"/>
  <c r="AR127" i="58" s="1"/>
  <c r="AR138" i="58" s="1"/>
  <c r="AQ116" i="58"/>
  <c r="AP116" i="58"/>
  <c r="AO116" i="58"/>
  <c r="AN116" i="58"/>
  <c r="AN127" i="58" s="1"/>
  <c r="AN138" i="58" s="1"/>
  <c r="AM116" i="58"/>
  <c r="AM127" i="58" s="1"/>
  <c r="AM138" i="58" s="1"/>
  <c r="AL116" i="58"/>
  <c r="AK116" i="58"/>
  <c r="AJ116" i="58"/>
  <c r="AJ127" i="58" s="1"/>
  <c r="AJ138" i="58" s="1"/>
  <c r="AI116" i="58"/>
  <c r="AI127" i="58" s="1"/>
  <c r="AI138" i="58" s="1"/>
  <c r="AH116" i="58"/>
  <c r="AH127" i="58" s="1"/>
  <c r="AH138" i="58" s="1"/>
  <c r="AG116" i="58"/>
  <c r="AG127" i="58" s="1"/>
  <c r="AG138" i="58" s="1"/>
  <c r="AF116" i="58"/>
  <c r="AF127" i="58" s="1"/>
  <c r="AF138" i="58" s="1"/>
  <c r="AE116" i="58"/>
  <c r="AD116" i="58"/>
  <c r="AC116" i="58"/>
  <c r="AC127" i="58" s="1"/>
  <c r="AC138" i="58" s="1"/>
  <c r="AB116" i="58"/>
  <c r="AB127" i="58" s="1"/>
  <c r="AB138" i="58" s="1"/>
  <c r="AA116" i="58"/>
  <c r="AA127" i="58" s="1"/>
  <c r="AA138" i="58" s="1"/>
  <c r="Z116" i="58"/>
  <c r="Y116" i="58"/>
  <c r="X116" i="58"/>
  <c r="X127" i="58" s="1"/>
  <c r="X138" i="58" s="1"/>
  <c r="W116" i="58"/>
  <c r="W127" i="58" s="1"/>
  <c r="W138" i="58" s="1"/>
  <c r="V116" i="58"/>
  <c r="V127" i="58" s="1"/>
  <c r="V138" i="58" s="1"/>
  <c r="U116" i="58"/>
  <c r="U127" i="58" s="1"/>
  <c r="U138" i="58" s="1"/>
  <c r="T116" i="58"/>
  <c r="T127" i="58" s="1"/>
  <c r="S116" i="58"/>
  <c r="R116" i="58"/>
  <c r="Q116" i="58"/>
  <c r="P116" i="58"/>
  <c r="P127" i="58" s="1"/>
  <c r="P138" i="58" s="1"/>
  <c r="O116" i="58"/>
  <c r="O127" i="58" s="1"/>
  <c r="O138" i="58" s="1"/>
  <c r="N116" i="58"/>
  <c r="M116" i="58"/>
  <c r="L116" i="58"/>
  <c r="L127" i="58" s="1"/>
  <c r="L138" i="58" s="1"/>
  <c r="K116" i="58"/>
  <c r="K127" i="58" s="1"/>
  <c r="K138" i="58" s="1"/>
  <c r="J116" i="58"/>
  <c r="J127" i="58" s="1"/>
  <c r="J138" i="58" s="1"/>
  <c r="B116" i="58"/>
  <c r="B127" i="58" s="1"/>
  <c r="B138" i="58" s="1"/>
  <c r="C105" i="58"/>
  <c r="C116" i="58" s="1"/>
  <c r="C127" i="58" s="1"/>
  <c r="C138" i="58" s="1"/>
  <c r="C162" i="58" s="1"/>
  <c r="B100" i="58"/>
  <c r="B159" i="58" s="1"/>
  <c r="B99" i="58"/>
  <c r="B158" i="58" s="1"/>
  <c r="B98" i="58"/>
  <c r="B157" i="58" s="1"/>
  <c r="B97" i="58"/>
  <c r="B156" i="58" s="1"/>
  <c r="B96" i="58"/>
  <c r="B95" i="58"/>
  <c r="B154" i="58" s="1"/>
  <c r="B94" i="58"/>
  <c r="B153" i="58" s="1"/>
  <c r="B93" i="58"/>
  <c r="B152" i="58" s="1"/>
  <c r="B92" i="58"/>
  <c r="B151" i="58" s="1"/>
  <c r="F88" i="58"/>
  <c r="E88" i="58"/>
  <c r="F87" i="58"/>
  <c r="E87" i="58"/>
  <c r="C85" i="58"/>
  <c r="C96" i="58" s="1"/>
  <c r="C155" i="58" s="1"/>
  <c r="C83" i="58"/>
  <c r="C94" i="58" s="1"/>
  <c r="C153" i="58" s="1"/>
  <c r="C78" i="58"/>
  <c r="G77" i="58"/>
  <c r="C77" i="58"/>
  <c r="G76" i="58"/>
  <c r="C76" i="58"/>
  <c r="C75" i="58"/>
  <c r="C110" i="58" s="1"/>
  <c r="C121" i="58" s="1"/>
  <c r="C132" i="58" s="1"/>
  <c r="C143" i="58" s="1"/>
  <c r="C167" i="58" s="1"/>
  <c r="C74" i="58"/>
  <c r="C109" i="58" s="1"/>
  <c r="C73" i="58"/>
  <c r="C72" i="58"/>
  <c r="C107" i="58" s="1"/>
  <c r="C118" i="58" s="1"/>
  <c r="C129" i="58" s="1"/>
  <c r="C140" i="58" s="1"/>
  <c r="C164" i="58" s="1"/>
  <c r="C71" i="58"/>
  <c r="C70" i="58"/>
  <c r="C81" i="58" s="1"/>
  <c r="C92" i="58" s="1"/>
  <c r="C151" i="58" s="1"/>
  <c r="J67" i="58"/>
  <c r="J104" i="58" s="1"/>
  <c r="I67" i="58"/>
  <c r="H67" i="58"/>
  <c r="G67" i="58"/>
  <c r="B52" i="58"/>
  <c r="B50" i="58"/>
  <c r="B46" i="58"/>
  <c r="B45" i="58"/>
  <c r="B44" i="58"/>
  <c r="I50" i="58" s="1"/>
  <c r="B43" i="58"/>
  <c r="O25" i="58"/>
  <c r="J25" i="58"/>
  <c r="C25" i="58"/>
  <c r="B25" i="58"/>
  <c r="N23" i="58"/>
  <c r="N30" i="58" s="1"/>
  <c r="M23" i="58"/>
  <c r="L23" i="58"/>
  <c r="K23" i="58"/>
  <c r="K30" i="58" s="1"/>
  <c r="J23" i="58"/>
  <c r="C23" i="58"/>
  <c r="C24" i="58" s="1"/>
  <c r="B23" i="58"/>
  <c r="B24" i="58" s="1"/>
  <c r="J22" i="58"/>
  <c r="B20" i="58"/>
  <c r="D15" i="58"/>
  <c r="E14" i="58"/>
  <c r="K12" i="58" a="1"/>
  <c r="K12" i="58" s="1"/>
  <c r="K11" i="58" s="1"/>
  <c r="J12" i="58" a="1"/>
  <c r="J12" i="58" s="1"/>
  <c r="J11" i="58" s="1"/>
  <c r="K6" i="58"/>
  <c r="J6" i="58"/>
  <c r="J5" i="58"/>
  <c r="K4" i="58"/>
  <c r="A1" i="58"/>
  <c r="T19" i="60" l="1"/>
  <c r="AO34" i="60"/>
  <c r="AO37" i="60" s="1"/>
  <c r="AO25" i="60"/>
  <c r="AO17" i="60" s="1"/>
  <c r="AG17" i="60"/>
  <c r="AG18" i="60"/>
  <c r="AN19" i="60"/>
  <c r="Y18" i="60"/>
  <c r="T18" i="60"/>
  <c r="AN17" i="60"/>
  <c r="AD19" i="60"/>
  <c r="Y17" i="60"/>
  <c r="AD18" i="60"/>
  <c r="AB17" i="60"/>
  <c r="AB19" i="60"/>
  <c r="AJ19" i="60"/>
  <c r="AJ18" i="60"/>
  <c r="Q10" i="58" a="1"/>
  <c r="Q10" i="58" s="1"/>
  <c r="O10" i="58" a="1"/>
  <c r="O10" i="58" s="1"/>
  <c r="N10" i="58" a="1"/>
  <c r="N10" i="58" s="1"/>
  <c r="R10" i="58" a="1"/>
  <c r="R10" i="58" s="1"/>
  <c r="P10" i="58" a="1"/>
  <c r="P10" i="58" s="1"/>
  <c r="M10" i="58" a="1"/>
  <c r="M10" i="58" s="1"/>
  <c r="L10" i="58" a="1"/>
  <c r="L10" i="58" s="1"/>
  <c r="K10" i="58" a="1"/>
  <c r="K10" i="58" s="1"/>
  <c r="J10" i="58" a="1"/>
  <c r="J10" i="58" s="1"/>
  <c r="S10" i="58" a="1"/>
  <c r="S10" i="58" s="1"/>
  <c r="AH10" i="58" a="1"/>
  <c r="AH10" i="58" s="1"/>
  <c r="Z10" i="58" a="1"/>
  <c r="Z10" i="58" s="1"/>
  <c r="AI10" i="58" a="1"/>
  <c r="AI10" i="58" s="1"/>
  <c r="AE10" i="58" a="1"/>
  <c r="AE10" i="58" s="1"/>
  <c r="AC10" i="58" a="1"/>
  <c r="AC10" i="58" s="1"/>
  <c r="AV10" i="58" a="1"/>
  <c r="AV10" i="58" s="1"/>
  <c r="W10" i="58" a="1"/>
  <c r="W10" i="58" s="1"/>
  <c r="V10" i="58" a="1"/>
  <c r="V10" i="58" s="1"/>
  <c r="AB10" i="58" a="1"/>
  <c r="AB10" i="58" s="1"/>
  <c r="AK10" i="58" a="1"/>
  <c r="AK10" i="58" s="1"/>
  <c r="AG10" i="58" a="1"/>
  <c r="AG10" i="58" s="1"/>
  <c r="Y10" i="58" a="1"/>
  <c r="Y10" i="58" s="1"/>
  <c r="AD10" i="58" a="1"/>
  <c r="AD10" i="58" s="1"/>
  <c r="AQ10" i="58" a="1"/>
  <c r="AQ10" i="58" s="1"/>
  <c r="AF10" i="58" a="1"/>
  <c r="AF10" i="58" s="1"/>
  <c r="AA10" i="58" a="1"/>
  <c r="AA10" i="58" s="1"/>
  <c r="AJ10" i="58" a="1"/>
  <c r="AJ10" i="58" s="1"/>
  <c r="T10" i="58" a="1"/>
  <c r="T10" i="58" s="1"/>
  <c r="X10" i="58" a="1"/>
  <c r="X10" i="58" s="1"/>
  <c r="AL10" i="58" a="1"/>
  <c r="AL10" i="58" s="1"/>
  <c r="U10" i="58" a="1"/>
  <c r="U10" i="58" s="1"/>
  <c r="G25" i="60"/>
  <c r="G31" i="60" s="1"/>
  <c r="G35" i="60"/>
  <c r="G38" i="60" s="1"/>
  <c r="AL18" i="60"/>
  <c r="AL17" i="60"/>
  <c r="H25" i="60"/>
  <c r="H31" i="60" s="1"/>
  <c r="AI17" i="60"/>
  <c r="AI18" i="60"/>
  <c r="AE18" i="60"/>
  <c r="AE17" i="60"/>
  <c r="I25" i="60"/>
  <c r="I31" i="60" s="1"/>
  <c r="X17" i="60"/>
  <c r="X18" i="60"/>
  <c r="AC17" i="60"/>
  <c r="AC19" i="60"/>
  <c r="AC18" i="60"/>
  <c r="X19" i="60"/>
  <c r="AM69" i="60" a="1"/>
  <c r="AM69" i="60" s="1"/>
  <c r="AN69" i="60" a="1"/>
  <c r="AN69" i="60" s="1"/>
  <c r="AO69" i="60" s="1" a="1"/>
  <c r="AO69" i="60" s="1"/>
  <c r="AP69" i="60" s="1" a="1"/>
  <c r="AP69" i="60" s="1"/>
  <c r="AM66" i="60" a="1"/>
  <c r="AM66" i="60" s="1"/>
  <c r="AN66" i="60" a="1"/>
  <c r="AN66" i="60" s="1"/>
  <c r="AO66" i="60" s="1" a="1"/>
  <c r="AO66" i="60" s="1"/>
  <c r="AP66" i="60" s="1" a="1"/>
  <c r="AP66" i="60" s="1"/>
  <c r="AM64" i="60" a="1"/>
  <c r="AM64" i="60" s="1"/>
  <c r="AN64" i="60" a="1"/>
  <c r="AN64" i="60" s="1"/>
  <c r="AO64" i="60" s="1" a="1"/>
  <c r="AO64" i="60" s="1"/>
  <c r="AP64" i="60" s="1" a="1"/>
  <c r="AP64" i="60" s="1"/>
  <c r="AM63" i="60" a="1"/>
  <c r="AM63" i="60" s="1"/>
  <c r="AN63" i="60" a="1"/>
  <c r="AN63" i="60" s="1"/>
  <c r="AO63" i="60" s="1" a="1"/>
  <c r="AO63" i="60" s="1"/>
  <c r="AP63" i="60" s="1" a="1"/>
  <c r="AP63" i="60" s="1"/>
  <c r="AM68" i="60" a="1"/>
  <c r="AM68" i="60" s="1"/>
  <c r="AN68" i="60" a="1"/>
  <c r="AN68" i="60" s="1"/>
  <c r="AO68" i="60" s="1" a="1"/>
  <c r="AO68" i="60" s="1"/>
  <c r="AP68" i="60" s="1" a="1"/>
  <c r="AP68" i="60" s="1"/>
  <c r="AM67" i="60" a="1"/>
  <c r="AM67" i="60" s="1"/>
  <c r="AN67" i="60" a="1"/>
  <c r="AN67" i="60" s="1"/>
  <c r="AO67" i="60" s="1" a="1"/>
  <c r="AO67" i="60" s="1"/>
  <c r="AP67" i="60" s="1" a="1"/>
  <c r="AP67" i="60" s="1"/>
  <c r="AM65" i="60" a="1"/>
  <c r="AM65" i="60" s="1"/>
  <c r="AN65" i="60" a="1"/>
  <c r="AN65" i="60" s="1"/>
  <c r="AO65" i="60" s="1" a="1"/>
  <c r="AO65" i="60" s="1"/>
  <c r="AP65" i="60" s="1" a="1"/>
  <c r="AP65" i="60" s="1"/>
  <c r="S16" i="57"/>
  <c r="H87" i="58"/>
  <c r="H77" i="58"/>
  <c r="I77" i="58" s="1"/>
  <c r="H76" i="58"/>
  <c r="I76" i="58" s="1"/>
  <c r="H88" i="58"/>
  <c r="AB16" i="57"/>
  <c r="AO38" i="60"/>
  <c r="F19" i="60"/>
  <c r="AP35" i="60"/>
  <c r="AP38" i="60" s="1"/>
  <c r="AP36" i="60"/>
  <c r="S17" i="60"/>
  <c r="S19" i="60"/>
  <c r="S38" i="60"/>
  <c r="AP25" i="60"/>
  <c r="AP18" i="60" s="1"/>
  <c r="AP34" i="60"/>
  <c r="AP37" i="60" s="1"/>
  <c r="F18" i="60"/>
  <c r="F31" i="60"/>
  <c r="Q19" i="60"/>
  <c r="Q18" i="60"/>
  <c r="Q17" i="60"/>
  <c r="K7" i="58"/>
  <c r="J7" i="58"/>
  <c r="B51" i="58"/>
  <c r="I51" i="58"/>
  <c r="C112" i="58"/>
  <c r="C123" i="58" s="1"/>
  <c r="C134" i="58" s="1"/>
  <c r="C145" i="58" s="1"/>
  <c r="C169" i="58" s="1"/>
  <c r="C88" i="58"/>
  <c r="C99" i="58" s="1"/>
  <c r="C158" i="58" s="1"/>
  <c r="N31" i="58"/>
  <c r="N34" i="58" s="1"/>
  <c r="N35" i="58" s="1"/>
  <c r="I91" i="58"/>
  <c r="H91" i="58"/>
  <c r="G88" i="58"/>
  <c r="C111" i="58"/>
  <c r="C122" i="58" s="1"/>
  <c r="C133" i="58" s="1"/>
  <c r="C144" i="58" s="1"/>
  <c r="C168" i="58" s="1"/>
  <c r="C87" i="58"/>
  <c r="C98" i="58" s="1"/>
  <c r="C157" i="58" s="1"/>
  <c r="B49" i="58"/>
  <c r="I49" i="58"/>
  <c r="J8" i="58"/>
  <c r="L30" i="58"/>
  <c r="K67" i="58"/>
  <c r="K104" i="58" s="1"/>
  <c r="M30" i="58"/>
  <c r="M31" i="58" s="1"/>
  <c r="K31" i="58"/>
  <c r="K34" i="58" s="1"/>
  <c r="K35" i="58" s="1"/>
  <c r="L4" i="58"/>
  <c r="K22" i="58"/>
  <c r="G87" i="58"/>
  <c r="I52" i="58"/>
  <c r="C237" i="58"/>
  <c r="C178" i="58"/>
  <c r="C190" i="58" s="1"/>
  <c r="C201" i="58" s="1"/>
  <c r="C212" i="58" s="1"/>
  <c r="C224" i="58" s="1"/>
  <c r="K5" i="58"/>
  <c r="C106" i="58"/>
  <c r="C117" i="58" s="1"/>
  <c r="C128" i="58" s="1"/>
  <c r="C139" i="58" s="1"/>
  <c r="C163" i="58" s="1"/>
  <c r="C82" i="58"/>
  <c r="C93" i="58" s="1"/>
  <c r="C152" i="58" s="1"/>
  <c r="J30" i="58"/>
  <c r="J31" i="58" s="1"/>
  <c r="C179" i="58"/>
  <c r="C191" i="58" s="1"/>
  <c r="C202" i="58" s="1"/>
  <c r="C213" i="58" s="1"/>
  <c r="C225" i="58" s="1"/>
  <c r="C238" i="58"/>
  <c r="C86" i="58"/>
  <c r="C97" i="58" s="1"/>
  <c r="C156" i="58" s="1"/>
  <c r="C174" i="58"/>
  <c r="C186" i="58" s="1"/>
  <c r="C197" i="58" s="1"/>
  <c r="C208" i="58" s="1"/>
  <c r="C220" i="58" s="1"/>
  <c r="C233" i="58"/>
  <c r="C113" i="58"/>
  <c r="C124" i="58" s="1"/>
  <c r="C135" i="58" s="1"/>
  <c r="C146" i="58" s="1"/>
  <c r="C170" i="58" s="1"/>
  <c r="C89" i="58"/>
  <c r="C100" i="58" s="1"/>
  <c r="C159" i="58" s="1"/>
  <c r="C235" i="58"/>
  <c r="C176" i="58"/>
  <c r="C188" i="58" s="1"/>
  <c r="C199" i="58" s="1"/>
  <c r="C210" i="58" s="1"/>
  <c r="C222" i="58" s="1"/>
  <c r="T142" i="58"/>
  <c r="AR142" i="58"/>
  <c r="D248" i="58"/>
  <c r="B233" i="58"/>
  <c r="V146" i="58"/>
  <c r="D258" i="58"/>
  <c r="B186" i="58"/>
  <c r="C84" i="58"/>
  <c r="C95" i="58" s="1"/>
  <c r="C154" i="58" s="1"/>
  <c r="C108" i="58"/>
  <c r="C119" i="58" s="1"/>
  <c r="C130" i="58" s="1"/>
  <c r="C141" i="58" s="1"/>
  <c r="C165" i="58" s="1"/>
  <c r="AG140" i="58"/>
  <c r="P146" i="58"/>
  <c r="Q142" i="58"/>
  <c r="AI142" i="58"/>
  <c r="Y146" i="58"/>
  <c r="D252" i="58"/>
  <c r="B237" i="58"/>
  <c r="AP146" i="58"/>
  <c r="AE138" i="58"/>
  <c r="AA146" i="58"/>
  <c r="V142" i="58"/>
  <c r="W142" i="58"/>
  <c r="AH146" i="58"/>
  <c r="J146" i="58"/>
  <c r="D263" i="58"/>
  <c r="B191" i="58"/>
  <c r="J142" i="58"/>
  <c r="M138" i="58"/>
  <c r="AM146" i="58"/>
  <c r="K142" i="58"/>
  <c r="AU142" i="58"/>
  <c r="B200" i="58"/>
  <c r="D251" i="58"/>
  <c r="B236" i="58"/>
  <c r="D261" i="58"/>
  <c r="D250" i="58"/>
  <c r="B235" i="58"/>
  <c r="D259" i="58"/>
  <c r="B187" i="58"/>
  <c r="B203" i="58"/>
  <c r="B234" i="58"/>
  <c r="D249" i="58"/>
  <c r="D262" i="58"/>
  <c r="B190" i="58"/>
  <c r="D256" i="58"/>
  <c r="B241" i="58"/>
  <c r="D266" i="58"/>
  <c r="B194" i="58"/>
  <c r="B238" i="58"/>
  <c r="D253" i="58"/>
  <c r="D260" i="58"/>
  <c r="D265" i="58"/>
  <c r="B188" i="58"/>
  <c r="D264" i="58"/>
  <c r="B204" i="58"/>
  <c r="D254" i="58"/>
  <c r="B239" i="58"/>
  <c r="B240" i="58"/>
  <c r="D255" i="58"/>
  <c r="D254" i="55"/>
  <c r="J254" i="55" s="1"/>
  <c r="A254" i="55"/>
  <c r="D253" i="55"/>
  <c r="O253" i="55" s="1"/>
  <c r="A253" i="55"/>
  <c r="D252" i="55"/>
  <c r="J252" i="55" s="1"/>
  <c r="A252" i="55"/>
  <c r="D251" i="55"/>
  <c r="J251" i="55" s="1"/>
  <c r="A251" i="55"/>
  <c r="D250" i="55"/>
  <c r="J250" i="55" s="1"/>
  <c r="A250" i="55"/>
  <c r="D249" i="55"/>
  <c r="J249" i="55" s="1"/>
  <c r="A249" i="55"/>
  <c r="D248" i="55"/>
  <c r="J248" i="55" s="1"/>
  <c r="A248" i="55"/>
  <c r="D247" i="55"/>
  <c r="J247" i="55" s="1"/>
  <c r="A247" i="55"/>
  <c r="D246" i="55"/>
  <c r="J246" i="55" s="1"/>
  <c r="A246" i="55"/>
  <c r="D245" i="55"/>
  <c r="J245" i="55" s="1"/>
  <c r="A245" i="55"/>
  <c r="D244" i="55"/>
  <c r="J244" i="55" s="1"/>
  <c r="A244" i="55"/>
  <c r="D243" i="55"/>
  <c r="O243" i="55" s="1"/>
  <c r="A243" i="55"/>
  <c r="D242" i="55"/>
  <c r="J242" i="55" s="1"/>
  <c r="A242" i="55"/>
  <c r="D241" i="55"/>
  <c r="O241" i="55" s="1"/>
  <c r="A241" i="55"/>
  <c r="D240" i="55"/>
  <c r="J240" i="55" s="1"/>
  <c r="A240" i="55"/>
  <c r="D239" i="55"/>
  <c r="O239" i="55" s="1"/>
  <c r="A239" i="55"/>
  <c r="D238" i="55"/>
  <c r="O238" i="55" s="1"/>
  <c r="A238" i="55"/>
  <c r="D237" i="55"/>
  <c r="O237" i="55" s="1"/>
  <c r="A237" i="55"/>
  <c r="D236" i="55"/>
  <c r="O236" i="55" s="1"/>
  <c r="A236" i="55"/>
  <c r="D235" i="55"/>
  <c r="J235" i="55" s="1"/>
  <c r="A235" i="55"/>
  <c r="D234" i="55"/>
  <c r="O234" i="55" s="1"/>
  <c r="A234" i="55"/>
  <c r="D233" i="55"/>
  <c r="O233" i="55" s="1"/>
  <c r="A233" i="55"/>
  <c r="D232" i="55"/>
  <c r="J232" i="55" s="1"/>
  <c r="A232" i="55"/>
  <c r="D231" i="55"/>
  <c r="J231" i="55" s="1"/>
  <c r="A231" i="55"/>
  <c r="A230" i="55"/>
  <c r="D229" i="55"/>
  <c r="J229" i="55" s="1"/>
  <c r="A229" i="55"/>
  <c r="D228" i="55"/>
  <c r="J228" i="55" s="1"/>
  <c r="A228" i="55"/>
  <c r="D227" i="55"/>
  <c r="J227" i="55" s="1"/>
  <c r="A227" i="55"/>
  <c r="D226" i="55"/>
  <c r="J226" i="55" s="1"/>
  <c r="A226" i="55"/>
  <c r="D225" i="55"/>
  <c r="J225" i="55" s="1"/>
  <c r="A225" i="55"/>
  <c r="D224" i="55"/>
  <c r="J224" i="55" s="1"/>
  <c r="A224" i="55"/>
  <c r="D223" i="55"/>
  <c r="J223" i="55" s="1"/>
  <c r="A223" i="55"/>
  <c r="D222" i="55"/>
  <c r="J222" i="55" s="1"/>
  <c r="A222" i="55"/>
  <c r="D221" i="55"/>
  <c r="J221" i="55" s="1"/>
  <c r="A221" i="55"/>
  <c r="D220" i="55"/>
  <c r="J220" i="55" s="1"/>
  <c r="A220" i="55"/>
  <c r="D219" i="55"/>
  <c r="J219" i="55" s="1"/>
  <c r="A219" i="55"/>
  <c r="D218" i="55"/>
  <c r="J218" i="55" s="1"/>
  <c r="A218" i="55"/>
  <c r="D217" i="55"/>
  <c r="J217" i="55" s="1"/>
  <c r="A217" i="55"/>
  <c r="D216" i="55"/>
  <c r="J216" i="55" s="1"/>
  <c r="A216" i="55"/>
  <c r="D215" i="55"/>
  <c r="J215" i="55" s="1"/>
  <c r="A215" i="55"/>
  <c r="D214" i="55"/>
  <c r="J214" i="55" s="1"/>
  <c r="A214" i="55"/>
  <c r="D213" i="55"/>
  <c r="J213" i="55" s="1"/>
  <c r="A213" i="55"/>
  <c r="D212" i="55"/>
  <c r="J212" i="55" s="1"/>
  <c r="A212" i="55"/>
  <c r="A211" i="55"/>
  <c r="D210" i="55"/>
  <c r="J210" i="55" s="1"/>
  <c r="A210" i="55"/>
  <c r="D209" i="55"/>
  <c r="J209" i="55" s="1"/>
  <c r="A209" i="55"/>
  <c r="D208" i="55"/>
  <c r="J208" i="55" s="1"/>
  <c r="A208" i="55"/>
  <c r="D207" i="55"/>
  <c r="J207" i="55" s="1"/>
  <c r="A207" i="55"/>
  <c r="D206" i="55"/>
  <c r="J206" i="55" s="1"/>
  <c r="A206" i="55"/>
  <c r="D205" i="55"/>
  <c r="J205" i="55" s="1"/>
  <c r="A205" i="55"/>
  <c r="D204" i="55"/>
  <c r="J204" i="55" s="1"/>
  <c r="A204" i="55"/>
  <c r="D203" i="55"/>
  <c r="J203" i="55" s="1"/>
  <c r="A203" i="55"/>
  <c r="D202" i="55"/>
  <c r="J202" i="55" s="1"/>
  <c r="A202" i="55"/>
  <c r="D201" i="55"/>
  <c r="O201" i="55" s="1"/>
  <c r="A201" i="55"/>
  <c r="D200" i="55"/>
  <c r="O200" i="55" s="1"/>
  <c r="A200" i="55"/>
  <c r="D199" i="55"/>
  <c r="O199" i="55" s="1"/>
  <c r="A199" i="55"/>
  <c r="D198" i="55"/>
  <c r="O198" i="55" s="1"/>
  <c r="A198" i="55"/>
  <c r="D197" i="55"/>
  <c r="J197" i="55" s="1"/>
  <c r="A197" i="55"/>
  <c r="D196" i="55"/>
  <c r="O196" i="55" s="1"/>
  <c r="A196" i="55"/>
  <c r="D195" i="55"/>
  <c r="O195" i="55" s="1"/>
  <c r="A195" i="55"/>
  <c r="D194" i="55"/>
  <c r="J194" i="55" s="1"/>
  <c r="A194" i="55"/>
  <c r="D193" i="55"/>
  <c r="J193" i="55" s="1"/>
  <c r="A193" i="55"/>
  <c r="A192" i="55"/>
  <c r="D191" i="55"/>
  <c r="J191" i="55" s="1"/>
  <c r="A191" i="55"/>
  <c r="D190" i="55"/>
  <c r="J190" i="55" s="1"/>
  <c r="A190" i="55"/>
  <c r="D189" i="55"/>
  <c r="J189" i="55" s="1"/>
  <c r="A189" i="55"/>
  <c r="D188" i="55"/>
  <c r="J188" i="55" s="1"/>
  <c r="A188" i="55"/>
  <c r="D187" i="55"/>
  <c r="J187" i="55" s="1"/>
  <c r="A187" i="55"/>
  <c r="D186" i="55"/>
  <c r="J186" i="55" s="1"/>
  <c r="A186" i="55"/>
  <c r="D185" i="55"/>
  <c r="J185" i="55" s="1"/>
  <c r="A185" i="55"/>
  <c r="D184" i="55"/>
  <c r="J184" i="55" s="1"/>
  <c r="A184" i="55"/>
  <c r="D183" i="55"/>
  <c r="J183" i="55" s="1"/>
  <c r="A183" i="55"/>
  <c r="D182" i="55"/>
  <c r="J182" i="55" s="1"/>
  <c r="A182" i="55"/>
  <c r="D181" i="55"/>
  <c r="J181" i="55" s="1"/>
  <c r="A181" i="55"/>
  <c r="D180" i="55"/>
  <c r="J180" i="55" s="1"/>
  <c r="A180" i="55"/>
  <c r="D179" i="55"/>
  <c r="J179" i="55" s="1"/>
  <c r="A179" i="55"/>
  <c r="D178" i="55"/>
  <c r="J178" i="55" s="1"/>
  <c r="A178" i="55"/>
  <c r="D177" i="55"/>
  <c r="J177" i="55" s="1"/>
  <c r="A177" i="55"/>
  <c r="D176" i="55"/>
  <c r="J176" i="55" s="1"/>
  <c r="A176" i="55"/>
  <c r="D175" i="55"/>
  <c r="J175" i="55" s="1"/>
  <c r="A175" i="55"/>
  <c r="D174" i="55"/>
  <c r="J174" i="55" s="1"/>
  <c r="A174" i="55"/>
  <c r="A173" i="55"/>
  <c r="D172" i="55"/>
  <c r="J172" i="55" s="1"/>
  <c r="A172" i="55"/>
  <c r="D171" i="55"/>
  <c r="J171" i="55" s="1"/>
  <c r="A171" i="55"/>
  <c r="D170" i="55"/>
  <c r="J170" i="55" s="1"/>
  <c r="A170" i="55"/>
  <c r="D169" i="55"/>
  <c r="J169" i="55" s="1"/>
  <c r="A169" i="55"/>
  <c r="D168" i="55"/>
  <c r="J168" i="55" s="1"/>
  <c r="A168" i="55"/>
  <c r="D167" i="55"/>
  <c r="J167" i="55" s="1"/>
  <c r="A167" i="55"/>
  <c r="D166" i="55"/>
  <c r="J166" i="55" s="1"/>
  <c r="A166" i="55"/>
  <c r="D165" i="55"/>
  <c r="J165" i="55" s="1"/>
  <c r="A165" i="55"/>
  <c r="D164" i="55"/>
  <c r="J164" i="55" s="1"/>
  <c r="A164" i="55"/>
  <c r="D163" i="55"/>
  <c r="J163" i="55" s="1"/>
  <c r="A163" i="55"/>
  <c r="D162" i="55"/>
  <c r="J162" i="55" s="1"/>
  <c r="A162" i="55"/>
  <c r="D161" i="55"/>
  <c r="O161" i="55" s="1"/>
  <c r="A161" i="55"/>
  <c r="D160" i="55"/>
  <c r="O160" i="55" s="1"/>
  <c r="A160" i="55"/>
  <c r="D159" i="55"/>
  <c r="J159" i="55" s="1"/>
  <c r="A159" i="55"/>
  <c r="D158" i="55"/>
  <c r="J158" i="55" s="1"/>
  <c r="A158" i="55"/>
  <c r="D157" i="55"/>
  <c r="J157" i="55" s="1"/>
  <c r="A157" i="55"/>
  <c r="D156" i="55"/>
  <c r="J156" i="55" s="1"/>
  <c r="A156" i="55"/>
  <c r="D155" i="55"/>
  <c r="J155" i="55" s="1"/>
  <c r="A155" i="55"/>
  <c r="A154" i="55"/>
  <c r="D153" i="55"/>
  <c r="J153" i="55" s="1"/>
  <c r="A153" i="55"/>
  <c r="D152" i="55"/>
  <c r="J152" i="55" s="1"/>
  <c r="A152" i="55"/>
  <c r="D151" i="55"/>
  <c r="O151" i="55" s="1"/>
  <c r="A151" i="55"/>
  <c r="D150" i="55"/>
  <c r="J150" i="55" s="1"/>
  <c r="A150" i="55"/>
  <c r="D149" i="55"/>
  <c r="J149" i="55" s="1"/>
  <c r="A149" i="55"/>
  <c r="D148" i="55"/>
  <c r="J148" i="55" s="1"/>
  <c r="A148" i="55"/>
  <c r="D147" i="55"/>
  <c r="J147" i="55" s="1"/>
  <c r="A147" i="55"/>
  <c r="D146" i="55"/>
  <c r="J146" i="55" s="1"/>
  <c r="A146" i="55"/>
  <c r="D145" i="55"/>
  <c r="J145" i="55" s="1"/>
  <c r="A145" i="55"/>
  <c r="D144" i="55"/>
  <c r="O144" i="55" s="1"/>
  <c r="A144" i="55"/>
  <c r="D143" i="55"/>
  <c r="J143" i="55" s="1"/>
  <c r="A143" i="55"/>
  <c r="D142" i="55"/>
  <c r="J142" i="55" s="1"/>
  <c r="A142" i="55"/>
  <c r="D141" i="55"/>
  <c r="J141" i="55" s="1"/>
  <c r="A141" i="55"/>
  <c r="D140" i="55"/>
  <c r="J140" i="55" s="1"/>
  <c r="A140" i="55"/>
  <c r="D139" i="55"/>
  <c r="O139" i="55" s="1"/>
  <c r="A139" i="55"/>
  <c r="D138" i="55"/>
  <c r="O138" i="55" s="1"/>
  <c r="A138" i="55"/>
  <c r="D137" i="55"/>
  <c r="O137" i="55" s="1"/>
  <c r="A137" i="55"/>
  <c r="D136" i="55"/>
  <c r="O136" i="55" s="1"/>
  <c r="A136" i="55"/>
  <c r="D135" i="55"/>
  <c r="J135" i="55" s="1"/>
  <c r="A135" i="55"/>
  <c r="D134" i="55"/>
  <c r="J134" i="55" s="1"/>
  <c r="A134" i="55"/>
  <c r="A133" i="55"/>
  <c r="D132" i="55"/>
  <c r="J132" i="55" s="1"/>
  <c r="A132" i="55"/>
  <c r="D131" i="55"/>
  <c r="J131" i="55" s="1"/>
  <c r="A131" i="55"/>
  <c r="D130" i="55"/>
  <c r="J130" i="55" s="1"/>
  <c r="A130" i="55"/>
  <c r="D129" i="55"/>
  <c r="J129" i="55" s="1"/>
  <c r="A129" i="55"/>
  <c r="D128" i="55"/>
  <c r="J128" i="55" s="1"/>
  <c r="A128" i="55"/>
  <c r="D127" i="55"/>
  <c r="J127" i="55" s="1"/>
  <c r="A127" i="55"/>
  <c r="D126" i="55"/>
  <c r="J126" i="55" s="1"/>
  <c r="A126" i="55"/>
  <c r="D125" i="55"/>
  <c r="J125" i="55" s="1"/>
  <c r="A125" i="55"/>
  <c r="D124" i="55"/>
  <c r="J124" i="55" s="1"/>
  <c r="A124" i="55"/>
  <c r="D123" i="55"/>
  <c r="J123" i="55" s="1"/>
  <c r="A123" i="55"/>
  <c r="D122" i="55"/>
  <c r="J122" i="55" s="1"/>
  <c r="A122" i="55"/>
  <c r="D121" i="55"/>
  <c r="J121" i="55" s="1"/>
  <c r="A121" i="55"/>
  <c r="D120" i="55"/>
  <c r="J120" i="55" s="1"/>
  <c r="A120" i="55"/>
  <c r="D119" i="55"/>
  <c r="J119" i="55" s="1"/>
  <c r="A119" i="55"/>
  <c r="D118" i="55"/>
  <c r="J118" i="55" s="1"/>
  <c r="A118" i="55"/>
  <c r="D117" i="55"/>
  <c r="J117" i="55" s="1"/>
  <c r="A117" i="55"/>
  <c r="D116" i="55"/>
  <c r="J116" i="55" s="1"/>
  <c r="A116" i="55"/>
  <c r="D115" i="55"/>
  <c r="J115" i="55" s="1"/>
  <c r="A115" i="55"/>
  <c r="D114" i="55"/>
  <c r="J114" i="55" s="1"/>
  <c r="A114" i="55"/>
  <c r="D113" i="55"/>
  <c r="J113" i="55" s="1"/>
  <c r="A113" i="55"/>
  <c r="A112" i="55"/>
  <c r="D111" i="55"/>
  <c r="J111" i="55" s="1"/>
  <c r="A111" i="55"/>
  <c r="D110" i="55"/>
  <c r="J110" i="55" s="1"/>
  <c r="A110" i="55"/>
  <c r="D109" i="55"/>
  <c r="J109" i="55" s="1"/>
  <c r="A109" i="55"/>
  <c r="D108" i="55"/>
  <c r="J108" i="55" s="1"/>
  <c r="A108" i="55"/>
  <c r="D107" i="55"/>
  <c r="J107" i="55" s="1"/>
  <c r="A107" i="55"/>
  <c r="D106" i="55"/>
  <c r="J106" i="55" s="1"/>
  <c r="A106" i="55"/>
  <c r="D105" i="55"/>
  <c r="J105" i="55" s="1"/>
  <c r="A105" i="55"/>
  <c r="D104" i="55"/>
  <c r="J104" i="55" s="1"/>
  <c r="A104" i="55"/>
  <c r="D103" i="55"/>
  <c r="J103" i="55" s="1"/>
  <c r="A103" i="55"/>
  <c r="D102" i="55"/>
  <c r="J102" i="55" s="1"/>
  <c r="A102" i="55"/>
  <c r="D101" i="55"/>
  <c r="J101" i="55" s="1"/>
  <c r="A101" i="55"/>
  <c r="D100" i="55"/>
  <c r="J100" i="55" s="1"/>
  <c r="A100" i="55"/>
  <c r="D99" i="55"/>
  <c r="J99" i="55" s="1"/>
  <c r="A99" i="55"/>
  <c r="D98" i="55"/>
  <c r="J98" i="55" s="1"/>
  <c r="A98" i="55"/>
  <c r="D97" i="55"/>
  <c r="J97" i="55" s="1"/>
  <c r="A97" i="55"/>
  <c r="D96" i="55"/>
  <c r="J96" i="55" s="1"/>
  <c r="A96" i="55"/>
  <c r="D95" i="55"/>
  <c r="J95" i="55" s="1"/>
  <c r="A95" i="55"/>
  <c r="D94" i="55"/>
  <c r="J94" i="55" s="1"/>
  <c r="A94" i="55"/>
  <c r="D93" i="55"/>
  <c r="J93" i="55" s="1"/>
  <c r="A93" i="55"/>
  <c r="D92" i="55"/>
  <c r="J92" i="55" s="1"/>
  <c r="A92" i="55"/>
  <c r="A91" i="55"/>
  <c r="D90" i="55"/>
  <c r="J90" i="55" s="1"/>
  <c r="A90" i="55"/>
  <c r="D89" i="55"/>
  <c r="J89" i="55" s="1"/>
  <c r="A89" i="55"/>
  <c r="D88" i="55"/>
  <c r="O88" i="55" s="1"/>
  <c r="A88" i="55"/>
  <c r="D87" i="55"/>
  <c r="J87" i="55" s="1"/>
  <c r="A87" i="55"/>
  <c r="D86" i="55"/>
  <c r="J86" i="55" s="1"/>
  <c r="A86" i="55"/>
  <c r="D85" i="55"/>
  <c r="J85" i="55" s="1"/>
  <c r="A85" i="55"/>
  <c r="D84" i="55"/>
  <c r="J84" i="55" s="1"/>
  <c r="A84" i="55"/>
  <c r="D83" i="55"/>
  <c r="J83" i="55" s="1"/>
  <c r="A83" i="55"/>
  <c r="D82" i="55"/>
  <c r="J82" i="55" s="1"/>
  <c r="A82" i="55"/>
  <c r="D81" i="55"/>
  <c r="O81" i="55" s="1"/>
  <c r="A81" i="55"/>
  <c r="D80" i="55"/>
  <c r="J80" i="55" s="1"/>
  <c r="A80" i="55"/>
  <c r="D79" i="55"/>
  <c r="O79" i="55" s="1"/>
  <c r="A79" i="55"/>
  <c r="D78" i="55"/>
  <c r="J78" i="55" s="1"/>
  <c r="A78" i="55"/>
  <c r="D77" i="55"/>
  <c r="J77" i="55" s="1"/>
  <c r="A77" i="55"/>
  <c r="D76" i="55"/>
  <c r="J76" i="55" s="1"/>
  <c r="A76" i="55"/>
  <c r="D75" i="55"/>
  <c r="O75" i="55" s="1"/>
  <c r="A75" i="55"/>
  <c r="D74" i="55"/>
  <c r="O74" i="55" s="1"/>
  <c r="A74" i="55"/>
  <c r="D73" i="55"/>
  <c r="J73" i="55" s="1"/>
  <c r="A73" i="55"/>
  <c r="D72" i="55"/>
  <c r="O72" i="55" s="1"/>
  <c r="A72" i="55"/>
  <c r="D71" i="55"/>
  <c r="J71" i="55" s="1"/>
  <c r="A71" i="55"/>
  <c r="O37" i="55"/>
  <c r="N37" i="55"/>
  <c r="M37" i="55"/>
  <c r="L37" i="55"/>
  <c r="K37" i="55"/>
  <c r="J37" i="55"/>
  <c r="O36" i="55"/>
  <c r="N36" i="55"/>
  <c r="M36" i="55"/>
  <c r="L36" i="55"/>
  <c r="K36" i="55"/>
  <c r="J36" i="55"/>
  <c r="O34" i="55"/>
  <c r="N34" i="55"/>
  <c r="M34" i="55"/>
  <c r="L34" i="55"/>
  <c r="K34" i="55"/>
  <c r="J34" i="55"/>
  <c r="O33" i="55"/>
  <c r="N33" i="55"/>
  <c r="M33" i="55"/>
  <c r="L33" i="55"/>
  <c r="K33" i="55"/>
  <c r="J33" i="55"/>
  <c r="O32" i="55"/>
  <c r="N32" i="55"/>
  <c r="M32" i="55"/>
  <c r="L32" i="55"/>
  <c r="K32" i="55"/>
  <c r="J32" i="55"/>
  <c r="O31" i="55"/>
  <c r="N31" i="55"/>
  <c r="M31" i="55"/>
  <c r="L31" i="55"/>
  <c r="K31" i="55"/>
  <c r="J31" i="55"/>
  <c r="R28" i="55"/>
  <c r="Q28" i="55"/>
  <c r="P28" i="55"/>
  <c r="O28" i="55"/>
  <c r="N28" i="55"/>
  <c r="M28" i="55"/>
  <c r="L28" i="55"/>
  <c r="K28" i="55"/>
  <c r="J28" i="55"/>
  <c r="O27" i="55"/>
  <c r="N27" i="55"/>
  <c r="M27" i="55"/>
  <c r="L27" i="55"/>
  <c r="K27" i="55"/>
  <c r="J27" i="55"/>
  <c r="D22" i="55"/>
  <c r="C22" i="55"/>
  <c r="B22" i="55"/>
  <c r="D20" i="55"/>
  <c r="C20" i="55"/>
  <c r="B20" i="55"/>
  <c r="D19" i="55"/>
  <c r="C19" i="55"/>
  <c r="B19" i="55"/>
  <c r="D15" i="55"/>
  <c r="C15" i="55"/>
  <c r="B15" i="55"/>
  <c r="D14" i="55"/>
  <c r="C14" i="55"/>
  <c r="B14" i="55"/>
  <c r="D13" i="55"/>
  <c r="C13" i="55"/>
  <c r="B13" i="55"/>
  <c r="D12" i="55"/>
  <c r="C12" i="55"/>
  <c r="B12" i="55"/>
  <c r="D11" i="55"/>
  <c r="C11" i="55"/>
  <c r="B11" i="55"/>
  <c r="D10" i="55"/>
  <c r="C10" i="55"/>
  <c r="B10" i="55"/>
  <c r="F164" i="15"/>
  <c r="E164" i="15"/>
  <c r="D164" i="15"/>
  <c r="C164" i="15"/>
  <c r="B164" i="15"/>
  <c r="A164" i="15"/>
  <c r="F163" i="15"/>
  <c r="E163" i="15"/>
  <c r="D163" i="15"/>
  <c r="C163" i="15"/>
  <c r="B163" i="15"/>
  <c r="A163" i="15"/>
  <c r="F162" i="15"/>
  <c r="E162" i="15"/>
  <c r="D162" i="15"/>
  <c r="C162" i="15"/>
  <c r="B162" i="15"/>
  <c r="A162" i="15"/>
  <c r="F161" i="15"/>
  <c r="E161" i="15"/>
  <c r="D161" i="15"/>
  <c r="C161" i="15"/>
  <c r="B161" i="15"/>
  <c r="A161" i="15"/>
  <c r="F160" i="15"/>
  <c r="E160" i="15"/>
  <c r="D160" i="15"/>
  <c r="C160" i="15"/>
  <c r="B160" i="15"/>
  <c r="A160" i="15"/>
  <c r="F159" i="15"/>
  <c r="E159" i="15"/>
  <c r="D159" i="15"/>
  <c r="C159" i="15"/>
  <c r="B159" i="15"/>
  <c r="A159" i="15"/>
  <c r="F158" i="15"/>
  <c r="E158" i="15"/>
  <c r="D158" i="15"/>
  <c r="C158" i="15"/>
  <c r="B158" i="15"/>
  <c r="A158" i="15"/>
  <c r="F157" i="15"/>
  <c r="E157" i="15"/>
  <c r="D157" i="15"/>
  <c r="C157" i="15"/>
  <c r="B157" i="15"/>
  <c r="A157" i="15"/>
  <c r="F156" i="15"/>
  <c r="E156" i="15"/>
  <c r="D156" i="15"/>
  <c r="C156" i="15"/>
  <c r="B156" i="15"/>
  <c r="A156" i="15"/>
  <c r="F155" i="15"/>
  <c r="E155" i="15"/>
  <c r="D155" i="15"/>
  <c r="C155" i="15"/>
  <c r="B155" i="15"/>
  <c r="A155" i="15"/>
  <c r="F154" i="15"/>
  <c r="E154" i="15"/>
  <c r="D154" i="15"/>
  <c r="C154" i="15"/>
  <c r="B154" i="15"/>
  <c r="A154" i="15"/>
  <c r="F153" i="15"/>
  <c r="E153" i="15"/>
  <c r="D153" i="15"/>
  <c r="C153" i="15"/>
  <c r="B153" i="15"/>
  <c r="A153" i="15"/>
  <c r="F152" i="15"/>
  <c r="E152" i="15"/>
  <c r="D152" i="15"/>
  <c r="C152" i="15"/>
  <c r="B152" i="15"/>
  <c r="A152" i="15"/>
  <c r="F151" i="15"/>
  <c r="E151" i="15"/>
  <c r="D151" i="15"/>
  <c r="C151" i="15"/>
  <c r="B151" i="15"/>
  <c r="A151" i="15"/>
  <c r="F150" i="15"/>
  <c r="E150" i="15"/>
  <c r="D150" i="15"/>
  <c r="C150" i="15"/>
  <c r="B150" i="15"/>
  <c r="A150" i="15"/>
  <c r="F149" i="15"/>
  <c r="E149" i="15"/>
  <c r="D149" i="15"/>
  <c r="C149" i="15"/>
  <c r="B149" i="15"/>
  <c r="A149" i="15"/>
  <c r="F148" i="15"/>
  <c r="E148" i="15"/>
  <c r="D148" i="15"/>
  <c r="C148" i="15"/>
  <c r="B148" i="15"/>
  <c r="A148" i="15"/>
  <c r="F147" i="15"/>
  <c r="E147" i="15"/>
  <c r="D147" i="15"/>
  <c r="C147" i="15"/>
  <c r="B147" i="15"/>
  <c r="A147" i="15"/>
  <c r="F146" i="15"/>
  <c r="E146" i="15"/>
  <c r="D146" i="15"/>
  <c r="C146" i="15"/>
  <c r="B146" i="15"/>
  <c r="A146" i="15"/>
  <c r="F145" i="15"/>
  <c r="E145" i="15"/>
  <c r="D145" i="15"/>
  <c r="C145" i="15"/>
  <c r="B145" i="15"/>
  <c r="A145" i="15"/>
  <c r="F144" i="15"/>
  <c r="E144" i="15"/>
  <c r="D144" i="15"/>
  <c r="C144" i="15"/>
  <c r="B144" i="15"/>
  <c r="A144" i="15"/>
  <c r="F143" i="15"/>
  <c r="E143" i="15"/>
  <c r="D143" i="15"/>
  <c r="C143" i="15"/>
  <c r="B143" i="15"/>
  <c r="A143" i="15"/>
  <c r="F142" i="15"/>
  <c r="E142" i="15"/>
  <c r="D142" i="15"/>
  <c r="C142" i="15"/>
  <c r="B142" i="15"/>
  <c r="A142" i="15"/>
  <c r="F141" i="15"/>
  <c r="E141" i="15"/>
  <c r="D141" i="15"/>
  <c r="C141" i="15"/>
  <c r="B141" i="15"/>
  <c r="A141" i="15"/>
  <c r="F140" i="15"/>
  <c r="E140" i="15"/>
  <c r="D140" i="15"/>
  <c r="C140" i="15"/>
  <c r="B140" i="15"/>
  <c r="A140" i="15"/>
  <c r="F139" i="15"/>
  <c r="E139" i="15"/>
  <c r="D139" i="15"/>
  <c r="C139" i="15"/>
  <c r="B139" i="15"/>
  <c r="A139" i="15"/>
  <c r="F138" i="15"/>
  <c r="E138" i="15"/>
  <c r="D138" i="15"/>
  <c r="C138" i="15"/>
  <c r="B138" i="15"/>
  <c r="A138" i="15"/>
  <c r="F137" i="15"/>
  <c r="E137" i="15"/>
  <c r="D137" i="15"/>
  <c r="C137" i="15"/>
  <c r="B137" i="15"/>
  <c r="A137" i="15"/>
  <c r="F136" i="15"/>
  <c r="E136" i="15"/>
  <c r="D136" i="15"/>
  <c r="C136" i="15"/>
  <c r="B136" i="15"/>
  <c r="A136" i="15"/>
  <c r="F135" i="15"/>
  <c r="E135" i="15"/>
  <c r="D135" i="15"/>
  <c r="C135" i="15"/>
  <c r="B135" i="15"/>
  <c r="A135" i="15"/>
  <c r="F134" i="15"/>
  <c r="E134" i="15"/>
  <c r="D134" i="15"/>
  <c r="C134" i="15"/>
  <c r="B134" i="15"/>
  <c r="A134" i="15"/>
  <c r="F133" i="15"/>
  <c r="E133" i="15"/>
  <c r="D133" i="15"/>
  <c r="C133" i="15"/>
  <c r="B133" i="15"/>
  <c r="A133" i="15"/>
  <c r="F132" i="15"/>
  <c r="E132" i="15"/>
  <c r="D132" i="15"/>
  <c r="C132" i="15"/>
  <c r="B132" i="15"/>
  <c r="A132" i="15"/>
  <c r="F131" i="15"/>
  <c r="E131" i="15"/>
  <c r="D131" i="15"/>
  <c r="C131" i="15"/>
  <c r="B131" i="15"/>
  <c r="A131" i="15"/>
  <c r="F130" i="15"/>
  <c r="E130" i="15"/>
  <c r="D130" i="15"/>
  <c r="C130" i="15"/>
  <c r="B130" i="15"/>
  <c r="A130" i="15"/>
  <c r="F129" i="15"/>
  <c r="E129" i="15"/>
  <c r="D129" i="15"/>
  <c r="C129" i="15"/>
  <c r="B129" i="15"/>
  <c r="A129" i="15"/>
  <c r="F128" i="15"/>
  <c r="E128" i="15"/>
  <c r="D128" i="15"/>
  <c r="C128" i="15"/>
  <c r="B128" i="15"/>
  <c r="A128" i="15"/>
  <c r="F127" i="15"/>
  <c r="E127" i="15"/>
  <c r="D127" i="15"/>
  <c r="C127" i="15"/>
  <c r="B127" i="15"/>
  <c r="A127" i="15"/>
  <c r="F126" i="15"/>
  <c r="E126" i="15"/>
  <c r="D126" i="15"/>
  <c r="C126" i="15"/>
  <c r="B126" i="15"/>
  <c r="A126" i="15"/>
  <c r="F125" i="15"/>
  <c r="E125" i="15"/>
  <c r="D125" i="15"/>
  <c r="C125" i="15"/>
  <c r="B125" i="15"/>
  <c r="A125" i="15"/>
  <c r="F124" i="15"/>
  <c r="E124" i="15"/>
  <c r="D124" i="15"/>
  <c r="C124" i="15"/>
  <c r="B124" i="15"/>
  <c r="A124" i="15"/>
  <c r="F123" i="15"/>
  <c r="E123" i="15"/>
  <c r="D123" i="15"/>
  <c r="C123" i="15"/>
  <c r="B123" i="15"/>
  <c r="A123" i="15"/>
  <c r="F122" i="15"/>
  <c r="E122" i="15"/>
  <c r="D122" i="15"/>
  <c r="C122" i="15"/>
  <c r="B122" i="15"/>
  <c r="A122" i="15"/>
  <c r="F121" i="15"/>
  <c r="E121" i="15"/>
  <c r="D121" i="15"/>
  <c r="C121" i="15"/>
  <c r="B121" i="15"/>
  <c r="A121" i="15"/>
  <c r="F120" i="15"/>
  <c r="E120" i="15"/>
  <c r="D120" i="15"/>
  <c r="C120" i="15"/>
  <c r="B120" i="15"/>
  <c r="A120" i="15"/>
  <c r="F119" i="15"/>
  <c r="E119" i="15"/>
  <c r="D119" i="15"/>
  <c r="C119" i="15"/>
  <c r="B119" i="15"/>
  <c r="A119" i="15"/>
  <c r="F118" i="15"/>
  <c r="E118" i="15"/>
  <c r="D118" i="15"/>
  <c r="C118" i="15"/>
  <c r="B118" i="15"/>
  <c r="A118" i="15"/>
  <c r="F117" i="15"/>
  <c r="E117" i="15"/>
  <c r="D117" i="15"/>
  <c r="C117" i="15"/>
  <c r="B117" i="15"/>
  <c r="A117" i="15"/>
  <c r="F116" i="15"/>
  <c r="E116" i="15"/>
  <c r="D116" i="15"/>
  <c r="C116" i="15"/>
  <c r="B116" i="15"/>
  <c r="A116" i="15"/>
  <c r="F115" i="15"/>
  <c r="E115" i="15"/>
  <c r="D115" i="15"/>
  <c r="C115" i="15"/>
  <c r="B115" i="15"/>
  <c r="A115" i="15"/>
  <c r="F114" i="15"/>
  <c r="E114" i="15"/>
  <c r="D114" i="15"/>
  <c r="C114" i="15"/>
  <c r="B114" i="15"/>
  <c r="A114" i="15"/>
  <c r="F113" i="15"/>
  <c r="E113" i="15"/>
  <c r="D113" i="15"/>
  <c r="C113" i="15"/>
  <c r="B113" i="15"/>
  <c r="A113" i="15"/>
  <c r="F112" i="15"/>
  <c r="E112" i="15"/>
  <c r="D112" i="15"/>
  <c r="C112" i="15"/>
  <c r="B112" i="15"/>
  <c r="A112" i="15"/>
  <c r="F111" i="15"/>
  <c r="E111" i="15"/>
  <c r="D111" i="15"/>
  <c r="C111" i="15"/>
  <c r="B111" i="15"/>
  <c r="A111" i="15"/>
  <c r="F110" i="15"/>
  <c r="E110" i="15"/>
  <c r="D110" i="15"/>
  <c r="C110" i="15"/>
  <c r="B110" i="15"/>
  <c r="A110" i="15"/>
  <c r="F109" i="15"/>
  <c r="E109" i="15"/>
  <c r="D109" i="15"/>
  <c r="C109" i="15"/>
  <c r="B109" i="15"/>
  <c r="A109" i="15"/>
  <c r="F108" i="15"/>
  <c r="E108" i="15"/>
  <c r="D108" i="15"/>
  <c r="C108" i="15"/>
  <c r="B108" i="15"/>
  <c r="A108" i="15"/>
  <c r="F107" i="15"/>
  <c r="E107" i="15"/>
  <c r="D107" i="15"/>
  <c r="C107" i="15"/>
  <c r="B107" i="15"/>
  <c r="A107" i="15"/>
  <c r="F106" i="15"/>
  <c r="E106" i="15"/>
  <c r="D106" i="15"/>
  <c r="C106" i="15"/>
  <c r="B106" i="15"/>
  <c r="A106" i="15"/>
  <c r="F105" i="15"/>
  <c r="E105" i="15"/>
  <c r="D105" i="15"/>
  <c r="C105" i="15"/>
  <c r="B105" i="15"/>
  <c r="A105" i="15"/>
  <c r="F104" i="15"/>
  <c r="E104" i="15"/>
  <c r="D104" i="15"/>
  <c r="C104" i="15"/>
  <c r="B104" i="15"/>
  <c r="A104" i="15"/>
  <c r="F103" i="15"/>
  <c r="E103" i="15"/>
  <c r="D103" i="15"/>
  <c r="C103" i="15"/>
  <c r="B103" i="15"/>
  <c r="A103" i="15"/>
  <c r="F102" i="15"/>
  <c r="E102" i="15"/>
  <c r="D102" i="15"/>
  <c r="C102" i="15"/>
  <c r="B102" i="15"/>
  <c r="A102" i="15"/>
  <c r="F101" i="15"/>
  <c r="E101" i="15"/>
  <c r="D101" i="15"/>
  <c r="C101" i="15"/>
  <c r="B101" i="15"/>
  <c r="A101" i="15"/>
  <c r="F100" i="15"/>
  <c r="E100" i="15"/>
  <c r="D100" i="15"/>
  <c r="C100" i="15"/>
  <c r="B100" i="15"/>
  <c r="A100" i="15"/>
  <c r="F99" i="15"/>
  <c r="E99" i="15"/>
  <c r="D99" i="15"/>
  <c r="C99" i="15"/>
  <c r="B99" i="15"/>
  <c r="A99" i="15"/>
  <c r="F98" i="15"/>
  <c r="E98" i="15"/>
  <c r="D98" i="15"/>
  <c r="C98" i="15"/>
  <c r="B98" i="15"/>
  <c r="A98" i="15"/>
  <c r="F97" i="15"/>
  <c r="E97" i="15"/>
  <c r="D97" i="15"/>
  <c r="C97" i="15"/>
  <c r="B97" i="15"/>
  <c r="A97" i="15"/>
  <c r="F96" i="15"/>
  <c r="E96" i="15"/>
  <c r="D96" i="15"/>
  <c r="C96" i="15"/>
  <c r="B96" i="15"/>
  <c r="A96" i="15"/>
  <c r="F95" i="15"/>
  <c r="E95" i="15"/>
  <c r="D95" i="15"/>
  <c r="C95" i="15"/>
  <c r="B95" i="15"/>
  <c r="A95" i="15"/>
  <c r="F94" i="15"/>
  <c r="E94" i="15"/>
  <c r="D94" i="15"/>
  <c r="C94" i="15"/>
  <c r="B94" i="15"/>
  <c r="A94" i="15"/>
  <c r="F93" i="15"/>
  <c r="E93" i="15"/>
  <c r="D93" i="15"/>
  <c r="C93" i="15"/>
  <c r="B93" i="15"/>
  <c r="A93" i="15"/>
  <c r="F92" i="15"/>
  <c r="E92" i="15"/>
  <c r="D92" i="15"/>
  <c r="C92" i="15"/>
  <c r="B92" i="15"/>
  <c r="A92" i="15"/>
  <c r="F91" i="15"/>
  <c r="E91" i="15"/>
  <c r="D91" i="15"/>
  <c r="C91" i="15"/>
  <c r="B91" i="15"/>
  <c r="A91" i="15"/>
  <c r="F90" i="15"/>
  <c r="E90" i="15"/>
  <c r="D90" i="15"/>
  <c r="C90" i="15"/>
  <c r="B90" i="15"/>
  <c r="A90" i="15"/>
  <c r="F89" i="15"/>
  <c r="E89" i="15"/>
  <c r="D89" i="15"/>
  <c r="C89" i="15"/>
  <c r="B89" i="15"/>
  <c r="A89" i="15"/>
  <c r="F88" i="15"/>
  <c r="E88" i="15"/>
  <c r="D88" i="15"/>
  <c r="C88" i="15"/>
  <c r="B88" i="15"/>
  <c r="A88" i="15"/>
  <c r="F87" i="15"/>
  <c r="E87" i="15"/>
  <c r="D87" i="15"/>
  <c r="C87" i="15"/>
  <c r="B87" i="15"/>
  <c r="A87" i="15"/>
  <c r="F86" i="15"/>
  <c r="E86" i="15"/>
  <c r="D86" i="15"/>
  <c r="C86" i="15"/>
  <c r="B86" i="15"/>
  <c r="A86" i="15"/>
  <c r="F85" i="15"/>
  <c r="E85" i="15"/>
  <c r="D85" i="15"/>
  <c r="C85" i="15"/>
  <c r="B85" i="15"/>
  <c r="A85" i="15"/>
  <c r="F84" i="15"/>
  <c r="E84" i="15"/>
  <c r="D84" i="15"/>
  <c r="C84" i="15"/>
  <c r="B84" i="15"/>
  <c r="A84" i="15"/>
  <c r="F83" i="15"/>
  <c r="E83" i="15"/>
  <c r="D83" i="15"/>
  <c r="C83" i="15"/>
  <c r="B83" i="15"/>
  <c r="A83" i="15"/>
  <c r="F82" i="15"/>
  <c r="E82" i="15"/>
  <c r="D82" i="15"/>
  <c r="C82" i="15"/>
  <c r="B82" i="15"/>
  <c r="A82" i="15"/>
  <c r="F81" i="15"/>
  <c r="E81" i="15"/>
  <c r="D81" i="15"/>
  <c r="C81" i="15"/>
  <c r="B81" i="15"/>
  <c r="A81" i="15"/>
  <c r="F80" i="15"/>
  <c r="E80" i="15"/>
  <c r="D80" i="15"/>
  <c r="C80" i="15"/>
  <c r="B80" i="15"/>
  <c r="A80" i="15"/>
  <c r="F79" i="15"/>
  <c r="E79" i="15"/>
  <c r="D79" i="15"/>
  <c r="C79" i="15"/>
  <c r="B79" i="15"/>
  <c r="A79" i="15"/>
  <c r="F78" i="15"/>
  <c r="E78" i="15"/>
  <c r="D78" i="15"/>
  <c r="C78" i="15"/>
  <c r="B78" i="15"/>
  <c r="A78" i="15"/>
  <c r="F77" i="15"/>
  <c r="E77" i="15"/>
  <c r="D77" i="15"/>
  <c r="C77" i="15"/>
  <c r="B77" i="15"/>
  <c r="A77" i="15"/>
  <c r="F76" i="15"/>
  <c r="E76" i="15"/>
  <c r="D76" i="15"/>
  <c r="C76" i="15"/>
  <c r="B76" i="15"/>
  <c r="A76" i="15"/>
  <c r="F75" i="15"/>
  <c r="E75" i="15"/>
  <c r="D75" i="15"/>
  <c r="C75" i="15"/>
  <c r="B75" i="15"/>
  <c r="A75" i="15"/>
  <c r="F74" i="15"/>
  <c r="E74" i="15"/>
  <c r="D74" i="15"/>
  <c r="C74" i="15"/>
  <c r="B74" i="15"/>
  <c r="A74" i="15"/>
  <c r="F73" i="15"/>
  <c r="E73" i="15"/>
  <c r="D73" i="15"/>
  <c r="C73" i="15"/>
  <c r="B73" i="15"/>
  <c r="A73" i="15"/>
  <c r="F72" i="15"/>
  <c r="E72" i="15"/>
  <c r="D72" i="15"/>
  <c r="C72" i="15"/>
  <c r="B72" i="15"/>
  <c r="A72" i="15"/>
  <c r="F71" i="15"/>
  <c r="E71" i="15"/>
  <c r="D71" i="15"/>
  <c r="C71" i="15"/>
  <c r="B71" i="15"/>
  <c r="A71" i="15"/>
  <c r="F70" i="15"/>
  <c r="E70" i="15"/>
  <c r="D70" i="15"/>
  <c r="C70" i="15"/>
  <c r="B70" i="15"/>
  <c r="A70" i="15"/>
  <c r="F69" i="15"/>
  <c r="E69" i="15"/>
  <c r="D69" i="15"/>
  <c r="C69" i="15"/>
  <c r="B69" i="15"/>
  <c r="A69" i="15"/>
  <c r="F68" i="15"/>
  <c r="E68" i="15"/>
  <c r="D68" i="15"/>
  <c r="C68" i="15"/>
  <c r="B68" i="15"/>
  <c r="A68" i="15"/>
  <c r="F67" i="15"/>
  <c r="E67" i="15"/>
  <c r="D67" i="15"/>
  <c r="C67" i="15"/>
  <c r="B67" i="15"/>
  <c r="A67" i="15"/>
  <c r="F66" i="15"/>
  <c r="E66" i="15"/>
  <c r="D66" i="15"/>
  <c r="C66" i="15"/>
  <c r="B66" i="15"/>
  <c r="A66" i="15"/>
  <c r="F65" i="15"/>
  <c r="E65" i="15"/>
  <c r="D65" i="15"/>
  <c r="C65" i="15"/>
  <c r="B65" i="15"/>
  <c r="A65" i="15"/>
  <c r="F64" i="15"/>
  <c r="E64" i="15"/>
  <c r="D64" i="15"/>
  <c r="C64" i="15"/>
  <c r="B64" i="15"/>
  <c r="A64" i="15"/>
  <c r="F63" i="15"/>
  <c r="E63" i="15"/>
  <c r="D63" i="15"/>
  <c r="C63" i="15"/>
  <c r="B63" i="15"/>
  <c r="A63" i="15"/>
  <c r="F62" i="15"/>
  <c r="E62" i="15"/>
  <c r="D62" i="15"/>
  <c r="C62" i="15"/>
  <c r="B62" i="15"/>
  <c r="A62" i="15"/>
  <c r="F61" i="15"/>
  <c r="E61" i="15"/>
  <c r="D61" i="15"/>
  <c r="C61" i="15"/>
  <c r="B61" i="15"/>
  <c r="A61" i="15"/>
  <c r="F60" i="15"/>
  <c r="E60" i="15"/>
  <c r="D60" i="15"/>
  <c r="C60" i="15"/>
  <c r="B60" i="15"/>
  <c r="A60" i="15"/>
  <c r="F59" i="15"/>
  <c r="E59" i="15"/>
  <c r="D59" i="15"/>
  <c r="C59" i="15"/>
  <c r="B59" i="15"/>
  <c r="A59" i="15"/>
  <c r="F58" i="15"/>
  <c r="E58" i="15"/>
  <c r="D58" i="15"/>
  <c r="C58" i="15"/>
  <c r="B58" i="15"/>
  <c r="A58" i="15"/>
  <c r="F57" i="15"/>
  <c r="E57" i="15"/>
  <c r="D57" i="15"/>
  <c r="C57" i="15"/>
  <c r="B57" i="15"/>
  <c r="A57" i="15"/>
  <c r="F56" i="15"/>
  <c r="E56" i="15"/>
  <c r="D56" i="15"/>
  <c r="C56" i="15"/>
  <c r="B56" i="15"/>
  <c r="A56" i="15"/>
  <c r="F55" i="15"/>
  <c r="E55" i="15"/>
  <c r="D55" i="15"/>
  <c r="C55" i="15"/>
  <c r="B55" i="15"/>
  <c r="A55" i="15"/>
  <c r="F54" i="15"/>
  <c r="E54" i="15"/>
  <c r="D54" i="15"/>
  <c r="C54" i="15"/>
  <c r="B54" i="15"/>
  <c r="A54" i="15"/>
  <c r="F53" i="15"/>
  <c r="E53" i="15"/>
  <c r="D53" i="15"/>
  <c r="C53" i="15"/>
  <c r="B53" i="15"/>
  <c r="A53" i="15"/>
  <c r="F52" i="15"/>
  <c r="E52" i="15"/>
  <c r="D52" i="15"/>
  <c r="C52" i="15"/>
  <c r="B52" i="15"/>
  <c r="A52" i="15"/>
  <c r="F51" i="15"/>
  <c r="E51" i="15"/>
  <c r="D51" i="15"/>
  <c r="C51" i="15"/>
  <c r="B51" i="15"/>
  <c r="A51" i="15"/>
  <c r="F50" i="15"/>
  <c r="E50" i="15"/>
  <c r="D50" i="15"/>
  <c r="C50" i="15"/>
  <c r="B50" i="15"/>
  <c r="A50" i="15"/>
  <c r="F49" i="15"/>
  <c r="E49" i="15"/>
  <c r="D49" i="15"/>
  <c r="C49" i="15"/>
  <c r="B49" i="15"/>
  <c r="A49" i="15"/>
  <c r="F48" i="15"/>
  <c r="E48" i="15"/>
  <c r="D48" i="15"/>
  <c r="C48" i="15"/>
  <c r="B48" i="15"/>
  <c r="A48" i="15"/>
  <c r="F47" i="15"/>
  <c r="E47" i="15"/>
  <c r="D47" i="15"/>
  <c r="C47" i="15"/>
  <c r="B47" i="15"/>
  <c r="A47" i="15"/>
  <c r="F46" i="15"/>
  <c r="E46" i="15"/>
  <c r="D46" i="15"/>
  <c r="C46" i="15"/>
  <c r="B46" i="15"/>
  <c r="A46" i="15"/>
  <c r="F45" i="15"/>
  <c r="E45" i="15"/>
  <c r="D45" i="15"/>
  <c r="C45" i="15"/>
  <c r="B45" i="15"/>
  <c r="A45" i="15"/>
  <c r="F44" i="15"/>
  <c r="E44" i="15"/>
  <c r="D44" i="15"/>
  <c r="C44" i="15"/>
  <c r="B44" i="15"/>
  <c r="A44" i="15"/>
  <c r="F43" i="15"/>
  <c r="E43" i="15"/>
  <c r="D43" i="15"/>
  <c r="C43" i="15"/>
  <c r="B43" i="15"/>
  <c r="A43" i="15"/>
  <c r="F42" i="15"/>
  <c r="E42" i="15"/>
  <c r="D42" i="15"/>
  <c r="C42" i="15"/>
  <c r="B42" i="15"/>
  <c r="A42" i="15"/>
  <c r="F41" i="15"/>
  <c r="E41" i="15"/>
  <c r="D41" i="15"/>
  <c r="C41" i="15"/>
  <c r="B41" i="15"/>
  <c r="A41" i="15"/>
  <c r="F40" i="15"/>
  <c r="E40" i="15"/>
  <c r="D40" i="15"/>
  <c r="C40" i="15"/>
  <c r="B40" i="15"/>
  <c r="A40" i="15"/>
  <c r="F39" i="15"/>
  <c r="E39" i="15"/>
  <c r="D39" i="15"/>
  <c r="C39" i="15"/>
  <c r="B39" i="15"/>
  <c r="A39" i="15"/>
  <c r="F38" i="15"/>
  <c r="E38" i="15"/>
  <c r="D38" i="15"/>
  <c r="C38" i="15"/>
  <c r="B38" i="15"/>
  <c r="A38" i="15"/>
  <c r="F37" i="15"/>
  <c r="E37" i="15"/>
  <c r="D37" i="15"/>
  <c r="C37" i="15"/>
  <c r="B37" i="15"/>
  <c r="A37" i="15"/>
  <c r="F36" i="15"/>
  <c r="E36" i="15"/>
  <c r="D36" i="15"/>
  <c r="C36" i="15"/>
  <c r="B36" i="15"/>
  <c r="A36" i="15"/>
  <c r="F35" i="15"/>
  <c r="E35" i="15"/>
  <c r="D35" i="15"/>
  <c r="C35" i="15"/>
  <c r="B35" i="15"/>
  <c r="A35" i="15"/>
  <c r="F34" i="15"/>
  <c r="E34" i="15"/>
  <c r="D34" i="15"/>
  <c r="C34" i="15"/>
  <c r="B34" i="15"/>
  <c r="A34" i="15"/>
  <c r="F33" i="15"/>
  <c r="E33" i="15"/>
  <c r="D33" i="15"/>
  <c r="C33" i="15"/>
  <c r="B33" i="15"/>
  <c r="A33" i="15"/>
  <c r="F32" i="15"/>
  <c r="E32" i="15"/>
  <c r="D32" i="15"/>
  <c r="C32" i="15"/>
  <c r="B32" i="15"/>
  <c r="A32" i="15"/>
  <c r="F31" i="15"/>
  <c r="E31" i="15"/>
  <c r="D31" i="15"/>
  <c r="C31" i="15"/>
  <c r="B31" i="15"/>
  <c r="A31" i="15"/>
  <c r="F30" i="15"/>
  <c r="E30" i="15"/>
  <c r="D30" i="15"/>
  <c r="C30" i="15"/>
  <c r="B30" i="15"/>
  <c r="A30" i="15"/>
  <c r="F29" i="15"/>
  <c r="E29" i="15"/>
  <c r="D29" i="15"/>
  <c r="C29" i="15"/>
  <c r="B29" i="15"/>
  <c r="A29" i="15"/>
  <c r="F28" i="15"/>
  <c r="E28" i="15"/>
  <c r="D28" i="15"/>
  <c r="C28" i="15"/>
  <c r="B28" i="15"/>
  <c r="A28" i="15"/>
  <c r="F27" i="15"/>
  <c r="E27" i="15"/>
  <c r="D27" i="15"/>
  <c r="C27" i="15"/>
  <c r="B27" i="15"/>
  <c r="A27" i="15"/>
  <c r="F26" i="15"/>
  <c r="E26" i="15"/>
  <c r="D26" i="15"/>
  <c r="C26" i="15"/>
  <c r="B26" i="15"/>
  <c r="A26" i="15"/>
  <c r="F25" i="15"/>
  <c r="E25" i="15"/>
  <c r="D25" i="15"/>
  <c r="C25" i="15"/>
  <c r="B25" i="15"/>
  <c r="A25" i="15"/>
  <c r="F24" i="15"/>
  <c r="E24" i="15"/>
  <c r="D24" i="15"/>
  <c r="C24" i="15"/>
  <c r="B24" i="15"/>
  <c r="A24" i="15"/>
  <c r="F23" i="15"/>
  <c r="E23" i="15"/>
  <c r="D23" i="15"/>
  <c r="C23" i="15"/>
  <c r="B23" i="15"/>
  <c r="A23" i="15"/>
  <c r="F22" i="15"/>
  <c r="E22" i="15"/>
  <c r="D22" i="15"/>
  <c r="C22" i="15"/>
  <c r="B22" i="15"/>
  <c r="A22" i="15"/>
  <c r="F21" i="15"/>
  <c r="E21" i="15"/>
  <c r="D21" i="15"/>
  <c r="C21" i="15"/>
  <c r="B21" i="15"/>
  <c r="A21" i="15"/>
  <c r="F20" i="15"/>
  <c r="E20" i="15"/>
  <c r="D20" i="15"/>
  <c r="C20" i="15"/>
  <c r="B20" i="15"/>
  <c r="A20" i="15"/>
  <c r="F19" i="15"/>
  <c r="E19" i="15"/>
  <c r="D19" i="15"/>
  <c r="C19" i="15"/>
  <c r="B19" i="15"/>
  <c r="A19" i="15"/>
  <c r="F18" i="15"/>
  <c r="E18" i="15"/>
  <c r="D18" i="15"/>
  <c r="C18" i="15"/>
  <c r="B18" i="15"/>
  <c r="A18" i="15"/>
  <c r="F17" i="15"/>
  <c r="E17" i="15"/>
  <c r="D17" i="15"/>
  <c r="C17" i="15"/>
  <c r="B17" i="15"/>
  <c r="A17" i="15"/>
  <c r="F16" i="15"/>
  <c r="E16" i="15"/>
  <c r="D16" i="15"/>
  <c r="C16" i="15"/>
  <c r="B16" i="15"/>
  <c r="A16" i="15"/>
  <c r="F15" i="15"/>
  <c r="E15" i="15"/>
  <c r="D15" i="15"/>
  <c r="C15" i="15"/>
  <c r="B15" i="15"/>
  <c r="A15" i="15"/>
  <c r="F14" i="15"/>
  <c r="E14" i="15"/>
  <c r="D14" i="15"/>
  <c r="C14" i="15"/>
  <c r="B14" i="15"/>
  <c r="A14" i="15"/>
  <c r="F13" i="15"/>
  <c r="E13" i="15"/>
  <c r="D13" i="15"/>
  <c r="C13" i="15"/>
  <c r="B13" i="15"/>
  <c r="A13" i="15"/>
  <c r="F12" i="15"/>
  <c r="E12" i="15"/>
  <c r="D12" i="15"/>
  <c r="C12" i="15"/>
  <c r="B12" i="15"/>
  <c r="A12" i="15"/>
  <c r="F11" i="15"/>
  <c r="E11" i="15"/>
  <c r="D11" i="15"/>
  <c r="C11" i="15"/>
  <c r="B11" i="15"/>
  <c r="A11" i="15"/>
  <c r="F10" i="15"/>
  <c r="E10" i="15"/>
  <c r="D10" i="15"/>
  <c r="C10" i="15"/>
  <c r="B10" i="15"/>
  <c r="A10" i="15"/>
  <c r="F9" i="15"/>
  <c r="E9" i="15"/>
  <c r="B9" i="15"/>
  <c r="A9" i="15"/>
  <c r="AO19" i="60" l="1"/>
  <c r="AO18" i="60"/>
  <c r="I87" i="58"/>
  <c r="J88" i="58" a="1"/>
  <c r="J88" i="58" s="1"/>
  <c r="J193" i="58" s="1"/>
  <c r="J76" i="58" a="1"/>
  <c r="J76" i="58" s="1"/>
  <c r="J87" i="58" a="1"/>
  <c r="J87" i="58" s="1"/>
  <c r="J192" i="58" s="1"/>
  <c r="J77" i="58" a="1"/>
  <c r="J77" i="58" s="1"/>
  <c r="I88" i="58"/>
  <c r="AP17" i="60"/>
  <c r="AP19" i="60"/>
  <c r="J81" i="55"/>
  <c r="J233" i="55"/>
  <c r="J239" i="55"/>
  <c r="N36" i="58"/>
  <c r="K36" i="58"/>
  <c r="B202" i="58"/>
  <c r="C236" i="58"/>
  <c r="C177" i="58"/>
  <c r="C189" i="58" s="1"/>
  <c r="C200" i="58" s="1"/>
  <c r="C211" i="58" s="1"/>
  <c r="C223" i="58" s="1"/>
  <c r="K8" i="58"/>
  <c r="L67" i="58"/>
  <c r="L104" i="58" s="1"/>
  <c r="L22" i="58"/>
  <c r="L7" i="58"/>
  <c r="L6" i="58"/>
  <c r="L12" i="58" a="1"/>
  <c r="L12" i="58" s="1"/>
  <c r="L11" i="58" s="1"/>
  <c r="L5" i="58"/>
  <c r="M4" i="58"/>
  <c r="B198" i="58"/>
  <c r="C239" i="58"/>
  <c r="C180" i="58"/>
  <c r="C192" i="58" s="1"/>
  <c r="C203" i="58" s="1"/>
  <c r="C214" i="58" s="1"/>
  <c r="C226" i="58" s="1"/>
  <c r="B211" i="58"/>
  <c r="C240" i="58"/>
  <c r="C181" i="58"/>
  <c r="C193" i="58" s="1"/>
  <c r="C204" i="58" s="1"/>
  <c r="C215" i="58" s="1"/>
  <c r="C227" i="58" s="1"/>
  <c r="M34" i="58"/>
  <c r="M35" i="58" s="1"/>
  <c r="B215" i="58"/>
  <c r="B214" i="58"/>
  <c r="B197" i="58"/>
  <c r="L31" i="58"/>
  <c r="L34" i="58" s="1"/>
  <c r="L35" i="58" s="1"/>
  <c r="B205" i="58"/>
  <c r="B199" i="58"/>
  <c r="B201" i="58"/>
  <c r="J34" i="58"/>
  <c r="J35" i="58" s="1"/>
  <c r="C241" i="58"/>
  <c r="C182" i="58"/>
  <c r="C194" i="58" s="1"/>
  <c r="C205" i="58" s="1"/>
  <c r="C216" i="58" s="1"/>
  <c r="C228" i="58" s="1"/>
  <c r="C234" i="58"/>
  <c r="C175" i="58"/>
  <c r="C187" i="58" s="1"/>
  <c r="C198" i="58" s="1"/>
  <c r="C209" i="58" s="1"/>
  <c r="C221" i="58" s="1"/>
  <c r="O73" i="55"/>
  <c r="O135" i="55"/>
  <c r="O140" i="55"/>
  <c r="J138" i="55"/>
  <c r="O159" i="55"/>
  <c r="J144" i="55"/>
  <c r="O165" i="55"/>
  <c r="O197" i="55"/>
  <c r="J195" i="55"/>
  <c r="O203" i="55"/>
  <c r="J72" i="55"/>
  <c r="J196" i="55"/>
  <c r="J234" i="55"/>
  <c r="J74" i="55"/>
  <c r="J160" i="55"/>
  <c r="J198" i="55"/>
  <c r="J79" i="55"/>
  <c r="O240" i="55"/>
  <c r="J236" i="55"/>
  <c r="O76" i="55"/>
  <c r="O162" i="55"/>
  <c r="J136" i="55"/>
  <c r="J161" i="55"/>
  <c r="J199" i="55"/>
  <c r="J237" i="55"/>
  <c r="O77" i="55"/>
  <c r="O141" i="55"/>
  <c r="O163" i="55"/>
  <c r="J238" i="55"/>
  <c r="O78" i="55"/>
  <c r="O142" i="55"/>
  <c r="J75" i="55"/>
  <c r="J201" i="55"/>
  <c r="O193" i="55"/>
  <c r="O235" i="55"/>
  <c r="J88" i="55"/>
  <c r="J139" i="55"/>
  <c r="J151" i="55"/>
  <c r="O194" i="55"/>
  <c r="J137" i="55"/>
  <c r="J200" i="55"/>
  <c r="J241" i="55"/>
  <c r="J253" i="55"/>
  <c r="O155" i="55"/>
  <c r="O134" i="55"/>
  <c r="O156" i="55"/>
  <c r="J243" i="55"/>
  <c r="O71" i="55"/>
  <c r="O157" i="55"/>
  <c r="O158" i="55"/>
  <c r="K88" i="58" l="1" a="1"/>
  <c r="K88" i="58" s="1"/>
  <c r="K87" i="58" a="1"/>
  <c r="K87" i="58" s="1"/>
  <c r="K77" i="58" a="1"/>
  <c r="K77" i="58" s="1"/>
  <c r="K169" i="58" s="1"/>
  <c r="K76" i="58" a="1"/>
  <c r="K76" i="58" s="1"/>
  <c r="K168" i="58" s="1"/>
  <c r="J169" i="58"/>
  <c r="J168" i="58"/>
  <c r="J36" i="58"/>
  <c r="J49" i="58" s="1"/>
  <c r="M36" i="58"/>
  <c r="N41" i="58" s="1"/>
  <c r="L36" i="58"/>
  <c r="L41" i="58" s="1"/>
  <c r="B223" i="58"/>
  <c r="B216" i="58"/>
  <c r="B212" i="58"/>
  <c r="J215" i="58"/>
  <c r="B227" i="58"/>
  <c r="B226" i="58"/>
  <c r="J214" i="58"/>
  <c r="B213" i="58"/>
  <c r="B209" i="58"/>
  <c r="B210" i="58"/>
  <c r="B208" i="58"/>
  <c r="J203" i="58"/>
  <c r="J204" i="58"/>
  <c r="N4" i="58"/>
  <c r="M67" i="58"/>
  <c r="M104" i="58" s="1"/>
  <c r="M6" i="58"/>
  <c r="M22" i="58"/>
  <c r="M7" i="58"/>
  <c r="M12" i="58" a="1"/>
  <c r="M12" i="58" s="1"/>
  <c r="M11" i="58" s="1"/>
  <c r="M5" i="58"/>
  <c r="L8" i="58"/>
  <c r="L87" i="58" l="1" a="1"/>
  <c r="L87" i="58" s="1"/>
  <c r="M87" i="58" s="1" a="1"/>
  <c r="M87" i="58" s="1"/>
  <c r="N87" i="58" s="1" a="1"/>
  <c r="N87" i="58" s="1"/>
  <c r="L88" i="58" a="1"/>
  <c r="L88" i="58" s="1"/>
  <c r="M88" i="58" s="1" a="1"/>
  <c r="M88" i="58" s="1"/>
  <c r="N88" i="58" s="1" a="1"/>
  <c r="N88" i="58" s="1"/>
  <c r="L77" i="58" a="1"/>
  <c r="L77" i="58" s="1"/>
  <c r="M77" i="58" s="1" a="1"/>
  <c r="M77" i="58" s="1"/>
  <c r="N77" i="58" s="1" a="1"/>
  <c r="N77" i="58" s="1"/>
  <c r="L76" i="58" a="1"/>
  <c r="L76" i="58" s="1"/>
  <c r="M76" i="58" s="1" a="1"/>
  <c r="M76" i="58" s="1"/>
  <c r="N76" i="58" s="1" a="1"/>
  <c r="N76" i="58" s="1"/>
  <c r="J226" i="58"/>
  <c r="J227" i="58"/>
  <c r="J53" i="58"/>
  <c r="J181" i="58"/>
  <c r="J180" i="58"/>
  <c r="B222" i="58"/>
  <c r="K41" i="58"/>
  <c r="M41" i="58"/>
  <c r="B228" i="58"/>
  <c r="B224" i="58"/>
  <c r="N67" i="58"/>
  <c r="N104" i="58" s="1"/>
  <c r="N22" i="58"/>
  <c r="N12" i="58" a="1"/>
  <c r="N12" i="58" s="1"/>
  <c r="N11" i="58" s="1"/>
  <c r="N6" i="58"/>
  <c r="N7" i="58"/>
  <c r="N5" i="58"/>
  <c r="O4" i="58"/>
  <c r="B221" i="58"/>
  <c r="B225" i="58"/>
  <c r="B220" i="58"/>
  <c r="D4" i="56"/>
  <c r="L169" i="58" l="1"/>
  <c r="J264" i="58"/>
  <c r="G119" i="47" s="1"/>
  <c r="J265" i="58"/>
  <c r="G125" i="47" s="1"/>
  <c r="O67" i="58"/>
  <c r="O104" i="58" s="1"/>
  <c r="O6" i="58"/>
  <c r="O12" i="58" a="1"/>
  <c r="O12" i="58" s="1"/>
  <c r="O11" i="58" s="1"/>
  <c r="O22" i="58"/>
  <c r="O7" i="58"/>
  <c r="O5" i="58"/>
  <c r="P4" i="58"/>
  <c r="L168" i="58"/>
  <c r="AC27" i="56"/>
  <c r="AB27" i="56"/>
  <c r="N169" i="58" l="1"/>
  <c r="M169" i="58"/>
  <c r="N168" i="58"/>
  <c r="M168" i="58"/>
  <c r="P12" i="58" a="1"/>
  <c r="P12" i="58" s="1"/>
  <c r="P11" i="58" s="1"/>
  <c r="P22" i="58"/>
  <c r="P25" i="58" s="1"/>
  <c r="P6" i="58"/>
  <c r="P7" i="58"/>
  <c r="P67" i="58"/>
  <c r="P104" i="58" s="1"/>
  <c r="P5" i="58"/>
  <c r="Q4" i="58"/>
  <c r="AR161" i="57"/>
  <c r="AR162" i="57" s="1"/>
  <c r="AM161" i="57"/>
  <c r="P139" i="57"/>
  <c r="Y139" i="57" s="1"/>
  <c r="Q139" i="57" l="1"/>
  <c r="Z139" i="57" s="1"/>
  <c r="AN161" i="57"/>
  <c r="AN162" i="57" s="1"/>
  <c r="AM162" i="57"/>
  <c r="B26" i="57"/>
  <c r="D141" i="57"/>
  <c r="Q67" i="58"/>
  <c r="Q104" i="58" s="1"/>
  <c r="Q22" i="58"/>
  <c r="Q7" i="58"/>
  <c r="Q6" i="58"/>
  <c r="Q5" i="58"/>
  <c r="Q8" i="58" s="1"/>
  <c r="Q12" i="58" a="1"/>
  <c r="Q12" i="58" s="1"/>
  <c r="Q11" i="58" s="1"/>
  <c r="R4" i="58"/>
  <c r="P8" i="58"/>
  <c r="Q25" i="58"/>
  <c r="P87" i="58" l="1" a="1"/>
  <c r="P87" i="58" s="1"/>
  <c r="Q87" i="58" s="1" a="1"/>
  <c r="Q87" i="58" s="1"/>
  <c r="P88" i="58" a="1"/>
  <c r="P88" i="58" s="1"/>
  <c r="Q88" i="58" s="1" a="1"/>
  <c r="Q88" i="58" s="1"/>
  <c r="P77" i="58" a="1"/>
  <c r="P77" i="58" s="1"/>
  <c r="Q77" i="58" s="1" a="1"/>
  <c r="Q77" i="58" s="1"/>
  <c r="P76" i="58" a="1"/>
  <c r="P76" i="58" s="1"/>
  <c r="Q76" i="58" s="1" a="1"/>
  <c r="Q76" i="58" s="1"/>
  <c r="R139" i="57"/>
  <c r="AA139" i="57" s="1"/>
  <c r="D178" i="57"/>
  <c r="D34" i="57"/>
  <c r="B43" i="57"/>
  <c r="B42" i="57"/>
  <c r="R5" i="58"/>
  <c r="R7" i="58"/>
  <c r="R22" i="58"/>
  <c r="R25" i="58" s="1"/>
  <c r="R6" i="58"/>
  <c r="R12" i="58" a="1"/>
  <c r="R12" i="58" s="1"/>
  <c r="R11" i="58" s="1"/>
  <c r="R67" i="58"/>
  <c r="R104" i="58" s="1"/>
  <c r="S4" i="58"/>
  <c r="S139" i="57" l="1"/>
  <c r="AB139" i="57" s="1"/>
  <c r="T139" i="57"/>
  <c r="U139" i="57" s="1"/>
  <c r="V139" i="57" s="1"/>
  <c r="R8" i="58"/>
  <c r="S67" i="58"/>
  <c r="S104" i="58" s="1"/>
  <c r="S22" i="58"/>
  <c r="S25" i="58" s="1"/>
  <c r="S12" i="58" a="1"/>
  <c r="S12" i="58" s="1"/>
  <c r="S11" i="58" s="1"/>
  <c r="S7" i="58"/>
  <c r="S5" i="58"/>
  <c r="T4" i="58"/>
  <c r="S6" i="58"/>
  <c r="R87" i="58" l="1" a="1"/>
  <c r="R87" i="58" s="1"/>
  <c r="R76" i="58" a="1"/>
  <c r="R76" i="58" s="1"/>
  <c r="R88" i="58" a="1"/>
  <c r="R88" i="58" s="1"/>
  <c r="R77" i="58" a="1"/>
  <c r="R77" i="58" s="1"/>
  <c r="T22" i="58"/>
  <c r="T25" i="58" s="1"/>
  <c r="T5" i="58"/>
  <c r="T12" i="58" a="1"/>
  <c r="T12" i="58" s="1"/>
  <c r="T11" i="58" s="1"/>
  <c r="U4" i="58"/>
  <c r="T7" i="58"/>
  <c r="T67" i="58"/>
  <c r="T104" i="58" s="1"/>
  <c r="T6" i="58"/>
  <c r="S8" i="58"/>
  <c r="M197" i="57"/>
  <c r="AP196" i="57"/>
  <c r="AQ196" i="57"/>
  <c r="S77" i="58" l="1" a="1"/>
  <c r="S77" i="58" s="1"/>
  <c r="S88" i="58" a="1"/>
  <c r="S88" i="58" s="1"/>
  <c r="S76" i="58" a="1"/>
  <c r="S76" i="58" s="1"/>
  <c r="S87" i="58" a="1"/>
  <c r="S87" i="58" s="1"/>
  <c r="T8" i="58"/>
  <c r="U67" i="58"/>
  <c r="U104" i="58" s="1"/>
  <c r="U12" i="58" a="1"/>
  <c r="U12" i="58" s="1"/>
  <c r="U11" i="58" s="1"/>
  <c r="U22" i="58"/>
  <c r="U25" i="58" s="1"/>
  <c r="U5" i="58"/>
  <c r="U7" i="58"/>
  <c r="U6" i="58"/>
  <c r="V4" i="58"/>
  <c r="T87" i="58" l="1" a="1"/>
  <c r="T87" i="58" s="1"/>
  <c r="T88" i="58" a="1"/>
  <c r="T88" i="58" s="1"/>
  <c r="T77" i="58" a="1"/>
  <c r="T77" i="58" s="1"/>
  <c r="T76" i="58" a="1"/>
  <c r="T76" i="58" s="1"/>
  <c r="U8" i="58"/>
  <c r="V7" i="58"/>
  <c r="V12" i="58" a="1"/>
  <c r="V12" i="58" s="1"/>
  <c r="V11" i="58" s="1"/>
  <c r="W4" i="58"/>
  <c r="V22" i="58"/>
  <c r="V25" i="58" s="1"/>
  <c r="V6" i="58"/>
  <c r="V67" i="58"/>
  <c r="V104" i="58" s="1"/>
  <c r="V5" i="58"/>
  <c r="V8" i="58" s="1"/>
  <c r="U87" i="58" l="1" a="1"/>
  <c r="U87" i="58" s="1"/>
  <c r="V87" i="58" s="1" a="1"/>
  <c r="V87" i="58" s="1"/>
  <c r="U77" i="58" a="1"/>
  <c r="U77" i="58" s="1"/>
  <c r="V77" i="58" s="1" a="1"/>
  <c r="V77" i="58" s="1"/>
  <c r="U88" i="58" a="1"/>
  <c r="U88" i="58" s="1"/>
  <c r="V88" i="58" s="1" a="1"/>
  <c r="V88" i="58" s="1"/>
  <c r="U76" i="58" a="1"/>
  <c r="U76" i="58" s="1"/>
  <c r="V76" i="58" s="1" a="1"/>
  <c r="V76" i="58" s="1"/>
  <c r="W67" i="58"/>
  <c r="W104" i="58" s="1"/>
  <c r="W5" i="58"/>
  <c r="W12" i="58" a="1"/>
  <c r="W12" i="58" s="1"/>
  <c r="W11" i="58" s="1"/>
  <c r="W7" i="58"/>
  <c r="X4" i="58"/>
  <c r="W22" i="58"/>
  <c r="W25" i="58" s="1"/>
  <c r="W6" i="58"/>
  <c r="W8" i="58" l="1"/>
  <c r="X67" i="58"/>
  <c r="X104" i="58" s="1"/>
  <c r="X7" i="58"/>
  <c r="X6" i="58"/>
  <c r="X22" i="58"/>
  <c r="X25" i="58" s="1"/>
  <c r="X12" i="58" a="1"/>
  <c r="X12" i="58" s="1"/>
  <c r="X11" i="58" s="1"/>
  <c r="X5" i="58"/>
  <c r="Y4" i="58"/>
  <c r="X8" i="58" l="1"/>
  <c r="W77" i="58" a="1"/>
  <c r="W77" i="58" s="1"/>
  <c r="W88" i="58" a="1"/>
  <c r="W88" i="58" s="1"/>
  <c r="W87" i="58" a="1"/>
  <c r="W87" i="58" s="1"/>
  <c r="W76" i="58" a="1"/>
  <c r="W76" i="58" s="1"/>
  <c r="Y12" i="58" a="1"/>
  <c r="Y12" i="58" s="1"/>
  <c r="Y11" i="58" s="1"/>
  <c r="Y67" i="58"/>
  <c r="Y104" i="58" s="1"/>
  <c r="Z4" i="58"/>
  <c r="Y22" i="58"/>
  <c r="Y25" i="58" s="1"/>
  <c r="Y6" i="58"/>
  <c r="Y5" i="58"/>
  <c r="Y7" i="58"/>
  <c r="AG25" i="44"/>
  <c r="AF25" i="44"/>
  <c r="E11" i="57"/>
  <c r="D4" i="57"/>
  <c r="F134" i="57" s="1"/>
  <c r="F3" i="56"/>
  <c r="D1" i="56"/>
  <c r="I265" i="57"/>
  <c r="G265" i="57"/>
  <c r="I264" i="57"/>
  <c r="G264" i="57"/>
  <c r="I263" i="57"/>
  <c r="G263" i="57"/>
  <c r="J259" i="57"/>
  <c r="B258" i="57"/>
  <c r="B257" i="57"/>
  <c r="B256" i="57"/>
  <c r="E251" i="57"/>
  <c r="D251" i="57"/>
  <c r="C251" i="57"/>
  <c r="C250" i="57"/>
  <c r="K249" i="57"/>
  <c r="J249" i="57"/>
  <c r="I249" i="57"/>
  <c r="H249" i="57"/>
  <c r="G249" i="57"/>
  <c r="C249" i="57"/>
  <c r="I240" i="57"/>
  <c r="I239" i="57"/>
  <c r="I238" i="57"/>
  <c r="H238" i="57"/>
  <c r="G238" i="57"/>
  <c r="E238" i="57"/>
  <c r="C238" i="57"/>
  <c r="B238" i="57"/>
  <c r="I237" i="57"/>
  <c r="H237" i="57"/>
  <c r="G237" i="57"/>
  <c r="E237" i="57"/>
  <c r="C237" i="57"/>
  <c r="B237" i="57"/>
  <c r="I236" i="57"/>
  <c r="H236" i="57"/>
  <c r="G236" i="57"/>
  <c r="E236" i="57"/>
  <c r="C236" i="57"/>
  <c r="B236" i="57"/>
  <c r="I235" i="57"/>
  <c r="H235" i="57"/>
  <c r="G235" i="57"/>
  <c r="E235" i="57"/>
  <c r="C235" i="57"/>
  <c r="B235" i="57"/>
  <c r="I234" i="57"/>
  <c r="H234" i="57"/>
  <c r="G234" i="57"/>
  <c r="E234" i="57"/>
  <c r="C234" i="57"/>
  <c r="B234" i="57"/>
  <c r="I233" i="57"/>
  <c r="H233" i="57"/>
  <c r="G233" i="57"/>
  <c r="E233" i="57"/>
  <c r="C233" i="57"/>
  <c r="B233" i="57"/>
  <c r="K232" i="57"/>
  <c r="L232" i="57" s="1"/>
  <c r="K229" i="57"/>
  <c r="AY228" i="57"/>
  <c r="AX228" i="57"/>
  <c r="E228" i="57"/>
  <c r="E250" i="57" s="1"/>
  <c r="I226" i="57"/>
  <c r="H226" i="57"/>
  <c r="G226" i="57"/>
  <c r="F226" i="57"/>
  <c r="E226" i="57"/>
  <c r="C226" i="57"/>
  <c r="B226" i="57"/>
  <c r="I225" i="57"/>
  <c r="H225" i="57"/>
  <c r="G225" i="57"/>
  <c r="F225" i="57"/>
  <c r="E225" i="57"/>
  <c r="C225" i="57"/>
  <c r="B225" i="57"/>
  <c r="I224" i="57"/>
  <c r="H224" i="57"/>
  <c r="G224" i="57"/>
  <c r="F224" i="57"/>
  <c r="E224" i="57"/>
  <c r="C224" i="57"/>
  <c r="B224" i="57"/>
  <c r="I223" i="57"/>
  <c r="H223" i="57"/>
  <c r="G223" i="57"/>
  <c r="F223" i="57"/>
  <c r="E223" i="57"/>
  <c r="C223" i="57"/>
  <c r="B223" i="57"/>
  <c r="I222" i="57"/>
  <c r="H222" i="57"/>
  <c r="G222" i="57"/>
  <c r="F222" i="57"/>
  <c r="E222" i="57"/>
  <c r="C222" i="57"/>
  <c r="B222" i="57"/>
  <c r="I221" i="57"/>
  <c r="H221" i="57"/>
  <c r="G221" i="57"/>
  <c r="F221" i="57"/>
  <c r="E221" i="57"/>
  <c r="C221" i="57"/>
  <c r="B221" i="57"/>
  <c r="I220" i="57"/>
  <c r="H220" i="57"/>
  <c r="G220" i="57"/>
  <c r="F220" i="57"/>
  <c r="E220" i="57"/>
  <c r="C220" i="57"/>
  <c r="B220" i="57"/>
  <c r="I219" i="57"/>
  <c r="H219" i="57"/>
  <c r="G219" i="57"/>
  <c r="F219" i="57"/>
  <c r="E219" i="57"/>
  <c r="C219" i="57"/>
  <c r="B219" i="57"/>
  <c r="BE216" i="57"/>
  <c r="J216" i="57"/>
  <c r="AP215" i="57"/>
  <c r="AO215" i="57"/>
  <c r="AN215" i="57"/>
  <c r="AM215" i="57"/>
  <c r="D210" i="57"/>
  <c r="K214" i="57"/>
  <c r="L214" i="57" s="1"/>
  <c r="L207" i="57"/>
  <c r="K207" i="57"/>
  <c r="J207" i="57"/>
  <c r="H207" i="57"/>
  <c r="E207" i="57"/>
  <c r="C207" i="57"/>
  <c r="B207" i="57"/>
  <c r="L206" i="57"/>
  <c r="K206" i="57"/>
  <c r="J206" i="57"/>
  <c r="H206" i="57"/>
  <c r="E206" i="57"/>
  <c r="C206" i="57"/>
  <c r="B206" i="57"/>
  <c r="L205" i="57"/>
  <c r="K205" i="57"/>
  <c r="J205" i="57"/>
  <c r="H205" i="57"/>
  <c r="E205" i="57"/>
  <c r="C205" i="57"/>
  <c r="B205" i="57"/>
  <c r="L204" i="57"/>
  <c r="K204" i="57"/>
  <c r="J204" i="57"/>
  <c r="H204" i="57"/>
  <c r="E204" i="57"/>
  <c r="C204" i="57"/>
  <c r="B204" i="57"/>
  <c r="L203" i="57"/>
  <c r="K203" i="57"/>
  <c r="J203" i="57"/>
  <c r="H203" i="57"/>
  <c r="E203" i="57"/>
  <c r="C203" i="57"/>
  <c r="B203" i="57"/>
  <c r="L202" i="57"/>
  <c r="K202" i="57"/>
  <c r="J202" i="57"/>
  <c r="H202" i="57"/>
  <c r="E202" i="57"/>
  <c r="C202" i="57"/>
  <c r="B202" i="57"/>
  <c r="L201" i="57"/>
  <c r="K201" i="57"/>
  <c r="J201" i="57"/>
  <c r="H201" i="57"/>
  <c r="E201" i="57"/>
  <c r="C201" i="57"/>
  <c r="B201" i="57"/>
  <c r="L200" i="57"/>
  <c r="K200" i="57"/>
  <c r="J200" i="57"/>
  <c r="H200" i="57"/>
  <c r="E200" i="57"/>
  <c r="C200" i="57"/>
  <c r="B200" i="57"/>
  <c r="BH197" i="57"/>
  <c r="AS196" i="57"/>
  <c r="AR196" i="57"/>
  <c r="N195" i="57"/>
  <c r="O195" i="57" s="1"/>
  <c r="P195" i="57" s="1"/>
  <c r="Q195" i="57" s="1"/>
  <c r="R195" i="57" s="1"/>
  <c r="S195" i="57" s="1"/>
  <c r="T195" i="57" s="1"/>
  <c r="U195" i="57" s="1"/>
  <c r="V195" i="57" s="1"/>
  <c r="W195" i="57" s="1"/>
  <c r="X195" i="57" s="1"/>
  <c r="Y195" i="57" s="1"/>
  <c r="Z195" i="57" s="1"/>
  <c r="AA195" i="57" s="1"/>
  <c r="AB195" i="57" s="1"/>
  <c r="AC195" i="57" s="1"/>
  <c r="AD195" i="57" s="1"/>
  <c r="AE195" i="57" s="1"/>
  <c r="AF195" i="57" s="1"/>
  <c r="AG195" i="57" s="1"/>
  <c r="AH195" i="57" s="1"/>
  <c r="AI195" i="57" s="1"/>
  <c r="AJ195" i="57" s="1"/>
  <c r="AK195" i="57" s="1"/>
  <c r="AL195" i="57" s="1"/>
  <c r="AM195" i="57" s="1"/>
  <c r="AN195" i="57" s="1"/>
  <c r="AO195" i="57" s="1"/>
  <c r="C193" i="57"/>
  <c r="B193" i="57"/>
  <c r="D226" i="57" s="1"/>
  <c r="J226" i="57" s="1"/>
  <c r="C192" i="57"/>
  <c r="B192" i="57"/>
  <c r="D225" i="57" s="1"/>
  <c r="J225" i="57" s="1"/>
  <c r="C191" i="57"/>
  <c r="B191" i="57"/>
  <c r="D224" i="57" s="1"/>
  <c r="J224" i="57" s="1"/>
  <c r="C190" i="57"/>
  <c r="B190" i="57"/>
  <c r="D223" i="57" s="1"/>
  <c r="J223" i="57" s="1"/>
  <c r="E189" i="57"/>
  <c r="W189" i="57" s="1"/>
  <c r="C189" i="57"/>
  <c r="B189" i="57"/>
  <c r="D222" i="57" s="1"/>
  <c r="J222" i="57" s="1"/>
  <c r="C188" i="57"/>
  <c r="B188" i="57"/>
  <c r="D221" i="57" s="1"/>
  <c r="C187" i="57"/>
  <c r="B187" i="57"/>
  <c r="D220" i="57" s="1"/>
  <c r="C186" i="57"/>
  <c r="B186" i="57"/>
  <c r="D219" i="57" s="1"/>
  <c r="G185" i="57"/>
  <c r="F185" i="57"/>
  <c r="C179" i="57"/>
  <c r="B179" i="57"/>
  <c r="D207" i="57" s="1"/>
  <c r="M207" i="57" s="1"/>
  <c r="C178" i="57"/>
  <c r="B178" i="57"/>
  <c r="D206" i="57" s="1"/>
  <c r="M206" i="57" s="1"/>
  <c r="C177" i="57"/>
  <c r="B177" i="57"/>
  <c r="D205" i="57" s="1"/>
  <c r="M205" i="57" s="1"/>
  <c r="C176" i="57"/>
  <c r="B176" i="57"/>
  <c r="D204" i="57" s="1"/>
  <c r="M204" i="57" s="1"/>
  <c r="C175" i="57"/>
  <c r="B175" i="57"/>
  <c r="D203" i="57" s="1"/>
  <c r="M203" i="57" s="1"/>
  <c r="C174" i="57"/>
  <c r="B174" i="57"/>
  <c r="D202" i="57" s="1"/>
  <c r="C173" i="57"/>
  <c r="B173" i="57"/>
  <c r="D201" i="57" s="1"/>
  <c r="C172" i="57"/>
  <c r="N172" i="57" s="1"/>
  <c r="B172" i="57"/>
  <c r="D200" i="57" s="1"/>
  <c r="G171" i="57"/>
  <c r="F171" i="57"/>
  <c r="N168" i="57"/>
  <c r="N167" i="57"/>
  <c r="D167" i="57"/>
  <c r="N166" i="57"/>
  <c r="N165" i="57"/>
  <c r="N164" i="57"/>
  <c r="N163" i="57"/>
  <c r="N162" i="57"/>
  <c r="N161" i="57"/>
  <c r="F160" i="57"/>
  <c r="N156" i="57"/>
  <c r="N155" i="57"/>
  <c r="D155" i="57"/>
  <c r="N154" i="57"/>
  <c r="N153" i="57"/>
  <c r="N152" i="57"/>
  <c r="N151" i="57"/>
  <c r="N150" i="57"/>
  <c r="N149" i="57"/>
  <c r="F148" i="57"/>
  <c r="X147" i="57"/>
  <c r="O147" i="57"/>
  <c r="E143" i="57"/>
  <c r="O143" i="57" s="1"/>
  <c r="E142" i="57"/>
  <c r="E139" i="57"/>
  <c r="O139" i="57" s="1"/>
  <c r="X139" i="57" s="1"/>
  <c r="E138" i="57"/>
  <c r="O138" i="57" s="1"/>
  <c r="X138" i="57" s="1"/>
  <c r="E137" i="57"/>
  <c r="O137" i="57" s="1"/>
  <c r="X137" i="57" s="1"/>
  <c r="E134" i="57"/>
  <c r="AE133" i="57"/>
  <c r="E133" i="57"/>
  <c r="E132" i="57"/>
  <c r="O132" i="57" s="1"/>
  <c r="X132" i="57" s="1"/>
  <c r="C121" i="57"/>
  <c r="C125" i="57" s="1"/>
  <c r="C129" i="57" s="1"/>
  <c r="C120" i="57"/>
  <c r="C124" i="57" s="1"/>
  <c r="C128" i="57" s="1"/>
  <c r="C119" i="57"/>
  <c r="C123" i="57" s="1"/>
  <c r="C127" i="57" s="1"/>
  <c r="C110" i="57"/>
  <c r="E104" i="57"/>
  <c r="AE103" i="57"/>
  <c r="AE104" i="57" s="1"/>
  <c r="AD103" i="57"/>
  <c r="AD104" i="57" s="1"/>
  <c r="AC103" i="57"/>
  <c r="AC104" i="57" s="1"/>
  <c r="T103" i="57"/>
  <c r="E100" i="57"/>
  <c r="C100" i="57"/>
  <c r="C104" i="57" s="1"/>
  <c r="AE99" i="57"/>
  <c r="AE100" i="57" s="1"/>
  <c r="AD99" i="57"/>
  <c r="AD100" i="57" s="1"/>
  <c r="AC99" i="57"/>
  <c r="C99" i="57"/>
  <c r="C103" i="57" s="1"/>
  <c r="AC98" i="57"/>
  <c r="C98" i="57"/>
  <c r="C102" i="57" s="1"/>
  <c r="AE96" i="57"/>
  <c r="AD96" i="57"/>
  <c r="AC94" i="57"/>
  <c r="AC96" i="57" s="1"/>
  <c r="C85" i="57"/>
  <c r="C90" i="57" s="1"/>
  <c r="C84" i="57"/>
  <c r="C89" i="57" s="1"/>
  <c r="C83" i="57"/>
  <c r="C88" i="57" s="1"/>
  <c r="C82" i="57"/>
  <c r="C87" i="57" s="1"/>
  <c r="E77" i="57"/>
  <c r="E80" i="57" s="1"/>
  <c r="E73" i="57"/>
  <c r="O73" i="57" s="1"/>
  <c r="X73" i="57" s="1"/>
  <c r="E70" i="57"/>
  <c r="E67" i="57"/>
  <c r="O67" i="57" s="1"/>
  <c r="P67" i="57" s="1"/>
  <c r="E64" i="57"/>
  <c r="O64" i="57" s="1"/>
  <c r="E49" i="57"/>
  <c r="E44" i="57"/>
  <c r="O44" i="57" s="1"/>
  <c r="E42" i="57"/>
  <c r="O42" i="57" s="1"/>
  <c r="P42" i="57" s="1"/>
  <c r="E41" i="57"/>
  <c r="AE40" i="57"/>
  <c r="AD40" i="57"/>
  <c r="AC40" i="57"/>
  <c r="AA40" i="57"/>
  <c r="G40" i="57"/>
  <c r="Y40" i="57" s="1"/>
  <c r="F40" i="57"/>
  <c r="E38" i="57"/>
  <c r="O38" i="57" s="1"/>
  <c r="X38" i="57" s="1"/>
  <c r="E37" i="57"/>
  <c r="O37" i="57" s="1"/>
  <c r="E36" i="57"/>
  <c r="E35" i="57"/>
  <c r="AE34" i="57"/>
  <c r="AD34" i="57"/>
  <c r="AC34" i="57"/>
  <c r="AA34" i="57"/>
  <c r="V34" i="57"/>
  <c r="V40" i="57" s="1"/>
  <c r="V53" i="57" s="1"/>
  <c r="U34" i="57"/>
  <c r="U40" i="57" s="1"/>
  <c r="U53" i="57" s="1"/>
  <c r="G34" i="57"/>
  <c r="Y34" i="57" s="1"/>
  <c r="F34" i="57"/>
  <c r="X34" i="57" s="1"/>
  <c r="E32" i="57"/>
  <c r="O32" i="57" s="1"/>
  <c r="E31" i="57"/>
  <c r="O31" i="57" s="1"/>
  <c r="E30" i="57"/>
  <c r="O30" i="57" s="1"/>
  <c r="AE29" i="57"/>
  <c r="AD29" i="57"/>
  <c r="AC29" i="57"/>
  <c r="AA29" i="57"/>
  <c r="G29" i="57"/>
  <c r="Y29" i="57" s="1"/>
  <c r="F29" i="57"/>
  <c r="X29" i="57" s="1"/>
  <c r="O27" i="57"/>
  <c r="X27" i="57" s="1"/>
  <c r="C27" i="57"/>
  <c r="C32" i="57" s="1"/>
  <c r="C37" i="57" s="1"/>
  <c r="C43" i="57" s="1"/>
  <c r="E26" i="57"/>
  <c r="C26" i="57"/>
  <c r="C31" i="57" s="1"/>
  <c r="E25" i="57"/>
  <c r="C25" i="57"/>
  <c r="C30" i="57" s="1"/>
  <c r="C54" i="57" s="1"/>
  <c r="C107" i="57" s="1"/>
  <c r="V24" i="57"/>
  <c r="V29" i="57" s="1"/>
  <c r="U24" i="57"/>
  <c r="U29" i="57" s="1"/>
  <c r="T24" i="57"/>
  <c r="T29" i="57" s="1"/>
  <c r="T34" i="57" s="1"/>
  <c r="T40" i="57" s="1"/>
  <c r="T53" i="57" s="1"/>
  <c r="R24" i="57"/>
  <c r="R29" i="57" s="1"/>
  <c r="R34" i="57" s="1"/>
  <c r="R40" i="57" s="1"/>
  <c r="R53" i="57" s="1"/>
  <c r="O24" i="57"/>
  <c r="O29" i="57" s="1"/>
  <c r="O34" i="57" s="1"/>
  <c r="O40" i="57" s="1"/>
  <c r="O53" i="57" s="1"/>
  <c r="T21" i="57"/>
  <c r="U21" i="57" s="1"/>
  <c r="G18" i="57"/>
  <c r="P18" i="57" s="1"/>
  <c r="A1" i="57"/>
  <c r="I184" i="56"/>
  <c r="G184" i="56"/>
  <c r="F184" i="56"/>
  <c r="E184" i="56"/>
  <c r="C184" i="56"/>
  <c r="B184" i="56"/>
  <c r="I183" i="56"/>
  <c r="G183" i="56"/>
  <c r="F183" i="56"/>
  <c r="E183" i="56"/>
  <c r="C183" i="56"/>
  <c r="B183" i="56"/>
  <c r="I182" i="56"/>
  <c r="G182" i="56"/>
  <c r="F182" i="56"/>
  <c r="E182" i="56"/>
  <c r="C182" i="56"/>
  <c r="B182" i="56"/>
  <c r="I181" i="56"/>
  <c r="G181" i="56"/>
  <c r="F181" i="56"/>
  <c r="E181" i="56"/>
  <c r="C181" i="56"/>
  <c r="B181" i="56"/>
  <c r="I180" i="56"/>
  <c r="G180" i="56"/>
  <c r="F180" i="56"/>
  <c r="E180" i="56"/>
  <c r="C180" i="56"/>
  <c r="B180" i="56"/>
  <c r="I179" i="56"/>
  <c r="G179" i="56"/>
  <c r="F179" i="56"/>
  <c r="E179" i="56"/>
  <c r="C179" i="56"/>
  <c r="B179" i="56"/>
  <c r="I178" i="56"/>
  <c r="G178" i="56"/>
  <c r="F178" i="56"/>
  <c r="E178" i="56"/>
  <c r="C178" i="56"/>
  <c r="B178" i="56"/>
  <c r="I177" i="56"/>
  <c r="G177" i="56"/>
  <c r="F177" i="56"/>
  <c r="E177" i="56"/>
  <c r="C177" i="56"/>
  <c r="B177" i="56"/>
  <c r="I176" i="56"/>
  <c r="G176" i="56"/>
  <c r="F176" i="56"/>
  <c r="E176" i="56"/>
  <c r="C176" i="56"/>
  <c r="B176" i="56"/>
  <c r="AQ175" i="56"/>
  <c r="AP175" i="56"/>
  <c r="AO175" i="56"/>
  <c r="AN175" i="56"/>
  <c r="AM175" i="56"/>
  <c r="AL175" i="56"/>
  <c r="AK175" i="56"/>
  <c r="AJ175" i="56"/>
  <c r="AI175" i="56"/>
  <c r="AH175" i="56"/>
  <c r="AG175" i="56"/>
  <c r="AF175" i="56"/>
  <c r="AE175" i="56"/>
  <c r="AD175" i="56"/>
  <c r="AC175" i="56"/>
  <c r="AB175" i="56"/>
  <c r="AA175" i="56"/>
  <c r="Z175" i="56"/>
  <c r="Y175" i="56"/>
  <c r="X175" i="56"/>
  <c r="W175" i="56"/>
  <c r="V175" i="56"/>
  <c r="U175" i="56"/>
  <c r="T175" i="56"/>
  <c r="S175" i="56"/>
  <c r="R175" i="56"/>
  <c r="Q175" i="56"/>
  <c r="P175" i="56"/>
  <c r="O175" i="56"/>
  <c r="N175" i="56"/>
  <c r="M175" i="56"/>
  <c r="L175" i="56"/>
  <c r="K175" i="56"/>
  <c r="I175" i="56"/>
  <c r="G175" i="56"/>
  <c r="F175" i="56"/>
  <c r="E175" i="56"/>
  <c r="C175" i="56"/>
  <c r="B175" i="56"/>
  <c r="AQ172" i="56"/>
  <c r="AP172" i="56"/>
  <c r="AO172" i="56"/>
  <c r="AN172" i="56"/>
  <c r="AM172" i="56"/>
  <c r="AL172" i="56"/>
  <c r="AK172" i="56"/>
  <c r="AJ172" i="56"/>
  <c r="AI172" i="56"/>
  <c r="AH172" i="56"/>
  <c r="AG172" i="56"/>
  <c r="AF172" i="56"/>
  <c r="AE172" i="56"/>
  <c r="AD172" i="56"/>
  <c r="AC172" i="56"/>
  <c r="AB172" i="56"/>
  <c r="AA172" i="56"/>
  <c r="Z172" i="56"/>
  <c r="Y172" i="56"/>
  <c r="X172" i="56"/>
  <c r="W172" i="56"/>
  <c r="V172" i="56"/>
  <c r="U172" i="56"/>
  <c r="T172" i="56"/>
  <c r="S172" i="56"/>
  <c r="R172" i="56"/>
  <c r="Q172" i="56"/>
  <c r="P172" i="56"/>
  <c r="O172" i="56"/>
  <c r="N172" i="56"/>
  <c r="M172" i="56"/>
  <c r="L172" i="56"/>
  <c r="K172" i="56"/>
  <c r="AQ171" i="56"/>
  <c r="AP171" i="56"/>
  <c r="AO171" i="56"/>
  <c r="AN171" i="56"/>
  <c r="AM171" i="56"/>
  <c r="AL171" i="56"/>
  <c r="AK171" i="56"/>
  <c r="AJ171" i="56"/>
  <c r="AI171" i="56"/>
  <c r="AH171" i="56"/>
  <c r="AG171" i="56"/>
  <c r="AF171" i="56"/>
  <c r="AE171" i="56"/>
  <c r="AD171" i="56"/>
  <c r="AC171" i="56"/>
  <c r="AB171" i="56"/>
  <c r="AA171" i="56"/>
  <c r="Z171" i="56"/>
  <c r="Y171" i="56"/>
  <c r="X171" i="56"/>
  <c r="W171" i="56"/>
  <c r="V171" i="56"/>
  <c r="U171" i="56"/>
  <c r="T171" i="56"/>
  <c r="S171" i="56"/>
  <c r="R171" i="56"/>
  <c r="Q171" i="56"/>
  <c r="P171" i="56"/>
  <c r="O171" i="56"/>
  <c r="N171" i="56"/>
  <c r="M171" i="56"/>
  <c r="L171" i="56"/>
  <c r="K171" i="56"/>
  <c r="I149" i="56"/>
  <c r="H149" i="56"/>
  <c r="G149" i="56"/>
  <c r="F149" i="56"/>
  <c r="E149" i="56"/>
  <c r="C149" i="56"/>
  <c r="B149" i="56"/>
  <c r="I148" i="56"/>
  <c r="H148" i="56"/>
  <c r="G148" i="56"/>
  <c r="F148" i="56"/>
  <c r="E148" i="56"/>
  <c r="C148" i="56"/>
  <c r="B148" i="56"/>
  <c r="I147" i="56"/>
  <c r="H147" i="56"/>
  <c r="G147" i="56"/>
  <c r="F147" i="56"/>
  <c r="E147" i="56"/>
  <c r="C147" i="56"/>
  <c r="B147" i="56"/>
  <c r="I146" i="56"/>
  <c r="H146" i="56"/>
  <c r="G146" i="56"/>
  <c r="F146" i="56"/>
  <c r="E146" i="56"/>
  <c r="C146" i="56"/>
  <c r="B146" i="56"/>
  <c r="I145" i="56"/>
  <c r="H145" i="56"/>
  <c r="G145" i="56"/>
  <c r="F145" i="56"/>
  <c r="E145" i="56"/>
  <c r="C145" i="56"/>
  <c r="B145" i="56"/>
  <c r="I144" i="56"/>
  <c r="H144" i="56"/>
  <c r="G144" i="56"/>
  <c r="F144" i="56"/>
  <c r="E144" i="56"/>
  <c r="C144" i="56"/>
  <c r="B144" i="56"/>
  <c r="I143" i="56"/>
  <c r="H143" i="56"/>
  <c r="G143" i="56"/>
  <c r="F143" i="56"/>
  <c r="E143" i="56"/>
  <c r="C143" i="56"/>
  <c r="B143" i="56"/>
  <c r="I142" i="56"/>
  <c r="H142" i="56"/>
  <c r="G142" i="56"/>
  <c r="F142" i="56"/>
  <c r="E142" i="56"/>
  <c r="C142" i="56"/>
  <c r="B142" i="56"/>
  <c r="I141" i="56"/>
  <c r="H141" i="56"/>
  <c r="G141" i="56"/>
  <c r="F141" i="56"/>
  <c r="E141" i="56"/>
  <c r="C141" i="56"/>
  <c r="B141" i="56"/>
  <c r="I140" i="56"/>
  <c r="H140" i="56"/>
  <c r="G140" i="56"/>
  <c r="F140" i="56"/>
  <c r="E140" i="56"/>
  <c r="C140" i="56"/>
  <c r="B140" i="56"/>
  <c r="I139" i="56"/>
  <c r="H139" i="56"/>
  <c r="G139" i="56"/>
  <c r="F139" i="56"/>
  <c r="E139" i="56"/>
  <c r="C139" i="56"/>
  <c r="B139" i="56"/>
  <c r="I138" i="56"/>
  <c r="H138" i="56"/>
  <c r="G138" i="56"/>
  <c r="F138" i="56"/>
  <c r="E138" i="56"/>
  <c r="C138" i="56"/>
  <c r="B138" i="56"/>
  <c r="I137" i="56"/>
  <c r="H137" i="56"/>
  <c r="G137" i="56"/>
  <c r="F137" i="56"/>
  <c r="E137" i="56"/>
  <c r="C137" i="56"/>
  <c r="B137" i="56"/>
  <c r="AP134" i="56"/>
  <c r="AO134" i="56"/>
  <c r="AN134" i="56"/>
  <c r="AM134" i="56"/>
  <c r="AL134" i="56"/>
  <c r="AK134" i="56"/>
  <c r="AJ134" i="56"/>
  <c r="AI134" i="56"/>
  <c r="AH134" i="56"/>
  <c r="AG134" i="56"/>
  <c r="AF134" i="56"/>
  <c r="AE134" i="56"/>
  <c r="AD134" i="56"/>
  <c r="AC134" i="56"/>
  <c r="AB134" i="56"/>
  <c r="AA134" i="56"/>
  <c r="Z134" i="56"/>
  <c r="Y134" i="56"/>
  <c r="X134" i="56"/>
  <c r="W134" i="56"/>
  <c r="V134" i="56"/>
  <c r="U134" i="56"/>
  <c r="T134" i="56"/>
  <c r="S134" i="56"/>
  <c r="R134" i="56"/>
  <c r="Q134" i="56"/>
  <c r="P134" i="56"/>
  <c r="O134" i="56"/>
  <c r="N134" i="56"/>
  <c r="M134" i="56"/>
  <c r="L134" i="56"/>
  <c r="K134" i="56"/>
  <c r="J134" i="56"/>
  <c r="AP133" i="56"/>
  <c r="AO133" i="56"/>
  <c r="AN133" i="56"/>
  <c r="AM133" i="56"/>
  <c r="AL133" i="56"/>
  <c r="AK133" i="56"/>
  <c r="AJ133" i="56"/>
  <c r="AI133" i="56"/>
  <c r="AH133" i="56"/>
  <c r="AG133" i="56"/>
  <c r="AF133" i="56"/>
  <c r="AE133" i="56"/>
  <c r="AD133" i="56"/>
  <c r="AC133" i="56"/>
  <c r="AB133" i="56"/>
  <c r="AA133" i="56"/>
  <c r="Z133" i="56"/>
  <c r="Y133" i="56"/>
  <c r="X133" i="56"/>
  <c r="W133" i="56"/>
  <c r="V133" i="56"/>
  <c r="U133" i="56"/>
  <c r="T133" i="56"/>
  <c r="S133" i="56"/>
  <c r="R133" i="56"/>
  <c r="Q133" i="56"/>
  <c r="P133" i="56"/>
  <c r="O133" i="56"/>
  <c r="N133" i="56"/>
  <c r="M133" i="56"/>
  <c r="L133" i="56"/>
  <c r="K133" i="56"/>
  <c r="J133" i="56"/>
  <c r="L123" i="56"/>
  <c r="K123" i="56"/>
  <c r="J123" i="56"/>
  <c r="H123" i="56"/>
  <c r="E123" i="56"/>
  <c r="C123" i="56"/>
  <c r="B123" i="56"/>
  <c r="L122" i="56"/>
  <c r="K122" i="56"/>
  <c r="J122" i="56"/>
  <c r="H122" i="56"/>
  <c r="E122" i="56"/>
  <c r="C122" i="56"/>
  <c r="B122" i="56"/>
  <c r="L121" i="56"/>
  <c r="K121" i="56"/>
  <c r="J121" i="56"/>
  <c r="H121" i="56"/>
  <c r="E121" i="56"/>
  <c r="C121" i="56"/>
  <c r="B121" i="56"/>
  <c r="L120" i="56"/>
  <c r="K120" i="56"/>
  <c r="J120" i="56"/>
  <c r="H120" i="56"/>
  <c r="E120" i="56"/>
  <c r="C120" i="56"/>
  <c r="B120" i="56"/>
  <c r="L119" i="56"/>
  <c r="K119" i="56"/>
  <c r="J119" i="56"/>
  <c r="H119" i="56"/>
  <c r="E119" i="56"/>
  <c r="C119" i="56"/>
  <c r="B119" i="56"/>
  <c r="L118" i="56"/>
  <c r="K118" i="56"/>
  <c r="J118" i="56"/>
  <c r="H118" i="56"/>
  <c r="E118" i="56"/>
  <c r="C118" i="56"/>
  <c r="B118" i="56"/>
  <c r="L117" i="56"/>
  <c r="K117" i="56"/>
  <c r="J117" i="56"/>
  <c r="H117" i="56"/>
  <c r="E117" i="56"/>
  <c r="C117" i="56"/>
  <c r="B117" i="56"/>
  <c r="L116" i="56"/>
  <c r="K116" i="56"/>
  <c r="J116" i="56"/>
  <c r="H116" i="56"/>
  <c r="E116" i="56"/>
  <c r="C116" i="56"/>
  <c r="B116" i="56"/>
  <c r="L115" i="56"/>
  <c r="K115" i="56"/>
  <c r="J115" i="56"/>
  <c r="H115" i="56"/>
  <c r="E115" i="56"/>
  <c r="C115" i="56"/>
  <c r="B115" i="56"/>
  <c r="L114" i="56"/>
  <c r="K114" i="56"/>
  <c r="J114" i="56"/>
  <c r="H114" i="56"/>
  <c r="E114" i="56"/>
  <c r="C114" i="56"/>
  <c r="B114" i="56"/>
  <c r="L113" i="56"/>
  <c r="K113" i="56"/>
  <c r="J113" i="56"/>
  <c r="H113" i="56"/>
  <c r="E113" i="56"/>
  <c r="C113" i="56"/>
  <c r="B113" i="56"/>
  <c r="L112" i="56"/>
  <c r="K112" i="56"/>
  <c r="J112" i="56"/>
  <c r="H112" i="56"/>
  <c r="E112" i="56"/>
  <c r="C112" i="56"/>
  <c r="B112" i="56"/>
  <c r="L111" i="56"/>
  <c r="K111" i="56"/>
  <c r="J111" i="56"/>
  <c r="H111" i="56"/>
  <c r="E111" i="56"/>
  <c r="C111" i="56"/>
  <c r="B111" i="56"/>
  <c r="BA108" i="56"/>
  <c r="AZ108" i="56"/>
  <c r="M108" i="56"/>
  <c r="BA109" i="56"/>
  <c r="BA107" i="56"/>
  <c r="AZ107" i="56"/>
  <c r="M107" i="56"/>
  <c r="N106" i="56"/>
  <c r="O106" i="56" s="1"/>
  <c r="F104" i="56"/>
  <c r="B104" i="56"/>
  <c r="B88" i="56" s="1"/>
  <c r="J188" i="56" s="1"/>
  <c r="F103" i="56"/>
  <c r="F47" i="56" s="1"/>
  <c r="F87" i="56" s="1"/>
  <c r="B103" i="56"/>
  <c r="B87" i="56" s="1"/>
  <c r="J187" i="56" s="1"/>
  <c r="F102" i="56"/>
  <c r="F59" i="56" s="1"/>
  <c r="F86" i="56" s="1"/>
  <c r="B102" i="56"/>
  <c r="B86" i="56" s="1"/>
  <c r="J186" i="56" s="1"/>
  <c r="B101" i="56"/>
  <c r="B100" i="56"/>
  <c r="B99" i="56"/>
  <c r="B98" i="56"/>
  <c r="B97" i="56"/>
  <c r="B96" i="56"/>
  <c r="B95" i="56"/>
  <c r="B94" i="56"/>
  <c r="B93" i="56"/>
  <c r="B92" i="56"/>
  <c r="N91" i="56"/>
  <c r="M91" i="56"/>
  <c r="L91" i="56"/>
  <c r="H91" i="56"/>
  <c r="G91" i="56"/>
  <c r="F91" i="56"/>
  <c r="W75" i="56"/>
  <c r="V75" i="56"/>
  <c r="V91" i="56" s="1"/>
  <c r="U75" i="56"/>
  <c r="P75" i="56"/>
  <c r="N75" i="56"/>
  <c r="M75" i="56"/>
  <c r="L75" i="56"/>
  <c r="H75" i="56"/>
  <c r="G75" i="56"/>
  <c r="F75" i="56"/>
  <c r="AJ75" i="56"/>
  <c r="F72" i="56"/>
  <c r="G72" i="56" s="1"/>
  <c r="F71" i="56"/>
  <c r="F70" i="56"/>
  <c r="F69" i="56"/>
  <c r="F68" i="56"/>
  <c r="F67" i="56"/>
  <c r="F66" i="56"/>
  <c r="F65" i="56"/>
  <c r="F64" i="56"/>
  <c r="F63" i="56"/>
  <c r="F14" i="56"/>
  <c r="F15" i="56" s="1"/>
  <c r="F16" i="56" s="1"/>
  <c r="G13" i="56"/>
  <c r="V12" i="56"/>
  <c r="AD12" i="56" s="1"/>
  <c r="U12" i="56"/>
  <c r="AC12" i="56" s="1"/>
  <c r="T12" i="56"/>
  <c r="AB12" i="56" s="1"/>
  <c r="R12" i="56"/>
  <c r="Z12" i="56" s="1"/>
  <c r="P12" i="56"/>
  <c r="X12" i="56" s="1"/>
  <c r="N12" i="56"/>
  <c r="M12" i="56"/>
  <c r="AD4" i="56"/>
  <c r="AC4" i="56"/>
  <c r="AB4" i="56"/>
  <c r="Z4" i="56"/>
  <c r="X4" i="56"/>
  <c r="A1" i="56"/>
  <c r="J9" i="55"/>
  <c r="B76" i="56" l="1"/>
  <c r="J176" i="56" s="1"/>
  <c r="H92" i="56"/>
  <c r="F92" i="56"/>
  <c r="B77" i="56"/>
  <c r="J177" i="56" s="1"/>
  <c r="H93" i="56"/>
  <c r="F93" i="56"/>
  <c r="G93" i="56" s="1"/>
  <c r="F79" i="56"/>
  <c r="B78" i="56"/>
  <c r="J178" i="56" s="1"/>
  <c r="H94" i="56"/>
  <c r="F94" i="56"/>
  <c r="B80" i="56"/>
  <c r="J180" i="56" s="1"/>
  <c r="H96" i="56"/>
  <c r="G96" i="56" s="1"/>
  <c r="F96" i="56"/>
  <c r="F80" i="56" s="1"/>
  <c r="B81" i="56"/>
  <c r="J181" i="56" s="1"/>
  <c r="H97" i="56"/>
  <c r="F97" i="56"/>
  <c r="B82" i="56"/>
  <c r="J182" i="56" s="1"/>
  <c r="H98" i="56"/>
  <c r="F98" i="56"/>
  <c r="B79" i="56"/>
  <c r="J179" i="56" s="1"/>
  <c r="F95" i="56"/>
  <c r="H95" i="56"/>
  <c r="B83" i="56"/>
  <c r="J183" i="56" s="1"/>
  <c r="H99" i="56"/>
  <c r="F99" i="56"/>
  <c r="G99" i="56" s="1"/>
  <c r="F82" i="56"/>
  <c r="B84" i="56"/>
  <c r="J184" i="56" s="1"/>
  <c r="F100" i="56"/>
  <c r="H100" i="56"/>
  <c r="F76" i="56"/>
  <c r="B85" i="56"/>
  <c r="J185" i="56" s="1"/>
  <c r="H101" i="56"/>
  <c r="G101" i="56" s="1"/>
  <c r="F101" i="56"/>
  <c r="E13" i="57" a="1"/>
  <c r="E13" i="57" s="1"/>
  <c r="E15" i="57" a="1"/>
  <c r="E15" i="57" s="1"/>
  <c r="E14" i="57" a="1"/>
  <c r="E14" i="57" s="1"/>
  <c r="X88" i="58" a="1"/>
  <c r="X88" i="58" s="1"/>
  <c r="X87" i="58" a="1"/>
  <c r="X87" i="58" s="1"/>
  <c r="X77" i="58" a="1"/>
  <c r="X77" i="58" s="1"/>
  <c r="X76" i="58" a="1"/>
  <c r="X76" i="58" s="1"/>
  <c r="O41" i="57"/>
  <c r="P41" i="57" s="1"/>
  <c r="AD13" i="56"/>
  <c r="AA13" i="56"/>
  <c r="S13" i="56"/>
  <c r="H13" i="56"/>
  <c r="I13" i="56" s="1"/>
  <c r="X67" i="57"/>
  <c r="Y67" i="57"/>
  <c r="AJ76" i="56"/>
  <c r="P91" i="56"/>
  <c r="AB75" i="56"/>
  <c r="AM76" i="56"/>
  <c r="U91" i="56"/>
  <c r="I137" i="57"/>
  <c r="G139" i="57"/>
  <c r="G103" i="57"/>
  <c r="J98" i="57"/>
  <c r="M94" i="57"/>
  <c r="G89" i="57"/>
  <c r="H83" i="57"/>
  <c r="M84" i="57"/>
  <c r="H79" i="57"/>
  <c r="H95" i="57"/>
  <c r="J83" i="57"/>
  <c r="J137" i="57"/>
  <c r="H139" i="57"/>
  <c r="H103" i="57"/>
  <c r="K98" i="57"/>
  <c r="G95" i="57"/>
  <c r="H89" i="57"/>
  <c r="I83" i="57"/>
  <c r="I79" i="57"/>
  <c r="L98" i="57"/>
  <c r="I139" i="57"/>
  <c r="I103" i="57"/>
  <c r="I89" i="57"/>
  <c r="J79" i="57"/>
  <c r="J139" i="57"/>
  <c r="M98" i="57"/>
  <c r="I95" i="57"/>
  <c r="J89" i="57"/>
  <c r="K83" i="57"/>
  <c r="K79" i="57"/>
  <c r="H99" i="57"/>
  <c r="M79" i="57"/>
  <c r="K139" i="57"/>
  <c r="K103" i="57"/>
  <c r="G99" i="57"/>
  <c r="J95" i="57"/>
  <c r="K89" i="57"/>
  <c r="L83" i="57"/>
  <c r="G78" i="57"/>
  <c r="L79" i="57"/>
  <c r="G102" i="57"/>
  <c r="G88" i="57"/>
  <c r="G138" i="57"/>
  <c r="L139" i="57"/>
  <c r="K95" i="57"/>
  <c r="L89" i="57"/>
  <c r="M83" i="57"/>
  <c r="H78" i="57"/>
  <c r="H138" i="57"/>
  <c r="H102" i="57"/>
  <c r="I99" i="57"/>
  <c r="G94" i="57"/>
  <c r="L95" i="57"/>
  <c r="H88" i="57"/>
  <c r="M89" i="57"/>
  <c r="G84" i="57"/>
  <c r="F27" i="57"/>
  <c r="I138" i="57"/>
  <c r="I102" i="57"/>
  <c r="J99" i="57"/>
  <c r="H94" i="57"/>
  <c r="M95" i="57"/>
  <c r="I88" i="57"/>
  <c r="H84" i="57"/>
  <c r="M102" i="57"/>
  <c r="J138" i="57"/>
  <c r="J102" i="57"/>
  <c r="K99" i="57"/>
  <c r="I94" i="57"/>
  <c r="J88" i="57"/>
  <c r="I84" i="57"/>
  <c r="K78" i="57"/>
  <c r="L84" i="57"/>
  <c r="K102" i="57"/>
  <c r="G98" i="57"/>
  <c r="L99" i="57"/>
  <c r="J94" i="57"/>
  <c r="K88" i="57"/>
  <c r="J84" i="57"/>
  <c r="L78" i="57"/>
  <c r="H137" i="57"/>
  <c r="I98" i="57"/>
  <c r="G137" i="57"/>
  <c r="F132" i="57"/>
  <c r="L102" i="57"/>
  <c r="H98" i="57"/>
  <c r="M99" i="57"/>
  <c r="K94" i="57"/>
  <c r="L88" i="57"/>
  <c r="K84" i="57"/>
  <c r="M78" i="57"/>
  <c r="F38" i="57"/>
  <c r="L94" i="57"/>
  <c r="M88" i="57"/>
  <c r="G83" i="57"/>
  <c r="G79" i="57"/>
  <c r="Y42" i="57"/>
  <c r="X42" i="57"/>
  <c r="X133" i="57"/>
  <c r="F133" i="57" s="1"/>
  <c r="Y43" i="57"/>
  <c r="X43" i="57"/>
  <c r="G134" i="57"/>
  <c r="X134" i="57"/>
  <c r="P30" i="57"/>
  <c r="Y30" i="57" s="1"/>
  <c r="X30" i="57"/>
  <c r="F30" i="57" s="1"/>
  <c r="P44" i="57"/>
  <c r="X44" i="57"/>
  <c r="P31" i="57"/>
  <c r="Y31" i="57" s="1"/>
  <c r="X31" i="57"/>
  <c r="F31" i="57" s="1"/>
  <c r="P37" i="57"/>
  <c r="X37" i="57"/>
  <c r="F37" i="57" s="1"/>
  <c r="P32" i="57"/>
  <c r="Y32" i="57" s="1"/>
  <c r="X32" i="57"/>
  <c r="F32" i="57" s="1"/>
  <c r="P64" i="57"/>
  <c r="Y64" i="57" s="1"/>
  <c r="X64" i="57"/>
  <c r="P143" i="57"/>
  <c r="X143" i="57"/>
  <c r="F143" i="57" s="1"/>
  <c r="AS197" i="57"/>
  <c r="O66" i="57"/>
  <c r="O63" i="57"/>
  <c r="R66" i="57"/>
  <c r="R63" i="57"/>
  <c r="E164" i="57"/>
  <c r="J236" i="57" s="1"/>
  <c r="O142" i="57"/>
  <c r="T66" i="57"/>
  <c r="T63" i="57"/>
  <c r="U66" i="57"/>
  <c r="U63" i="57"/>
  <c r="E57" i="57"/>
  <c r="V66" i="57"/>
  <c r="V63" i="57"/>
  <c r="F138" i="57"/>
  <c r="F88" i="57"/>
  <c r="F79" i="57"/>
  <c r="F102" i="57"/>
  <c r="F99" i="57"/>
  <c r="F89" i="57"/>
  <c r="F98" i="57"/>
  <c r="F94" i="57"/>
  <c r="F84" i="57"/>
  <c r="F78" i="57"/>
  <c r="F137" i="57"/>
  <c r="F103" i="57"/>
  <c r="F95" i="57"/>
  <c r="F83" i="57"/>
  <c r="F139" i="57"/>
  <c r="F48" i="57"/>
  <c r="P48" i="57" s="1"/>
  <c r="Y48" i="57" s="1"/>
  <c r="G48" i="57" s="1"/>
  <c r="U103" i="57"/>
  <c r="U104" i="57" s="1"/>
  <c r="T104" i="57"/>
  <c r="S103" i="57"/>
  <c r="J103" i="57" s="1"/>
  <c r="P38" i="57"/>
  <c r="P27" i="57"/>
  <c r="Y27" i="57" s="1"/>
  <c r="E68" i="57"/>
  <c r="O68" i="57" s="1"/>
  <c r="X68" i="57" s="1"/>
  <c r="X70" i="57"/>
  <c r="O35" i="57"/>
  <c r="F53" i="57"/>
  <c r="F63" i="57" s="1"/>
  <c r="G53" i="57"/>
  <c r="F88" i="56"/>
  <c r="AR197" i="57"/>
  <c r="L215" i="57"/>
  <c r="Y8" i="58"/>
  <c r="Z67" i="58"/>
  <c r="Z104" i="58" s="1"/>
  <c r="Z22" i="58"/>
  <c r="Z25" i="58" s="1"/>
  <c r="Z7" i="58"/>
  <c r="AA4" i="58"/>
  <c r="Z6" i="58"/>
  <c r="Z5" i="58"/>
  <c r="Z12" i="58" a="1"/>
  <c r="Z12" i="58" s="1"/>
  <c r="Z11" i="58" s="1"/>
  <c r="G67" i="56"/>
  <c r="P67" i="56" s="1"/>
  <c r="G68" i="56"/>
  <c r="F81" i="56"/>
  <c r="G69" i="56"/>
  <c r="F57" i="56"/>
  <c r="K184" i="56" s="1"/>
  <c r="F84" i="56"/>
  <c r="G85" i="56"/>
  <c r="F85" i="56"/>
  <c r="F51" i="56"/>
  <c r="F78" i="56"/>
  <c r="AE139" i="57"/>
  <c r="M139" i="57" s="1"/>
  <c r="AZ109" i="56"/>
  <c r="AZ110" i="56" s="1"/>
  <c r="G15" i="56"/>
  <c r="AL76" i="56"/>
  <c r="P13" i="56"/>
  <c r="N107" i="56"/>
  <c r="T13" i="56"/>
  <c r="F17" i="56"/>
  <c r="G16" i="56"/>
  <c r="X75" i="56"/>
  <c r="N109" i="56"/>
  <c r="AE135" i="56"/>
  <c r="AE136" i="56" s="1"/>
  <c r="R13" i="56"/>
  <c r="S135" i="56"/>
  <c r="S136" i="56" s="1"/>
  <c r="U13" i="56"/>
  <c r="T135" i="56"/>
  <c r="T136" i="56" s="1"/>
  <c r="AA173" i="56"/>
  <c r="AA174" i="56" s="1"/>
  <c r="X13" i="56"/>
  <c r="N108" i="56"/>
  <c r="U135" i="56"/>
  <c r="U136" i="56" s="1"/>
  <c r="AH173" i="56"/>
  <c r="AH174" i="56" s="1"/>
  <c r="AC13" i="56"/>
  <c r="X135" i="56"/>
  <c r="X136" i="56" s="1"/>
  <c r="AM173" i="56"/>
  <c r="AM174" i="56" s="1"/>
  <c r="AB135" i="56"/>
  <c r="AB136" i="56" s="1"/>
  <c r="BA110" i="56"/>
  <c r="J250" i="57"/>
  <c r="M229" i="57"/>
  <c r="AP216" i="57"/>
  <c r="AC100" i="57"/>
  <c r="BH196" i="57"/>
  <c r="E249" i="57"/>
  <c r="L249" i="57" s="1"/>
  <c r="F250" i="57"/>
  <c r="AO216" i="57"/>
  <c r="G250" i="57"/>
  <c r="H250" i="57"/>
  <c r="I250" i="57"/>
  <c r="C35" i="57"/>
  <c r="C41" i="57" s="1"/>
  <c r="M196" i="57"/>
  <c r="AP197" i="57"/>
  <c r="AQ197" i="57"/>
  <c r="K215" i="57"/>
  <c r="N197" i="57"/>
  <c r="N196" i="57"/>
  <c r="K216" i="57"/>
  <c r="BE250" i="57"/>
  <c r="C56" i="57"/>
  <c r="C109" i="57" s="1"/>
  <c r="O197" i="57"/>
  <c r="O196" i="57"/>
  <c r="M214" i="57"/>
  <c r="M216" i="57" s="1"/>
  <c r="BE215" i="57"/>
  <c r="AX229" i="57"/>
  <c r="AY229" i="57"/>
  <c r="F54" i="56"/>
  <c r="K181" i="56" s="1"/>
  <c r="AG26" i="44"/>
  <c r="F58" i="56"/>
  <c r="K185" i="56" s="1"/>
  <c r="C3" i="57"/>
  <c r="E87" i="57"/>
  <c r="E90" i="57" s="1"/>
  <c r="G70" i="56"/>
  <c r="F55" i="56"/>
  <c r="K182" i="56" s="1"/>
  <c r="G71" i="56"/>
  <c r="P16" i="56"/>
  <c r="AB16" i="56"/>
  <c r="F52" i="56"/>
  <c r="G66" i="56"/>
  <c r="AK76" i="56"/>
  <c r="Z75" i="56"/>
  <c r="Z91" i="56" s="1"/>
  <c r="AN76" i="56"/>
  <c r="AD75" i="56"/>
  <c r="O107" i="56"/>
  <c r="O108" i="56"/>
  <c r="P106" i="56"/>
  <c r="O109" i="56"/>
  <c r="G65" i="56"/>
  <c r="P88" i="56"/>
  <c r="X88" i="56" s="1"/>
  <c r="G104" i="56"/>
  <c r="Q88" i="56" s="1"/>
  <c r="Y88" i="56" s="1"/>
  <c r="G63" i="56"/>
  <c r="F43" i="56"/>
  <c r="F46" i="56"/>
  <c r="G64" i="56"/>
  <c r="G14" i="56"/>
  <c r="V15" i="56"/>
  <c r="C3" i="56"/>
  <c r="V13" i="56"/>
  <c r="Z13" i="56"/>
  <c r="AB13" i="56"/>
  <c r="AC75" i="56"/>
  <c r="M109" i="56"/>
  <c r="M110" i="56" s="1"/>
  <c r="AI173" i="56"/>
  <c r="AI174" i="56" s="1"/>
  <c r="W173" i="56"/>
  <c r="W174" i="56" s="1"/>
  <c r="K173" i="56"/>
  <c r="K174" i="56" s="1"/>
  <c r="AF173" i="56"/>
  <c r="AF174" i="56" s="1"/>
  <c r="T173" i="56"/>
  <c r="T174" i="56" s="1"/>
  <c r="AP135" i="56"/>
  <c r="AP136" i="56" s="1"/>
  <c r="AD135" i="56"/>
  <c r="AD136" i="56" s="1"/>
  <c r="R135" i="56"/>
  <c r="R136" i="56" s="1"/>
  <c r="AQ173" i="56"/>
  <c r="AQ174" i="56" s="1"/>
  <c r="AE173" i="56"/>
  <c r="AE174" i="56" s="1"/>
  <c r="S173" i="56"/>
  <c r="S174" i="56" s="1"/>
  <c r="AO135" i="56"/>
  <c r="AO136" i="56" s="1"/>
  <c r="AC135" i="56"/>
  <c r="AC136" i="56" s="1"/>
  <c r="Q135" i="56"/>
  <c r="Q136" i="56" s="1"/>
  <c r="AP173" i="56"/>
  <c r="AP174" i="56" s="1"/>
  <c r="AD173" i="56"/>
  <c r="AD174" i="56" s="1"/>
  <c r="R173" i="56"/>
  <c r="R174" i="56" s="1"/>
  <c r="AO173" i="56"/>
  <c r="AO174" i="56" s="1"/>
  <c r="AC173" i="56"/>
  <c r="AC174" i="56" s="1"/>
  <c r="Q173" i="56"/>
  <c r="Q174" i="56" s="1"/>
  <c r="AM135" i="56"/>
  <c r="AM136" i="56" s="1"/>
  <c r="AA135" i="56"/>
  <c r="AA136" i="56" s="1"/>
  <c r="O135" i="56"/>
  <c r="O136" i="56" s="1"/>
  <c r="AN173" i="56"/>
  <c r="AN174" i="56" s="1"/>
  <c r="AB173" i="56"/>
  <c r="AB174" i="56" s="1"/>
  <c r="P173" i="56"/>
  <c r="P174" i="56" s="1"/>
  <c r="AL135" i="56"/>
  <c r="AL136" i="56" s="1"/>
  <c r="Z135" i="56"/>
  <c r="Z136" i="56" s="1"/>
  <c r="N135" i="56"/>
  <c r="N136" i="56" s="1"/>
  <c r="AK173" i="56"/>
  <c r="AK174" i="56" s="1"/>
  <c r="Y173" i="56"/>
  <c r="Y174" i="56" s="1"/>
  <c r="M173" i="56"/>
  <c r="M174" i="56" s="1"/>
  <c r="AI135" i="56"/>
  <c r="AI136" i="56" s="1"/>
  <c r="W135" i="56"/>
  <c r="W136" i="56" s="1"/>
  <c r="K135" i="56"/>
  <c r="K136" i="56" s="1"/>
  <c r="AJ173" i="56"/>
  <c r="AJ174" i="56" s="1"/>
  <c r="X173" i="56"/>
  <c r="X174" i="56" s="1"/>
  <c r="L173" i="56"/>
  <c r="L174" i="56" s="1"/>
  <c r="AH135" i="56"/>
  <c r="AH136" i="56" s="1"/>
  <c r="V135" i="56"/>
  <c r="V136" i="56" s="1"/>
  <c r="J135" i="56"/>
  <c r="J136" i="56" s="1"/>
  <c r="AF135" i="56"/>
  <c r="AF136" i="56" s="1"/>
  <c r="AG135" i="56"/>
  <c r="AG136" i="56" s="1"/>
  <c r="N173" i="56"/>
  <c r="N174" i="56" s="1"/>
  <c r="L135" i="56"/>
  <c r="L136" i="56" s="1"/>
  <c r="AJ135" i="56"/>
  <c r="AJ136" i="56" s="1"/>
  <c r="O173" i="56"/>
  <c r="O174" i="56" s="1"/>
  <c r="M135" i="56"/>
  <c r="M136" i="56" s="1"/>
  <c r="AK135" i="56"/>
  <c r="AK136" i="56" s="1"/>
  <c r="U173" i="56"/>
  <c r="U174" i="56" s="1"/>
  <c r="O25" i="57"/>
  <c r="P135" i="56"/>
  <c r="P136" i="56" s="1"/>
  <c r="AN135" i="56"/>
  <c r="AN136" i="56" s="1"/>
  <c r="V173" i="56"/>
  <c r="V174" i="56" s="1"/>
  <c r="Z173" i="56"/>
  <c r="Z174" i="56" s="1"/>
  <c r="AG173" i="56"/>
  <c r="AG174" i="56" s="1"/>
  <c r="Y135" i="56"/>
  <c r="Y136" i="56" s="1"/>
  <c r="AL173" i="56"/>
  <c r="AL174" i="56" s="1"/>
  <c r="V21" i="57"/>
  <c r="E82" i="57"/>
  <c r="E85" i="57" s="1"/>
  <c r="O36" i="57"/>
  <c r="C36" i="57"/>
  <c r="C42" i="57" s="1"/>
  <c r="C55" i="57"/>
  <c r="F44" i="57"/>
  <c r="F42" i="57"/>
  <c r="C75" i="57"/>
  <c r="C93" i="57" s="1"/>
  <c r="C114" i="57" s="1"/>
  <c r="B27" i="57"/>
  <c r="E69" i="57"/>
  <c r="O69" i="57" s="1"/>
  <c r="X69" i="57" s="1"/>
  <c r="X40" i="57"/>
  <c r="E50" i="57"/>
  <c r="O100" i="57"/>
  <c r="O26" i="57"/>
  <c r="E144" i="57"/>
  <c r="O144" i="57" s="1"/>
  <c r="BE249" i="57"/>
  <c r="BF249" i="57"/>
  <c r="BE222" i="57"/>
  <c r="BF222" i="57" s="1"/>
  <c r="BH203" i="57"/>
  <c r="BI203" i="57" s="1"/>
  <c r="N198" i="57"/>
  <c r="L216" i="57"/>
  <c r="M249" i="57"/>
  <c r="K259" i="57"/>
  <c r="M250" i="57"/>
  <c r="J215" i="57"/>
  <c r="N250" i="57"/>
  <c r="N249" i="57"/>
  <c r="M232" i="57"/>
  <c r="M228" i="57"/>
  <c r="AM216" i="57"/>
  <c r="K228" i="57"/>
  <c r="L259" i="57"/>
  <c r="AN216" i="57"/>
  <c r="L228" i="57"/>
  <c r="L229" i="57"/>
  <c r="BF250" i="57"/>
  <c r="L250" i="57"/>
  <c r="F56" i="56" l="1"/>
  <c r="K183" i="56" s="1"/>
  <c r="F77" i="56"/>
  <c r="G95" i="56"/>
  <c r="G79" i="56" s="1"/>
  <c r="G94" i="56"/>
  <c r="F53" i="56"/>
  <c r="K180" i="56" s="1"/>
  <c r="F83" i="56"/>
  <c r="G98" i="56"/>
  <c r="G100" i="56"/>
  <c r="G97" i="56"/>
  <c r="G81" i="56" s="1"/>
  <c r="G77" i="56"/>
  <c r="G92" i="56"/>
  <c r="G76" i="56" s="1"/>
  <c r="Y76" i="58" a="1"/>
  <c r="Y76" i="58" s="1"/>
  <c r="Y87" i="58" a="1"/>
  <c r="Y87" i="58" s="1"/>
  <c r="Y77" i="58" a="1"/>
  <c r="Y77" i="58" s="1"/>
  <c r="Y88" i="58" a="1"/>
  <c r="Y88" i="58" s="1"/>
  <c r="X41" i="57"/>
  <c r="F41" i="57" s="1"/>
  <c r="J96" i="57"/>
  <c r="AD15" i="56"/>
  <c r="AA15" i="56"/>
  <c r="H15" i="56"/>
  <c r="I15" i="56" s="1"/>
  <c r="S15" i="56"/>
  <c r="J13" i="56"/>
  <c r="K13" i="56" s="1"/>
  <c r="Y13" i="56"/>
  <c r="Q13" i="56"/>
  <c r="H14" i="56"/>
  <c r="I14" i="56" s="1"/>
  <c r="AA14" i="56"/>
  <c r="P14" i="56"/>
  <c r="S14" i="56"/>
  <c r="Z16" i="56"/>
  <c r="S16" i="56"/>
  <c r="AA16" i="56"/>
  <c r="H16" i="56"/>
  <c r="I16" i="56" s="1"/>
  <c r="L103" i="57"/>
  <c r="L104" i="57" s="1"/>
  <c r="L96" i="57"/>
  <c r="G104" i="57"/>
  <c r="H104" i="57"/>
  <c r="J104" i="57"/>
  <c r="Q43" i="57"/>
  <c r="Q32" i="57"/>
  <c r="Z32" i="57" s="1"/>
  <c r="Q31" i="57"/>
  <c r="Z31" i="57" s="1"/>
  <c r="G42" i="57"/>
  <c r="Q42" i="57"/>
  <c r="G43" i="57"/>
  <c r="G30" i="57"/>
  <c r="Q67" i="56"/>
  <c r="X67" i="56"/>
  <c r="G27" i="57"/>
  <c r="Q64" i="57"/>
  <c r="R64" i="57" s="1"/>
  <c r="G64" i="57"/>
  <c r="G31" i="57"/>
  <c r="H32" i="57"/>
  <c r="G32" i="57"/>
  <c r="AQ76" i="56"/>
  <c r="AR76" i="56"/>
  <c r="AB91" i="56"/>
  <c r="AP76" i="56"/>
  <c r="X91" i="56"/>
  <c r="AT76" i="56"/>
  <c r="AD91" i="56"/>
  <c r="AS76" i="56"/>
  <c r="AC91" i="56"/>
  <c r="G100" i="57"/>
  <c r="G96" i="57"/>
  <c r="H96" i="57"/>
  <c r="K104" i="57"/>
  <c r="F100" i="57"/>
  <c r="I96" i="57"/>
  <c r="F96" i="57"/>
  <c r="I104" i="57"/>
  <c r="H100" i="57"/>
  <c r="K96" i="57"/>
  <c r="K100" i="57"/>
  <c r="I100" i="57"/>
  <c r="L100" i="57"/>
  <c r="M96" i="57"/>
  <c r="J100" i="57"/>
  <c r="F104" i="57"/>
  <c r="M100" i="57"/>
  <c r="S104" i="57"/>
  <c r="AB103" i="57"/>
  <c r="AB104" i="57" s="1"/>
  <c r="X100" i="57"/>
  <c r="Y41" i="57"/>
  <c r="G41" i="57" s="1"/>
  <c r="Q44" i="57"/>
  <c r="Y44" i="57"/>
  <c r="G44" i="57" s="1"/>
  <c r="Q143" i="57"/>
  <c r="Y143" i="57"/>
  <c r="G143" i="57" s="1"/>
  <c r="Q134" i="57"/>
  <c r="H134" i="57" s="1"/>
  <c r="Y134" i="57"/>
  <c r="P144" i="57"/>
  <c r="X144" i="57"/>
  <c r="F144" i="57" s="1"/>
  <c r="X25" i="57"/>
  <c r="F25" i="57" s="1"/>
  <c r="Q30" i="57"/>
  <c r="X26" i="57"/>
  <c r="F26" i="57" s="1"/>
  <c r="Q38" i="57"/>
  <c r="Y38" i="57"/>
  <c r="G38" i="57" s="1"/>
  <c r="Q37" i="57"/>
  <c r="Y37" i="57"/>
  <c r="G37" i="57" s="1"/>
  <c r="Q133" i="57"/>
  <c r="Y133" i="57"/>
  <c r="G133" i="57" s="1"/>
  <c r="P36" i="57"/>
  <c r="X36" i="57"/>
  <c r="F36" i="57" s="1"/>
  <c r="P35" i="57"/>
  <c r="X35" i="57"/>
  <c r="F35" i="57" s="1"/>
  <c r="P142" i="57"/>
  <c r="X142" i="57"/>
  <c r="F142" i="57" s="1"/>
  <c r="Q48" i="57"/>
  <c r="V103" i="57"/>
  <c r="M103" i="57" s="1"/>
  <c r="M104" i="57" s="1"/>
  <c r="O77" i="57"/>
  <c r="G63" i="57"/>
  <c r="P26" i="57"/>
  <c r="Y70" i="57"/>
  <c r="P25" i="57"/>
  <c r="P68" i="57"/>
  <c r="Y68" i="57" s="1"/>
  <c r="Q67" i="57"/>
  <c r="Z67" i="57" s="1"/>
  <c r="P87" i="57"/>
  <c r="P69" i="57"/>
  <c r="Y69" i="57" s="1"/>
  <c r="Q27" i="57"/>
  <c r="Q41" i="57"/>
  <c r="T15" i="56"/>
  <c r="P65" i="56"/>
  <c r="X15" i="56"/>
  <c r="X16" i="56"/>
  <c r="AB15" i="56"/>
  <c r="AC15" i="56"/>
  <c r="AC16" i="56"/>
  <c r="V16" i="56"/>
  <c r="N16" i="56" s="1"/>
  <c r="AD16" i="56"/>
  <c r="U16" i="56"/>
  <c r="M16" i="56" s="1"/>
  <c r="C86" i="57"/>
  <c r="C101" i="57" s="1"/>
  <c r="C122" i="57" s="1"/>
  <c r="H67" i="56"/>
  <c r="AA25" i="58"/>
  <c r="AA67" i="58"/>
  <c r="AA104" i="58" s="1"/>
  <c r="AA6" i="58"/>
  <c r="AA22" i="58"/>
  <c r="AA12" i="58" a="1"/>
  <c r="AA12" i="58" s="1"/>
  <c r="AA11" i="58" s="1"/>
  <c r="AB4" i="58"/>
  <c r="AA7" i="58"/>
  <c r="AA5" i="58"/>
  <c r="Z8" i="58"/>
  <c r="H69" i="56"/>
  <c r="P69" i="56"/>
  <c r="H68" i="56"/>
  <c r="P68" i="56"/>
  <c r="F89" i="56"/>
  <c r="P71" i="56"/>
  <c r="G84" i="56"/>
  <c r="P72" i="56"/>
  <c r="H72" i="56"/>
  <c r="G80" i="56"/>
  <c r="Z15" i="56"/>
  <c r="R15" i="56"/>
  <c r="P15" i="56"/>
  <c r="U15" i="56"/>
  <c r="P70" i="56"/>
  <c r="N110" i="56"/>
  <c r="T16" i="56"/>
  <c r="L16" i="56" s="1"/>
  <c r="R16" i="56"/>
  <c r="F18" i="56"/>
  <c r="G17" i="56"/>
  <c r="N214" i="57"/>
  <c r="Q196" i="57" s="1"/>
  <c r="M215" i="57"/>
  <c r="O96" i="57"/>
  <c r="L230" i="57"/>
  <c r="L231" i="57" s="1"/>
  <c r="P198" i="57"/>
  <c r="N199" i="57"/>
  <c r="P196" i="57"/>
  <c r="P197" i="57"/>
  <c r="BE251" i="57"/>
  <c r="BE252" i="57" s="1"/>
  <c r="N251" i="57"/>
  <c r="N252" i="57" s="1"/>
  <c r="BF251" i="57"/>
  <c r="BF252" i="57" s="1"/>
  <c r="L217" i="57"/>
  <c r="L218" i="57" s="1"/>
  <c r="F43" i="57"/>
  <c r="H71" i="56"/>
  <c r="H70" i="56"/>
  <c r="H63" i="56"/>
  <c r="H43" i="56" s="1"/>
  <c r="P63" i="56"/>
  <c r="H65" i="56"/>
  <c r="H66" i="56"/>
  <c r="P66" i="56"/>
  <c r="K179" i="56"/>
  <c r="Q106" i="56"/>
  <c r="P108" i="56"/>
  <c r="P107" i="56"/>
  <c r="P109" i="56"/>
  <c r="L13" i="56"/>
  <c r="N13" i="56"/>
  <c r="M13" i="56"/>
  <c r="N15" i="56"/>
  <c r="M15" i="56"/>
  <c r="L15" i="56"/>
  <c r="T14" i="56"/>
  <c r="AD14" i="56"/>
  <c r="X14" i="56"/>
  <c r="U14" i="56"/>
  <c r="AB14" i="56"/>
  <c r="AC14" i="56"/>
  <c r="V14" i="56"/>
  <c r="N14" i="56" s="1"/>
  <c r="Z14" i="56"/>
  <c r="R14" i="56"/>
  <c r="H104" i="56"/>
  <c r="G88" i="56"/>
  <c r="O110" i="56"/>
  <c r="H64" i="56"/>
  <c r="P64" i="56"/>
  <c r="E51" i="57"/>
  <c r="E110" i="57"/>
  <c r="K177" i="56"/>
  <c r="F48" i="56"/>
  <c r="F39" i="56" s="1"/>
  <c r="P39" i="56" s="1"/>
  <c r="K230" i="57"/>
  <c r="K231" i="57" s="1"/>
  <c r="AO217" i="57"/>
  <c r="AO218" i="57" s="1"/>
  <c r="AP198" i="57"/>
  <c r="AP199" i="57" s="1"/>
  <c r="BE217" i="57"/>
  <c r="BE218" i="57" s="1"/>
  <c r="AP217" i="57"/>
  <c r="AP218" i="57" s="1"/>
  <c r="AN217" i="57"/>
  <c r="AN218" i="57" s="1"/>
  <c r="K217" i="57"/>
  <c r="K218" i="57" s="1"/>
  <c r="AM217" i="57"/>
  <c r="AM218" i="57" s="1"/>
  <c r="J217" i="57"/>
  <c r="J218" i="57" s="1"/>
  <c r="AS198" i="57"/>
  <c r="AS199" i="57" s="1"/>
  <c r="M198" i="57"/>
  <c r="M199" i="57" s="1"/>
  <c r="BH198" i="57"/>
  <c r="BH199" i="57" s="1"/>
  <c r="AQ198" i="57"/>
  <c r="AQ199" i="57" s="1"/>
  <c r="O198" i="57"/>
  <c r="O199" i="57" s="1"/>
  <c r="AR198" i="57"/>
  <c r="AR199" i="57" s="1"/>
  <c r="D250" i="57"/>
  <c r="L251" i="57" s="1"/>
  <c r="L252" i="57" s="1"/>
  <c r="AX230" i="57"/>
  <c r="AX231" i="57" s="1"/>
  <c r="AY230" i="57"/>
  <c r="AY231" i="57" s="1"/>
  <c r="M251" i="57"/>
  <c r="M252" i="57" s="1"/>
  <c r="M230" i="57"/>
  <c r="M231" i="57" s="1"/>
  <c r="O249" i="57"/>
  <c r="M259" i="57"/>
  <c r="O250" i="57"/>
  <c r="O251" i="57"/>
  <c r="N230" i="57"/>
  <c r="N232" i="57"/>
  <c r="N228" i="57"/>
  <c r="N229" i="57"/>
  <c r="M217" i="57"/>
  <c r="O104" i="57"/>
  <c r="X104" i="57"/>
  <c r="C108" i="57"/>
  <c r="C81" i="57"/>
  <c r="C97" i="57" s="1"/>
  <c r="C118" i="57" s="1"/>
  <c r="K176" i="56"/>
  <c r="K178" i="56"/>
  <c r="F60" i="56" l="1"/>
  <c r="F28" i="56" s="1"/>
  <c r="G28" i="56" s="1"/>
  <c r="P28" i="56" s="1"/>
  <c r="G43" i="56"/>
  <c r="Z77" i="58" a="1"/>
  <c r="Z77" i="58" s="1"/>
  <c r="Z87" i="58" a="1"/>
  <c r="Z87" i="58" s="1"/>
  <c r="Z76" i="58" a="1"/>
  <c r="Z76" i="58" s="1"/>
  <c r="Z88" i="58" a="1"/>
  <c r="Z88" i="58" s="1"/>
  <c r="Z42" i="57"/>
  <c r="H42" i="57" s="1"/>
  <c r="R42" i="57"/>
  <c r="AA42" i="57" s="1"/>
  <c r="I42" i="57" s="1"/>
  <c r="S43" i="57"/>
  <c r="R43" i="57"/>
  <c r="Z43" i="57"/>
  <c r="H43" i="57" s="1"/>
  <c r="R31" i="57"/>
  <c r="H31" i="57"/>
  <c r="J14" i="56"/>
  <c r="K14" i="56" s="1"/>
  <c r="Q14" i="56"/>
  <c r="Y14" i="56"/>
  <c r="AA17" i="56"/>
  <c r="S17" i="56"/>
  <c r="H17" i="56"/>
  <c r="I17" i="56" s="1"/>
  <c r="J16" i="56"/>
  <c r="K16" i="56" s="1"/>
  <c r="Q16" i="56"/>
  <c r="Y16" i="56"/>
  <c r="Q15" i="56"/>
  <c r="J15" i="56"/>
  <c r="K15" i="56" s="1"/>
  <c r="Y15" i="56"/>
  <c r="S42" i="57"/>
  <c r="AB42" i="57" s="1"/>
  <c r="AC42" i="57" s="1"/>
  <c r="AD42" i="57" s="1"/>
  <c r="P77" i="57"/>
  <c r="Q39" i="56"/>
  <c r="X39" i="56"/>
  <c r="Y25" i="57"/>
  <c r="G25" i="57"/>
  <c r="X70" i="56"/>
  <c r="Q70" i="56"/>
  <c r="X65" i="56"/>
  <c r="Q65" i="56"/>
  <c r="X71" i="56"/>
  <c r="Q71" i="56"/>
  <c r="X64" i="56"/>
  <c r="Q64" i="56"/>
  <c r="Z27" i="57"/>
  <c r="Z56" i="57" s="1"/>
  <c r="H27" i="57"/>
  <c r="Z30" i="57"/>
  <c r="H30" i="57"/>
  <c r="Z64" i="57"/>
  <c r="H64" i="57" s="1"/>
  <c r="X68" i="56"/>
  <c r="Q68" i="56"/>
  <c r="P82" i="57"/>
  <c r="AA64" i="57"/>
  <c r="I64" i="57" s="1"/>
  <c r="X66" i="56"/>
  <c r="Q66" i="56"/>
  <c r="X69" i="56"/>
  <c r="Q69" i="56"/>
  <c r="R30" i="57"/>
  <c r="S30" i="57" s="1"/>
  <c r="Y67" i="56"/>
  <c r="R67" i="56"/>
  <c r="X63" i="56"/>
  <c r="Q63" i="56"/>
  <c r="Y26" i="57"/>
  <c r="G26" i="57" s="1"/>
  <c r="H88" i="56"/>
  <c r="R88" i="56"/>
  <c r="Z88" i="56" s="1"/>
  <c r="X72" i="56"/>
  <c r="Q72" i="56"/>
  <c r="V104" i="57"/>
  <c r="X96" i="57"/>
  <c r="R37" i="57"/>
  <c r="Z37" i="57"/>
  <c r="H37" i="57" s="1"/>
  <c r="R143" i="57"/>
  <c r="Z143" i="57"/>
  <c r="H143" i="57" s="1"/>
  <c r="Y87" i="57"/>
  <c r="G87" i="57" s="1"/>
  <c r="G90" i="57" s="1"/>
  <c r="R38" i="57"/>
  <c r="Z38" i="57"/>
  <c r="H38" i="57" s="1"/>
  <c r="Q144" i="57"/>
  <c r="Y144" i="57"/>
  <c r="G144" i="57" s="1"/>
  <c r="S44" i="57"/>
  <c r="Z44" i="57"/>
  <c r="H44" i="57" s="1"/>
  <c r="R44" i="57"/>
  <c r="Z41" i="57"/>
  <c r="H41" i="57" s="1"/>
  <c r="R41" i="57"/>
  <c r="S41" i="57"/>
  <c r="Q142" i="57"/>
  <c r="Y142" i="57"/>
  <c r="G142" i="57" s="1"/>
  <c r="Q35" i="57"/>
  <c r="Y35" i="57"/>
  <c r="G35" i="57" s="1"/>
  <c r="X77" i="57"/>
  <c r="F77" i="57" s="1"/>
  <c r="F80" i="57" s="1"/>
  <c r="Q36" i="57"/>
  <c r="Y36" i="57"/>
  <c r="G36" i="57" s="1"/>
  <c r="R134" i="57"/>
  <c r="I134" i="57" s="1"/>
  <c r="Z134" i="57"/>
  <c r="R133" i="57"/>
  <c r="Z133" i="57"/>
  <c r="H133" i="57" s="1"/>
  <c r="Z48" i="57"/>
  <c r="N215" i="57"/>
  <c r="N216" i="57"/>
  <c r="Q109" i="57"/>
  <c r="Q101" i="57"/>
  <c r="Q197" i="57"/>
  <c r="R67" i="57"/>
  <c r="AA67" i="57" s="1"/>
  <c r="S64" i="57"/>
  <c r="Q68" i="57"/>
  <c r="Z68" i="57" s="1"/>
  <c r="Q86" i="57"/>
  <c r="R27" i="57"/>
  <c r="Q69" i="57"/>
  <c r="Z69" i="57" s="1"/>
  <c r="Q56" i="57"/>
  <c r="Q25" i="57"/>
  <c r="Q26" i="57"/>
  <c r="Q70" i="57"/>
  <c r="Z70" i="57" s="1"/>
  <c r="Q87" i="57"/>
  <c r="H81" i="56"/>
  <c r="I68" i="56"/>
  <c r="H84" i="56"/>
  <c r="I71" i="56"/>
  <c r="H85" i="56"/>
  <c r="I72" i="56"/>
  <c r="H77" i="56"/>
  <c r="I64" i="56"/>
  <c r="H79" i="56"/>
  <c r="I66" i="56"/>
  <c r="H80" i="56"/>
  <c r="I67" i="56"/>
  <c r="I65" i="56"/>
  <c r="I70" i="56"/>
  <c r="H76" i="56"/>
  <c r="I63" i="56"/>
  <c r="AA8" i="58"/>
  <c r="AB67" i="58"/>
  <c r="AB104" i="58" s="1"/>
  <c r="AB22" i="58"/>
  <c r="AB12" i="58" a="1"/>
  <c r="AB12" i="58" s="1"/>
  <c r="AB11" i="58" s="1"/>
  <c r="AB6" i="58"/>
  <c r="AC4" i="58"/>
  <c r="AB5" i="58"/>
  <c r="AB7" i="58"/>
  <c r="AB25" i="58"/>
  <c r="F36" i="56"/>
  <c r="M14" i="56"/>
  <c r="L14" i="56"/>
  <c r="M218" i="57"/>
  <c r="Q198" i="57"/>
  <c r="O214" i="57"/>
  <c r="R197" i="57" s="1"/>
  <c r="N217" i="57"/>
  <c r="R17" i="56"/>
  <c r="U17" i="56"/>
  <c r="M17" i="56" s="1"/>
  <c r="V17" i="56"/>
  <c r="AD17" i="56"/>
  <c r="T17" i="56"/>
  <c r="L17" i="56" s="1"/>
  <c r="P17" i="56"/>
  <c r="AC17" i="56"/>
  <c r="X17" i="56"/>
  <c r="AB17" i="56"/>
  <c r="Z17" i="56"/>
  <c r="G18" i="56"/>
  <c r="F19" i="56"/>
  <c r="P199" i="57"/>
  <c r="N231" i="57"/>
  <c r="F32" i="56"/>
  <c r="G32" i="56" s="1"/>
  <c r="P32" i="56" s="1"/>
  <c r="P110" i="56"/>
  <c r="N259" i="57"/>
  <c r="P249" i="57"/>
  <c r="O232" i="57"/>
  <c r="O228" i="57"/>
  <c r="P250" i="57"/>
  <c r="O229" i="57"/>
  <c r="O230" i="57"/>
  <c r="P251" i="57"/>
  <c r="Q109" i="56"/>
  <c r="Q108" i="56"/>
  <c r="R106" i="56"/>
  <c r="Q107" i="56"/>
  <c r="O252" i="57"/>
  <c r="F40" i="56"/>
  <c r="T138" i="57"/>
  <c r="K138" i="57" s="1"/>
  <c r="F30" i="56" l="1"/>
  <c r="G30" i="56" s="1"/>
  <c r="P30" i="56" s="1"/>
  <c r="F33" i="56"/>
  <c r="G33" i="56" s="1"/>
  <c r="P33" i="56" s="1"/>
  <c r="F31" i="56"/>
  <c r="G31" i="56" s="1"/>
  <c r="P31" i="56" s="1"/>
  <c r="F34" i="56"/>
  <c r="G34" i="56" s="1"/>
  <c r="P34" i="56" s="1"/>
  <c r="F29" i="56"/>
  <c r="G29" i="56" s="1"/>
  <c r="P29" i="56" s="1"/>
  <c r="F35" i="56"/>
  <c r="G35" i="56" s="1"/>
  <c r="P35" i="56" s="1"/>
  <c r="X35" i="56" s="1"/>
  <c r="H56" i="57"/>
  <c r="AA31" i="57"/>
  <c r="AC31" i="57" s="1"/>
  <c r="AE31" i="57" s="1"/>
  <c r="S31" i="57"/>
  <c r="AA87" i="58" a="1"/>
  <c r="AA87" i="58" s="1"/>
  <c r="AA77" i="58" a="1"/>
  <c r="AA77" i="58" s="1"/>
  <c r="AA76" i="58" a="1"/>
  <c r="AA76" i="58" s="1"/>
  <c r="AA88" i="58" a="1"/>
  <c r="AA88" i="58" s="1"/>
  <c r="AB8" i="58"/>
  <c r="P119" i="56" a="1"/>
  <c r="P119" i="56" s="1"/>
  <c r="P123" i="56" a="1"/>
  <c r="P123" i="56" s="1"/>
  <c r="P115" i="56" a="1"/>
  <c r="P115" i="56" s="1"/>
  <c r="P120" i="56" a="1"/>
  <c r="P120" i="56" s="1"/>
  <c r="P112" i="56" a="1"/>
  <c r="P112" i="56" s="1"/>
  <c r="P111" i="56" a="1"/>
  <c r="P111" i="56" s="1"/>
  <c r="P116" i="56" a="1"/>
  <c r="P116" i="56" s="1"/>
  <c r="P114" i="56" a="1"/>
  <c r="P114" i="56" s="1"/>
  <c r="J42" i="57"/>
  <c r="AB43" i="57"/>
  <c r="AC43" i="57" s="1"/>
  <c r="AD43" i="57" s="1"/>
  <c r="AE43" i="57" s="1"/>
  <c r="AA43" i="57"/>
  <c r="I43" i="57" s="1"/>
  <c r="Y77" i="57"/>
  <c r="G77" i="57" s="1"/>
  <c r="G80" i="57" s="1"/>
  <c r="Y82" i="57"/>
  <c r="G82" i="57" s="1"/>
  <c r="G85" i="57" s="1"/>
  <c r="J17" i="56"/>
  <c r="K17" i="56" s="1"/>
  <c r="Y17" i="56"/>
  <c r="Q17" i="56"/>
  <c r="AA18" i="56"/>
  <c r="H18" i="56"/>
  <c r="I18" i="56" s="1"/>
  <c r="S18" i="56"/>
  <c r="Q77" i="57"/>
  <c r="AB64" i="57"/>
  <c r="J64" i="57"/>
  <c r="X32" i="56"/>
  <c r="Q32" i="56"/>
  <c r="AB41" i="57"/>
  <c r="AC41" i="57" s="1"/>
  <c r="AD41" i="57" s="1"/>
  <c r="Y63" i="56"/>
  <c r="R63" i="56"/>
  <c r="Y70" i="56"/>
  <c r="R70" i="56"/>
  <c r="AA41" i="57"/>
  <c r="I41" i="57" s="1"/>
  <c r="Y64" i="56"/>
  <c r="R64" i="56"/>
  <c r="Q29" i="56"/>
  <c r="X29" i="56"/>
  <c r="Q30" i="56"/>
  <c r="X30" i="56"/>
  <c r="AB31" i="57"/>
  <c r="AD31" i="57" s="1"/>
  <c r="Q82" i="57"/>
  <c r="Z67" i="56"/>
  <c r="AB67" i="56" s="1"/>
  <c r="S67" i="56"/>
  <c r="AA67" i="56" s="1"/>
  <c r="T67" i="56"/>
  <c r="Q34" i="56"/>
  <c r="X34" i="56"/>
  <c r="Q33" i="56"/>
  <c r="X33" i="56"/>
  <c r="Z25" i="57"/>
  <c r="Z54" i="57" s="1"/>
  <c r="R72" i="56"/>
  <c r="Y72" i="56"/>
  <c r="R68" i="56"/>
  <c r="Y68" i="56"/>
  <c r="R71" i="56"/>
  <c r="Y71" i="56"/>
  <c r="Z26" i="57"/>
  <c r="Z55" i="57" s="1"/>
  <c r="AA30" i="57"/>
  <c r="I30" i="57" s="1"/>
  <c r="AB30" i="57"/>
  <c r="J30" i="57" s="1"/>
  <c r="Y69" i="56"/>
  <c r="R69" i="56"/>
  <c r="R66" i="56"/>
  <c r="Y66" i="56"/>
  <c r="Q35" i="56"/>
  <c r="Q28" i="56"/>
  <c r="X28" i="56"/>
  <c r="AA27" i="57"/>
  <c r="I27" i="57" s="1"/>
  <c r="Y65" i="56"/>
  <c r="R65" i="56"/>
  <c r="X31" i="56"/>
  <c r="Q31" i="56"/>
  <c r="R39" i="56"/>
  <c r="Y39" i="56"/>
  <c r="Q40" i="56"/>
  <c r="Y40" i="56" s="1"/>
  <c r="AE42" i="57"/>
  <c r="H48" i="57"/>
  <c r="R48" i="57" s="1"/>
  <c r="S143" i="57"/>
  <c r="AA143" i="57"/>
  <c r="AC143" i="57" s="1"/>
  <c r="AD143" i="57" s="1"/>
  <c r="AE143" i="57" s="1"/>
  <c r="S134" i="57"/>
  <c r="J134" i="57" s="1"/>
  <c r="AA134" i="57"/>
  <c r="AC134" i="57" s="1"/>
  <c r="Z101" i="57"/>
  <c r="H101" i="57" s="1"/>
  <c r="AA44" i="57"/>
  <c r="I44" i="57" s="1"/>
  <c r="Z87" i="57"/>
  <c r="H87" i="57" s="1"/>
  <c r="H90" i="57" s="1"/>
  <c r="Z86" i="57"/>
  <c r="H86" i="57" s="1"/>
  <c r="R35" i="57"/>
  <c r="Z35" i="57"/>
  <c r="H35" i="57" s="1"/>
  <c r="AB44" i="57"/>
  <c r="AC44" i="57" s="1"/>
  <c r="AD44" i="57" s="1"/>
  <c r="AE44" i="57" s="1"/>
  <c r="T44" i="57"/>
  <c r="S37" i="57"/>
  <c r="AA37" i="57"/>
  <c r="AC37" i="57" s="1"/>
  <c r="R142" i="57"/>
  <c r="Z142" i="57"/>
  <c r="H142" i="57" s="1"/>
  <c r="R144" i="57"/>
  <c r="Z144" i="57"/>
  <c r="H144" i="57" s="1"/>
  <c r="Z109" i="57"/>
  <c r="H109" i="57" s="1"/>
  <c r="R36" i="57"/>
  <c r="Z36" i="57"/>
  <c r="H36" i="57" s="1"/>
  <c r="S133" i="57"/>
  <c r="AA133" i="57"/>
  <c r="I133" i="57" s="1"/>
  <c r="S38" i="57"/>
  <c r="AA38" i="57"/>
  <c r="AC38" i="57" s="1"/>
  <c r="T42" i="57"/>
  <c r="K42" i="57" s="1"/>
  <c r="Q199" i="57"/>
  <c r="R101" i="57"/>
  <c r="Q97" i="57"/>
  <c r="Q108" i="57"/>
  <c r="Q107" i="57"/>
  <c r="Q93" i="57"/>
  <c r="N218" i="57"/>
  <c r="T43" i="57"/>
  <c r="R70" i="57"/>
  <c r="AA70" i="57" s="1"/>
  <c r="R68" i="57"/>
  <c r="AA68" i="57" s="1"/>
  <c r="T30" i="57"/>
  <c r="T31" i="57"/>
  <c r="K31" i="57" s="1"/>
  <c r="S27" i="57"/>
  <c r="R86" i="57"/>
  <c r="R69" i="57"/>
  <c r="AA69" i="57" s="1"/>
  <c r="T64" i="57"/>
  <c r="Q75" i="57"/>
  <c r="R25" i="57"/>
  <c r="Q54" i="57"/>
  <c r="R26" i="57"/>
  <c r="Q81" i="57"/>
  <c r="Q55" i="57"/>
  <c r="S67" i="57"/>
  <c r="AB67" i="57" s="1"/>
  <c r="AC67" i="58"/>
  <c r="AC104" i="58" s="1"/>
  <c r="AC7" i="58"/>
  <c r="AC5" i="58"/>
  <c r="AC6" i="58"/>
  <c r="AD4" i="58"/>
  <c r="AC12" i="58" a="1"/>
  <c r="AC12" i="58" s="1"/>
  <c r="AC11" i="58" s="1"/>
  <c r="AC22" i="58"/>
  <c r="AC25" i="58"/>
  <c r="H28" i="56"/>
  <c r="I28" i="56" s="1"/>
  <c r="J28" i="56" s="1"/>
  <c r="N17" i="56"/>
  <c r="R198" i="57"/>
  <c r="O217" i="57"/>
  <c r="O215" i="57"/>
  <c r="O216" i="57"/>
  <c r="P214" i="57"/>
  <c r="S197" i="57" s="1"/>
  <c r="R196" i="57"/>
  <c r="U18" i="56"/>
  <c r="T18" i="56"/>
  <c r="AD18" i="56"/>
  <c r="AC18" i="56"/>
  <c r="AB18" i="56"/>
  <c r="R18" i="56"/>
  <c r="Z18" i="56"/>
  <c r="X18" i="56"/>
  <c r="V18" i="56"/>
  <c r="P18" i="56"/>
  <c r="F20" i="56"/>
  <c r="G19" i="56"/>
  <c r="G36" i="56"/>
  <c r="O259" i="57"/>
  <c r="Q250" i="57"/>
  <c r="Q251" i="57"/>
  <c r="P230" i="57"/>
  <c r="Q249" i="57"/>
  <c r="P232" i="57"/>
  <c r="P228" i="57"/>
  <c r="P229" i="57"/>
  <c r="U138" i="57"/>
  <c r="L138" i="57" s="1"/>
  <c r="P252" i="57"/>
  <c r="H34" i="56"/>
  <c r="I34" i="56" s="1"/>
  <c r="O231" i="57"/>
  <c r="H33" i="56"/>
  <c r="I33" i="56" s="1"/>
  <c r="Q110" i="56"/>
  <c r="H35" i="56"/>
  <c r="I35" i="56" s="1"/>
  <c r="S106" i="56"/>
  <c r="R109" i="56"/>
  <c r="R107" i="56"/>
  <c r="R108" i="56"/>
  <c r="H32" i="56"/>
  <c r="I32" i="56" s="1"/>
  <c r="H31" i="56"/>
  <c r="I31" i="56" s="1"/>
  <c r="H29" i="56"/>
  <c r="I29" i="56" s="1"/>
  <c r="H30" i="56"/>
  <c r="I30" i="56" s="1"/>
  <c r="K44" i="57" l="1"/>
  <c r="J41" i="57"/>
  <c r="H25" i="57"/>
  <c r="J44" i="57"/>
  <c r="J43" i="57"/>
  <c r="J31" i="57"/>
  <c r="J67" i="56"/>
  <c r="I37" i="57"/>
  <c r="I38" i="57"/>
  <c r="I31" i="57"/>
  <c r="H26" i="57"/>
  <c r="I143" i="57"/>
  <c r="K43" i="57"/>
  <c r="H54" i="57"/>
  <c r="H55" i="57"/>
  <c r="AB88" i="58" a="1"/>
  <c r="AB88" i="58" s="1"/>
  <c r="AB87" i="58" a="1"/>
  <c r="AB87" i="58" s="1"/>
  <c r="AB77" i="58" a="1"/>
  <c r="AB77" i="58" s="1"/>
  <c r="AB76" i="58" a="1"/>
  <c r="AB76" i="58" s="1"/>
  <c r="Q115" i="56" a="1"/>
  <c r="Q115" i="56" s="1"/>
  <c r="Q120" i="56" a="1"/>
  <c r="Q120" i="56" s="1"/>
  <c r="Q114" i="56" a="1"/>
  <c r="Q114" i="56" s="1"/>
  <c r="Q123" i="56" a="1"/>
  <c r="Q123" i="56" s="1"/>
  <c r="Q112" i="56" a="1"/>
  <c r="Q112" i="56" s="1"/>
  <c r="Q119" i="56" a="1"/>
  <c r="Q119" i="56" s="1"/>
  <c r="Q116" i="56" a="1"/>
  <c r="Q116" i="56" s="1"/>
  <c r="Q111" i="56" a="1"/>
  <c r="Q111" i="56" s="1"/>
  <c r="Z77" i="57"/>
  <c r="H77" i="57" s="1"/>
  <c r="H80" i="57" s="1"/>
  <c r="J18" i="56"/>
  <c r="K18" i="56" s="1"/>
  <c r="Y18" i="56"/>
  <c r="Q18" i="56"/>
  <c r="S19" i="56"/>
  <c r="H19" i="56"/>
  <c r="I19" i="56" s="1"/>
  <c r="AA19" i="56"/>
  <c r="Z82" i="57"/>
  <c r="H82" i="57" s="1"/>
  <c r="H85" i="57" s="1"/>
  <c r="R31" i="56"/>
  <c r="Y31" i="56"/>
  <c r="Z70" i="56"/>
  <c r="AB70" i="56" s="1"/>
  <c r="S70" i="56"/>
  <c r="AA70" i="56" s="1"/>
  <c r="T70" i="56"/>
  <c r="R77" i="57"/>
  <c r="Z65" i="56"/>
  <c r="AB65" i="56" s="1"/>
  <c r="S65" i="56"/>
  <c r="AA65" i="56" s="1"/>
  <c r="T65" i="56"/>
  <c r="S72" i="56"/>
  <c r="AA72" i="56" s="1"/>
  <c r="T72" i="56"/>
  <c r="Z72" i="56"/>
  <c r="AB72" i="56" s="1"/>
  <c r="S39" i="56"/>
  <c r="Z39" i="56"/>
  <c r="S68" i="56"/>
  <c r="AA68" i="56" s="1"/>
  <c r="Z68" i="56"/>
  <c r="AB68" i="56" s="1"/>
  <c r="T68" i="56"/>
  <c r="Z63" i="56"/>
  <c r="AB63" i="56" s="1"/>
  <c r="S63" i="56"/>
  <c r="AA63" i="56" s="1"/>
  <c r="T63" i="56"/>
  <c r="AB27" i="57"/>
  <c r="J27" i="57" s="1"/>
  <c r="S66" i="56"/>
  <c r="AA66" i="56" s="1"/>
  <c r="Z66" i="56"/>
  <c r="AB66" i="56" s="1"/>
  <c r="J66" i="56"/>
  <c r="T66" i="56"/>
  <c r="R30" i="56"/>
  <c r="Y30" i="56"/>
  <c r="R33" i="56"/>
  <c r="Y33" i="56"/>
  <c r="AA25" i="57"/>
  <c r="AA54" i="57" s="1"/>
  <c r="R29" i="56"/>
  <c r="Y29" i="56"/>
  <c r="R32" i="56"/>
  <c r="Y32" i="56"/>
  <c r="Z71" i="56"/>
  <c r="AB71" i="56" s="1"/>
  <c r="S71" i="56"/>
  <c r="AA71" i="56" s="1"/>
  <c r="T71" i="56"/>
  <c r="S69" i="56"/>
  <c r="AA69" i="56" s="1"/>
  <c r="Z69" i="56"/>
  <c r="AB69" i="56" s="1"/>
  <c r="T69" i="56"/>
  <c r="Z107" i="57"/>
  <c r="H107" i="57" s="1"/>
  <c r="R28" i="56"/>
  <c r="Y28" i="56"/>
  <c r="Q36" i="56"/>
  <c r="R34" i="56"/>
  <c r="Y34" i="56"/>
  <c r="Z64" i="56"/>
  <c r="AB64" i="56" s="1"/>
  <c r="S64" i="56"/>
  <c r="AA64" i="56" s="1"/>
  <c r="T64" i="56"/>
  <c r="X36" i="56"/>
  <c r="P36" i="56"/>
  <c r="L67" i="56"/>
  <c r="AC67" i="56"/>
  <c r="AD67" i="56"/>
  <c r="R35" i="56"/>
  <c r="Y35" i="56"/>
  <c r="V67" i="56"/>
  <c r="K67" i="56"/>
  <c r="U67" i="56"/>
  <c r="AA48" i="57"/>
  <c r="AD38" i="57"/>
  <c r="AE41" i="57"/>
  <c r="AD37" i="57"/>
  <c r="S196" i="57"/>
  <c r="Z93" i="57"/>
  <c r="H93" i="57" s="1"/>
  <c r="AB38" i="57"/>
  <c r="J38" i="57" s="1"/>
  <c r="T38" i="57"/>
  <c r="K38" i="57" s="1"/>
  <c r="Z75" i="57"/>
  <c r="H75" i="57" s="1"/>
  <c r="U44" i="57"/>
  <c r="L44" i="57" s="1"/>
  <c r="Z108" i="57"/>
  <c r="H108" i="57" s="1"/>
  <c r="S144" i="57"/>
  <c r="AA144" i="57"/>
  <c r="AC144" i="57" s="1"/>
  <c r="Z97" i="57"/>
  <c r="H97" i="57" s="1"/>
  <c r="T133" i="57"/>
  <c r="AB133" i="57"/>
  <c r="J133" i="57" s="1"/>
  <c r="AC132" i="57"/>
  <c r="AD134" i="57"/>
  <c r="S35" i="57"/>
  <c r="AA35" i="57"/>
  <c r="AC35" i="57" s="1"/>
  <c r="AA86" i="57"/>
  <c r="I86" i="57" s="1"/>
  <c r="AA142" i="57"/>
  <c r="AC142" i="57" s="1"/>
  <c r="S142" i="57"/>
  <c r="S36" i="57"/>
  <c r="AA36" i="57"/>
  <c r="AC36" i="57" s="1"/>
  <c r="T143" i="57"/>
  <c r="K143" i="57" s="1"/>
  <c r="AB143" i="57"/>
  <c r="J143" i="57" s="1"/>
  <c r="AA101" i="57"/>
  <c r="I101" i="57" s="1"/>
  <c r="T134" i="57"/>
  <c r="AB134" i="57"/>
  <c r="Z81" i="57"/>
  <c r="H81" i="57" s="1"/>
  <c r="R82" i="57"/>
  <c r="R55" i="57"/>
  <c r="AA26" i="57"/>
  <c r="AA55" i="57" s="1"/>
  <c r="AB37" i="57"/>
  <c r="J37" i="57" s="1"/>
  <c r="T37" i="57"/>
  <c r="K37" i="57" s="1"/>
  <c r="S101" i="57"/>
  <c r="R108" i="57"/>
  <c r="R97" i="57"/>
  <c r="U43" i="57"/>
  <c r="L43" i="57" s="1"/>
  <c r="R107" i="57"/>
  <c r="R93" i="57"/>
  <c r="T67" i="57"/>
  <c r="T27" i="57"/>
  <c r="S86" i="57"/>
  <c r="U42" i="57"/>
  <c r="L42" i="57" s="1"/>
  <c r="S70" i="57"/>
  <c r="AB70" i="57" s="1"/>
  <c r="U31" i="57"/>
  <c r="L31" i="57" s="1"/>
  <c r="U30" i="57"/>
  <c r="U64" i="57"/>
  <c r="S26" i="57"/>
  <c r="R81" i="57"/>
  <c r="S69" i="57"/>
  <c r="AB69" i="57" s="1"/>
  <c r="S68" i="57"/>
  <c r="AB68" i="57" s="1"/>
  <c r="R75" i="57"/>
  <c r="S25" i="57"/>
  <c r="R54" i="57"/>
  <c r="T41" i="57"/>
  <c r="K41" i="57" s="1"/>
  <c r="Q214" i="57"/>
  <c r="T197" i="57" s="1"/>
  <c r="S198" i="57"/>
  <c r="S199" i="57" s="1"/>
  <c r="J34" i="56"/>
  <c r="K34" i="56" s="1"/>
  <c r="I36" i="56"/>
  <c r="J29" i="56"/>
  <c r="K29" i="56" s="1"/>
  <c r="K28" i="56"/>
  <c r="J33" i="56"/>
  <c r="K33" i="56" s="1"/>
  <c r="J35" i="56"/>
  <c r="K35" i="56" s="1"/>
  <c r="J31" i="56"/>
  <c r="K31" i="56" s="1"/>
  <c r="J32" i="56"/>
  <c r="K32" i="56" s="1"/>
  <c r="J30" i="56"/>
  <c r="K30" i="56" s="1"/>
  <c r="R199" i="57"/>
  <c r="O218" i="57"/>
  <c r="AD7" i="58"/>
  <c r="AD12" i="58" a="1"/>
  <c r="AD12" i="58" s="1"/>
  <c r="AD11" i="58" s="1"/>
  <c r="AD5" i="58"/>
  <c r="AD67" i="58"/>
  <c r="AD104" i="58" s="1"/>
  <c r="AD6" i="58"/>
  <c r="AD22" i="58"/>
  <c r="AD25" i="58" s="1"/>
  <c r="AE4" i="58"/>
  <c r="AC8" i="58"/>
  <c r="L18" i="56"/>
  <c r="M18" i="56"/>
  <c r="N18" i="56"/>
  <c r="P215" i="57"/>
  <c r="P216" i="57"/>
  <c r="P217" i="57"/>
  <c r="G20" i="56"/>
  <c r="F21" i="56"/>
  <c r="X19" i="56"/>
  <c r="V19" i="56"/>
  <c r="T19" i="56"/>
  <c r="AD19" i="56"/>
  <c r="Z19" i="56"/>
  <c r="AC19" i="56"/>
  <c r="AB19" i="56"/>
  <c r="U19" i="56"/>
  <c r="M19" i="56" s="1"/>
  <c r="R19" i="56"/>
  <c r="P19" i="56"/>
  <c r="H36" i="56"/>
  <c r="S109" i="56"/>
  <c r="S107" i="56"/>
  <c r="S108" i="56"/>
  <c r="T106" i="56"/>
  <c r="P231" i="57"/>
  <c r="R251" i="57"/>
  <c r="R249" i="57"/>
  <c r="Q229" i="57"/>
  <c r="R250" i="57"/>
  <c r="P259" i="57"/>
  <c r="Q232" i="57"/>
  <c r="Q230" i="57"/>
  <c r="Q228" i="57"/>
  <c r="R110" i="56"/>
  <c r="V138" i="57"/>
  <c r="M138" i="57" s="1"/>
  <c r="Q252" i="57"/>
  <c r="J71" i="56" l="1"/>
  <c r="J63" i="56"/>
  <c r="J68" i="56"/>
  <c r="J72" i="56"/>
  <c r="J69" i="56"/>
  <c r="I25" i="57"/>
  <c r="J64" i="56"/>
  <c r="J65" i="56"/>
  <c r="I26" i="57"/>
  <c r="I35" i="57"/>
  <c r="J70" i="56"/>
  <c r="I144" i="57"/>
  <c r="I36" i="57"/>
  <c r="I142" i="57"/>
  <c r="I55" i="57"/>
  <c r="I54" i="57"/>
  <c r="AC88" i="58" a="1"/>
  <c r="AC88" i="58" s="1"/>
  <c r="AC77" i="58" a="1"/>
  <c r="AC77" i="58" s="1"/>
  <c r="AC76" i="58" a="1"/>
  <c r="AC76" i="58" s="1"/>
  <c r="AC87" i="58" a="1"/>
  <c r="AC87" i="58" s="1"/>
  <c r="R119" i="56" a="1"/>
  <c r="R119" i="56" s="1"/>
  <c r="R114" i="56" a="1"/>
  <c r="R114" i="56" s="1"/>
  <c r="R111" i="56" a="1"/>
  <c r="R111" i="56" s="1"/>
  <c r="R123" i="56" a="1"/>
  <c r="R123" i="56" s="1"/>
  <c r="R120" i="56" a="1"/>
  <c r="R120" i="56" s="1"/>
  <c r="R115" i="56" a="1"/>
  <c r="R115" i="56" s="1"/>
  <c r="R116" i="56" a="1"/>
  <c r="R116" i="56" s="1"/>
  <c r="R112" i="56" a="1"/>
  <c r="R112" i="56" s="1"/>
  <c r="O264" i="57" a="1"/>
  <c r="O264" i="57" s="1"/>
  <c r="O261" i="57" a="1"/>
  <c r="O261" i="57" s="1"/>
  <c r="O262" i="57" a="1"/>
  <c r="O262" i="57" s="1"/>
  <c r="O260" i="57" a="1"/>
  <c r="O260" i="57" s="1"/>
  <c r="O263" i="57" a="1"/>
  <c r="O263" i="57" s="1"/>
  <c r="O265" i="57" a="1"/>
  <c r="O265" i="57" s="1"/>
  <c r="AA20" i="56"/>
  <c r="H20" i="56"/>
  <c r="I20" i="56" s="1"/>
  <c r="S20" i="56"/>
  <c r="T198" i="57"/>
  <c r="Y36" i="56"/>
  <c r="T28" i="56"/>
  <c r="V28" i="56" s="1"/>
  <c r="S28" i="56"/>
  <c r="Z28" i="56"/>
  <c r="AB28" i="56" s="1"/>
  <c r="AC28" i="56" s="1"/>
  <c r="AD28" i="56" s="1"/>
  <c r="AD63" i="56"/>
  <c r="AC63" i="56"/>
  <c r="K65" i="56"/>
  <c r="L65" i="56"/>
  <c r="V65" i="56"/>
  <c r="U65" i="56"/>
  <c r="V64" i="56"/>
  <c r="U64" i="56"/>
  <c r="L64" i="56"/>
  <c r="K64" i="56"/>
  <c r="Z32" i="56"/>
  <c r="S32" i="56"/>
  <c r="Z30" i="56"/>
  <c r="AB30" i="56" s="1"/>
  <c r="AC30" i="56" s="1"/>
  <c r="AD30" i="56" s="1"/>
  <c r="S30" i="56"/>
  <c r="AD65" i="56"/>
  <c r="AC65" i="56"/>
  <c r="V68" i="56"/>
  <c r="U68" i="56"/>
  <c r="K68" i="56"/>
  <c r="L68" i="56"/>
  <c r="K66" i="56"/>
  <c r="V66" i="56"/>
  <c r="U66" i="56"/>
  <c r="M66" i="56" s="1"/>
  <c r="L66" i="56"/>
  <c r="AC68" i="56"/>
  <c r="AD68" i="56"/>
  <c r="AD71" i="56"/>
  <c r="AC71" i="56"/>
  <c r="U69" i="56"/>
  <c r="K69" i="56"/>
  <c r="L69" i="56"/>
  <c r="V69" i="56"/>
  <c r="K70" i="56"/>
  <c r="L70" i="56"/>
  <c r="V70" i="56"/>
  <c r="U70" i="56"/>
  <c r="AB26" i="57"/>
  <c r="AB55" i="57" s="1"/>
  <c r="AD64" i="56"/>
  <c r="AC64" i="56"/>
  <c r="AC69" i="56"/>
  <c r="AD69" i="56"/>
  <c r="Z29" i="56"/>
  <c r="AB29" i="56" s="1"/>
  <c r="AC29" i="56" s="1"/>
  <c r="AD29" i="56" s="1"/>
  <c r="S29" i="56"/>
  <c r="AD66" i="56"/>
  <c r="AC66" i="56"/>
  <c r="S33" i="56"/>
  <c r="Z33" i="56"/>
  <c r="AB33" i="56" s="1"/>
  <c r="AC33" i="56" s="1"/>
  <c r="AD33" i="56" s="1"/>
  <c r="Z35" i="56"/>
  <c r="AB35" i="56" s="1"/>
  <c r="AC35" i="56" s="1"/>
  <c r="AD35" i="56" s="1"/>
  <c r="S35" i="56"/>
  <c r="S40" i="56"/>
  <c r="AA40" i="56" s="1"/>
  <c r="AA39" i="56"/>
  <c r="AB25" i="57"/>
  <c r="AB54" i="57" s="1"/>
  <c r="AC70" i="56"/>
  <c r="AD70" i="56"/>
  <c r="Z34" i="56"/>
  <c r="AB34" i="56" s="1"/>
  <c r="AC34" i="56" s="1"/>
  <c r="AD34" i="56" s="1"/>
  <c r="S34" i="56"/>
  <c r="AD72" i="56"/>
  <c r="AC72" i="56"/>
  <c r="U134" i="57"/>
  <c r="K134" i="57"/>
  <c r="AA77" i="57"/>
  <c r="I77" i="57" s="1"/>
  <c r="S82" i="57"/>
  <c r="N67" i="56"/>
  <c r="V71" i="56"/>
  <c r="K71" i="56"/>
  <c r="L71" i="56"/>
  <c r="U71" i="56"/>
  <c r="K63" i="56"/>
  <c r="L63" i="56"/>
  <c r="V63" i="56"/>
  <c r="U63" i="56"/>
  <c r="L72" i="56"/>
  <c r="U72" i="56"/>
  <c r="K72" i="56"/>
  <c r="V72" i="56"/>
  <c r="AA107" i="57"/>
  <c r="I107" i="57" s="1"/>
  <c r="U133" i="57"/>
  <c r="L133" i="57" s="1"/>
  <c r="K133" i="57"/>
  <c r="M67" i="56"/>
  <c r="Z31" i="56"/>
  <c r="AB31" i="56" s="1"/>
  <c r="AC31" i="56" s="1"/>
  <c r="AD31" i="56" s="1"/>
  <c r="S31" i="56"/>
  <c r="J19" i="56"/>
  <c r="K19" i="56" s="1"/>
  <c r="Y19" i="56"/>
  <c r="Q19" i="56"/>
  <c r="AD36" i="57"/>
  <c r="AD142" i="57"/>
  <c r="AE38" i="57"/>
  <c r="AE37" i="57"/>
  <c r="AD144" i="57"/>
  <c r="AD35" i="57"/>
  <c r="I48" i="57"/>
  <c r="S48" i="57" s="1"/>
  <c r="AA97" i="57"/>
  <c r="I97" i="57" s="1"/>
  <c r="AE134" i="57"/>
  <c r="AE132" i="57" s="1"/>
  <c r="AD132" i="57"/>
  <c r="AB35" i="57"/>
  <c r="J35" i="57" s="1"/>
  <c r="T35" i="57"/>
  <c r="K35" i="57" s="1"/>
  <c r="AB101" i="57"/>
  <c r="J101" i="57" s="1"/>
  <c r="AA82" i="57"/>
  <c r="I82" i="57" s="1"/>
  <c r="I85" i="57" s="1"/>
  <c r="AB36" i="57"/>
  <c r="J36" i="57" s="1"/>
  <c r="T36" i="57"/>
  <c r="T82" i="57" s="1"/>
  <c r="V44" i="57"/>
  <c r="M44" i="57" s="1"/>
  <c r="AB86" i="57"/>
  <c r="J86" i="57" s="1"/>
  <c r="AB142" i="57"/>
  <c r="J142" i="57" s="1"/>
  <c r="T142" i="57"/>
  <c r="K142" i="57" s="1"/>
  <c r="AA81" i="57"/>
  <c r="I81" i="57" s="1"/>
  <c r="U38" i="57"/>
  <c r="L38" i="57" s="1"/>
  <c r="U143" i="57"/>
  <c r="L143" i="57" s="1"/>
  <c r="S77" i="57"/>
  <c r="AA93" i="57"/>
  <c r="I93" i="57" s="1"/>
  <c r="T144" i="57"/>
  <c r="K144" i="57" s="1"/>
  <c r="AB144" i="57"/>
  <c r="J144" i="57" s="1"/>
  <c r="U37" i="57"/>
  <c r="L37" i="57" s="1"/>
  <c r="AA75" i="57"/>
  <c r="I75" i="57" s="1"/>
  <c r="AA108" i="57"/>
  <c r="I108" i="57" s="1"/>
  <c r="S93" i="57"/>
  <c r="S107" i="57"/>
  <c r="S97" i="57"/>
  <c r="S108" i="57"/>
  <c r="V43" i="57"/>
  <c r="M43" i="57" s="1"/>
  <c r="Q216" i="57"/>
  <c r="Q215" i="57"/>
  <c r="Q217" i="57"/>
  <c r="R214" i="57"/>
  <c r="U196" i="57" s="1"/>
  <c r="T196" i="57"/>
  <c r="U67" i="57"/>
  <c r="T69" i="57"/>
  <c r="V30" i="57"/>
  <c r="T70" i="57"/>
  <c r="T26" i="57"/>
  <c r="S81" i="57"/>
  <c r="S55" i="57"/>
  <c r="T25" i="57"/>
  <c r="K25" i="57" s="1"/>
  <c r="S75" i="57"/>
  <c r="S54" i="57"/>
  <c r="V42" i="57"/>
  <c r="M42" i="57" s="1"/>
  <c r="V31" i="57"/>
  <c r="M31" i="57" s="1"/>
  <c r="U27" i="57"/>
  <c r="U41" i="57"/>
  <c r="L41" i="57" s="1"/>
  <c r="T68" i="57"/>
  <c r="V64" i="57"/>
  <c r="J36" i="56"/>
  <c r="K36" i="56"/>
  <c r="P218" i="57"/>
  <c r="AD8" i="58"/>
  <c r="AE67" i="58"/>
  <c r="AE104" i="58" s="1"/>
  <c r="AE22" i="58"/>
  <c r="AE25" i="58" s="1"/>
  <c r="AE12" i="58" a="1"/>
  <c r="AE12" i="58" s="1"/>
  <c r="AE11" i="58" s="1"/>
  <c r="AE7" i="58"/>
  <c r="AE6" i="58"/>
  <c r="AF4" i="58"/>
  <c r="AE5" i="58"/>
  <c r="L19" i="56"/>
  <c r="N19" i="56"/>
  <c r="F22" i="56"/>
  <c r="G21" i="56"/>
  <c r="T20" i="56"/>
  <c r="L20" i="56" s="1"/>
  <c r="V20" i="56"/>
  <c r="N20" i="56" s="1"/>
  <c r="AC20" i="56"/>
  <c r="R20" i="56"/>
  <c r="Z20" i="56"/>
  <c r="AD20" i="56"/>
  <c r="X20" i="56"/>
  <c r="AB20" i="56"/>
  <c r="U20" i="56"/>
  <c r="M20" i="56" s="1"/>
  <c r="P20" i="56"/>
  <c r="S110" i="56"/>
  <c r="U197" i="57"/>
  <c r="R36" i="56"/>
  <c r="T30" i="56"/>
  <c r="T29" i="56"/>
  <c r="Q231" i="57"/>
  <c r="T34" i="56"/>
  <c r="T31" i="56"/>
  <c r="T32" i="56"/>
  <c r="T35" i="56"/>
  <c r="T107" i="56"/>
  <c r="T108" i="56"/>
  <c r="U106" i="56"/>
  <c r="T109" i="56"/>
  <c r="Q259" i="57"/>
  <c r="S250" i="57"/>
  <c r="S251" i="57"/>
  <c r="S249" i="57"/>
  <c r="R230" i="57"/>
  <c r="R232" i="57"/>
  <c r="R228" i="57"/>
  <c r="R229" i="57"/>
  <c r="R252" i="57"/>
  <c r="U28" i="56"/>
  <c r="AB32" i="56"/>
  <c r="AC32" i="56" s="1"/>
  <c r="AD32" i="56" s="1"/>
  <c r="T33" i="56"/>
  <c r="N71" i="56" l="1"/>
  <c r="N68" i="56"/>
  <c r="N65" i="56"/>
  <c r="M70" i="56"/>
  <c r="M63" i="56"/>
  <c r="N63" i="56"/>
  <c r="N69" i="56"/>
  <c r="M64" i="56"/>
  <c r="M71" i="56"/>
  <c r="N64" i="56"/>
  <c r="N70" i="56"/>
  <c r="N66" i="56"/>
  <c r="N72" i="56"/>
  <c r="J25" i="57"/>
  <c r="M68" i="56"/>
  <c r="M65" i="56"/>
  <c r="M69" i="56"/>
  <c r="M72" i="56"/>
  <c r="J26" i="57"/>
  <c r="J54" i="57"/>
  <c r="J55" i="57"/>
  <c r="AD87" i="58" a="1"/>
  <c r="AD87" i="58" s="1"/>
  <c r="AD88" i="58" a="1"/>
  <c r="AD88" i="58" s="1"/>
  <c r="AD77" i="58" a="1"/>
  <c r="AD77" i="58" s="1"/>
  <c r="AD76" i="58" a="1"/>
  <c r="AD76" i="58" s="1"/>
  <c r="AE8" i="58"/>
  <c r="T199" i="57"/>
  <c r="L28" i="56"/>
  <c r="H21" i="56"/>
  <c r="I21" i="56" s="1"/>
  <c r="AA21" i="56"/>
  <c r="S21" i="56"/>
  <c r="J20" i="56"/>
  <c r="K20" i="56" s="1"/>
  <c r="Q20" i="56"/>
  <c r="Y20" i="56"/>
  <c r="K36" i="57"/>
  <c r="AB82" i="57"/>
  <c r="J82" i="57" s="1"/>
  <c r="J85" i="57" s="1"/>
  <c r="V133" i="57"/>
  <c r="M133" i="57" s="1"/>
  <c r="Z36" i="56"/>
  <c r="AA31" i="56"/>
  <c r="AA35" i="56"/>
  <c r="AA30" i="56"/>
  <c r="V134" i="57"/>
  <c r="M134" i="57" s="1"/>
  <c r="L134" i="57"/>
  <c r="AA32" i="56"/>
  <c r="AB107" i="57"/>
  <c r="J107" i="57" s="1"/>
  <c r="AA33" i="56"/>
  <c r="S36" i="56"/>
  <c r="AA28" i="56"/>
  <c r="AA29" i="56"/>
  <c r="AA34" i="56"/>
  <c r="AE144" i="57"/>
  <c r="AE35" i="57"/>
  <c r="AE142" i="57"/>
  <c r="AB48" i="57"/>
  <c r="AC48" i="57" s="1"/>
  <c r="AE36" i="57"/>
  <c r="U142" i="57"/>
  <c r="L142" i="57" s="1"/>
  <c r="U35" i="57"/>
  <c r="L35" i="57" s="1"/>
  <c r="AB75" i="57"/>
  <c r="J75" i="57" s="1"/>
  <c r="AB93" i="57"/>
  <c r="J93" i="57" s="1"/>
  <c r="AB77" i="57"/>
  <c r="J77" i="57" s="1"/>
  <c r="T77" i="57"/>
  <c r="U144" i="57"/>
  <c r="L144" i="57" s="1"/>
  <c r="AB81" i="57"/>
  <c r="J81" i="57" s="1"/>
  <c r="V143" i="57"/>
  <c r="M143" i="57" s="1"/>
  <c r="U36" i="57"/>
  <c r="L36" i="57" s="1"/>
  <c r="V38" i="57"/>
  <c r="M38" i="57" s="1"/>
  <c r="AB108" i="57"/>
  <c r="J108" i="57" s="1"/>
  <c r="V37" i="57"/>
  <c r="M37" i="57" s="1"/>
  <c r="AB97" i="57"/>
  <c r="J97" i="57" s="1"/>
  <c r="R216" i="57"/>
  <c r="U198" i="57"/>
  <c r="U199" i="57" s="1"/>
  <c r="Q218" i="57"/>
  <c r="R217" i="57"/>
  <c r="S214" i="57"/>
  <c r="V196" i="57" s="1"/>
  <c r="R215" i="57"/>
  <c r="U70" i="57"/>
  <c r="U68" i="57"/>
  <c r="U25" i="57"/>
  <c r="L25" i="57" s="1"/>
  <c r="U69" i="57"/>
  <c r="V41" i="57"/>
  <c r="M41" i="57" s="1"/>
  <c r="V27" i="57"/>
  <c r="U26" i="57"/>
  <c r="V67" i="57"/>
  <c r="AF22" i="58"/>
  <c r="AF25" i="58" s="1"/>
  <c r="AF5" i="58"/>
  <c r="AF67" i="58"/>
  <c r="AF104" i="58" s="1"/>
  <c r="AG4" i="58"/>
  <c r="AF6" i="58"/>
  <c r="AF12" i="58" a="1"/>
  <c r="AF12" i="58" s="1"/>
  <c r="AF11" i="58" s="1"/>
  <c r="AF7" i="58"/>
  <c r="AD21" i="56"/>
  <c r="X21" i="56"/>
  <c r="V21" i="56"/>
  <c r="N21" i="56" s="1"/>
  <c r="R21" i="56"/>
  <c r="P21" i="56"/>
  <c r="AC21" i="56"/>
  <c r="Z21" i="56"/>
  <c r="AB21" i="56"/>
  <c r="U21" i="56"/>
  <c r="M21" i="56" s="1"/>
  <c r="T21" i="56"/>
  <c r="G22" i="56"/>
  <c r="H22" i="56" s="1"/>
  <c r="I22" i="56" s="1"/>
  <c r="F23" i="56"/>
  <c r="R231" i="57"/>
  <c r="S252" i="57"/>
  <c r="T36" i="56"/>
  <c r="V34" i="56"/>
  <c r="U34" i="56"/>
  <c r="L34" i="56"/>
  <c r="U30" i="56"/>
  <c r="V30" i="56"/>
  <c r="L30" i="56"/>
  <c r="V31" i="56"/>
  <c r="U31" i="56"/>
  <c r="L31" i="56"/>
  <c r="U109" i="56"/>
  <c r="U108" i="56"/>
  <c r="V106" i="56"/>
  <c r="U107" i="56"/>
  <c r="N28" i="56"/>
  <c r="T110" i="56"/>
  <c r="T251" i="57"/>
  <c r="T249" i="57"/>
  <c r="R259" i="57"/>
  <c r="S229" i="57"/>
  <c r="T250" i="57"/>
  <c r="S232" i="57"/>
  <c r="S228" i="57"/>
  <c r="S230" i="57"/>
  <c r="AB36" i="56"/>
  <c r="V32" i="56"/>
  <c r="U32" i="56"/>
  <c r="L32" i="56"/>
  <c r="V35" i="56"/>
  <c r="U35" i="56"/>
  <c r="L35" i="56"/>
  <c r="M28" i="56"/>
  <c r="V33" i="56"/>
  <c r="U33" i="56"/>
  <c r="L33" i="56"/>
  <c r="V29" i="56"/>
  <c r="U29" i="56"/>
  <c r="L29" i="56"/>
  <c r="AE88" i="58" l="1" a="1"/>
  <c r="AE88" i="58" s="1"/>
  <c r="AE87" i="58" a="1"/>
  <c r="AE87" i="58" s="1"/>
  <c r="AE77" i="58" a="1"/>
  <c r="AE77" i="58" s="1"/>
  <c r="AE76" i="58" a="1"/>
  <c r="AE76" i="58" s="1"/>
  <c r="Y22" i="56"/>
  <c r="AA22" i="56" s="1"/>
  <c r="J22" i="56"/>
  <c r="K22" i="56" s="1"/>
  <c r="Q22" i="56"/>
  <c r="S22" i="56" s="1"/>
  <c r="Q21" i="56"/>
  <c r="J21" i="56"/>
  <c r="K21" i="56" s="1"/>
  <c r="Y21" i="56"/>
  <c r="U77" i="57"/>
  <c r="AA36" i="56"/>
  <c r="J48" i="57"/>
  <c r="T48" i="57" s="1"/>
  <c r="K48" i="57" s="1"/>
  <c r="U48" i="57" s="1"/>
  <c r="L48" i="57" s="1"/>
  <c r="V48" i="57" s="1"/>
  <c r="M48" i="57" s="1"/>
  <c r="S216" i="57"/>
  <c r="S217" i="57"/>
  <c r="V36" i="57"/>
  <c r="M36" i="57" s="1"/>
  <c r="U82" i="57"/>
  <c r="V35" i="57"/>
  <c r="M35" i="57" s="1"/>
  <c r="V142" i="57"/>
  <c r="M142" i="57" s="1"/>
  <c r="V144" i="57"/>
  <c r="M144" i="57" s="1"/>
  <c r="R218" i="57"/>
  <c r="S215" i="57"/>
  <c r="T214" i="57"/>
  <c r="U214" i="57" s="1"/>
  <c r="V197" i="57"/>
  <c r="V198" i="57"/>
  <c r="V199" i="57" s="1"/>
  <c r="V25" i="57"/>
  <c r="M25" i="57" s="1"/>
  <c r="V26" i="57"/>
  <c r="V68" i="57"/>
  <c r="V70" i="57"/>
  <c r="V69" i="57"/>
  <c r="AG6" i="58"/>
  <c r="AG5" i="58"/>
  <c r="AG7" i="58"/>
  <c r="AG67" i="58"/>
  <c r="AG104" i="58" s="1"/>
  <c r="AG12" i="58" a="1"/>
  <c r="AG12" i="58" s="1"/>
  <c r="AG11" i="58" s="1"/>
  <c r="AH4" i="58"/>
  <c r="AG22" i="58"/>
  <c r="AG25" i="58" s="1"/>
  <c r="AF8" i="58"/>
  <c r="L21" i="56"/>
  <c r="V22" i="56"/>
  <c r="AD22" i="56"/>
  <c r="X22" i="56"/>
  <c r="Z22" i="56" s="1"/>
  <c r="AB22" i="56" s="1"/>
  <c r="AC22" i="56" s="1"/>
  <c r="P22" i="56"/>
  <c r="R22" i="56" s="1"/>
  <c r="G23" i="56"/>
  <c r="F24" i="56"/>
  <c r="U110" i="56"/>
  <c r="AC36" i="56"/>
  <c r="N34" i="56"/>
  <c r="N33" i="56"/>
  <c r="M32" i="56"/>
  <c r="L36" i="56"/>
  <c r="U250" i="57"/>
  <c r="U249" i="57"/>
  <c r="U251" i="57"/>
  <c r="T232" i="57"/>
  <c r="T228" i="57"/>
  <c r="T230" i="57"/>
  <c r="T229" i="57"/>
  <c r="S259" i="57"/>
  <c r="N35" i="56"/>
  <c r="M30" i="56"/>
  <c r="T252" i="57"/>
  <c r="M33" i="56"/>
  <c r="M31" i="56"/>
  <c r="M34" i="56"/>
  <c r="N32" i="56"/>
  <c r="V108" i="56"/>
  <c r="W106" i="56"/>
  <c r="V109" i="56"/>
  <c r="V107" i="56"/>
  <c r="M29" i="56"/>
  <c r="U36" i="56"/>
  <c r="N30" i="56"/>
  <c r="M35" i="56"/>
  <c r="V36" i="56"/>
  <c r="N29" i="56"/>
  <c r="N31" i="56"/>
  <c r="S231" i="57"/>
  <c r="AF77" i="58" l="1" a="1"/>
  <c r="AF77" i="58" s="1"/>
  <c r="AF87" i="58" a="1"/>
  <c r="AF87" i="58" s="1"/>
  <c r="AF76" i="58" a="1"/>
  <c r="AF76" i="58" s="1"/>
  <c r="AF88" i="58" a="1"/>
  <c r="AF88" i="58" s="1"/>
  <c r="S218" i="57"/>
  <c r="V82" i="57"/>
  <c r="W197" i="57"/>
  <c r="W196" i="57"/>
  <c r="V77" i="57"/>
  <c r="T215" i="57"/>
  <c r="T216" i="57"/>
  <c r="T217" i="57"/>
  <c r="W198" i="57"/>
  <c r="W199" i="57" s="1"/>
  <c r="AG8" i="58"/>
  <c r="AH7" i="58"/>
  <c r="AI4" i="58"/>
  <c r="AH67" i="58"/>
  <c r="AH104" i="58" s="1"/>
  <c r="AH6" i="58"/>
  <c r="AH12" i="58" a="1"/>
  <c r="AH12" i="58" s="1"/>
  <c r="AH11" i="58" s="1"/>
  <c r="AH5" i="58"/>
  <c r="AH22" i="58"/>
  <c r="AH25" i="58" s="1"/>
  <c r="N22" i="56"/>
  <c r="G24" i="56"/>
  <c r="F25" i="56"/>
  <c r="V23" i="56"/>
  <c r="X23" i="56"/>
  <c r="Z23" i="56" s="1"/>
  <c r="AB23" i="56" s="1"/>
  <c r="AC23" i="56" s="1"/>
  <c r="AD23" i="56"/>
  <c r="P23" i="56"/>
  <c r="R23" i="56" s="1"/>
  <c r="H23" i="56"/>
  <c r="I23" i="56" s="1"/>
  <c r="T22" i="56"/>
  <c r="V110" i="56"/>
  <c r="X196" i="57"/>
  <c r="X197" i="57"/>
  <c r="AD36" i="56"/>
  <c r="U232" i="57"/>
  <c r="V251" i="57"/>
  <c r="T259" i="57"/>
  <c r="U229" i="57"/>
  <c r="U230" i="57"/>
  <c r="V249" i="57"/>
  <c r="V250" i="57"/>
  <c r="U228" i="57"/>
  <c r="U217" i="57"/>
  <c r="V214" i="57"/>
  <c r="X198" i="57"/>
  <c r="U215" i="57"/>
  <c r="U216" i="57"/>
  <c r="U252" i="57"/>
  <c r="N36" i="56"/>
  <c r="W108" i="56"/>
  <c r="X106" i="56"/>
  <c r="W109" i="56"/>
  <c r="W107" i="56"/>
  <c r="M36" i="56"/>
  <c r="T231" i="57"/>
  <c r="AG88" i="58" l="1" a="1"/>
  <c r="AG88" i="58" s="1"/>
  <c r="AG87" i="58" a="1"/>
  <c r="AG87" i="58" s="1"/>
  <c r="AG77" i="58" a="1"/>
  <c r="AG77" i="58" s="1"/>
  <c r="AG76" i="58" a="1"/>
  <c r="AG76" i="58" s="1"/>
  <c r="J23" i="56"/>
  <c r="K23" i="56" s="1"/>
  <c r="Y23" i="56"/>
  <c r="AA23" i="56" s="1"/>
  <c r="Q23" i="56"/>
  <c r="S23" i="56" s="1"/>
  <c r="T218" i="57"/>
  <c r="G25" i="56"/>
  <c r="X25" i="56" s="1"/>
  <c r="Z25" i="56" s="1"/>
  <c r="AB25" i="56" s="1"/>
  <c r="AC25" i="56" s="1"/>
  <c r="AI12" i="58" a="1"/>
  <c r="AI12" i="58" s="1"/>
  <c r="AI11" i="58" s="1"/>
  <c r="AI22" i="58"/>
  <c r="AI25" i="58" s="1"/>
  <c r="AI5" i="58"/>
  <c r="AI7" i="58"/>
  <c r="AI67" i="58"/>
  <c r="AI104" i="58" s="1"/>
  <c r="AJ4" i="58"/>
  <c r="AI6" i="58"/>
  <c r="AH8" i="58"/>
  <c r="N23" i="56"/>
  <c r="X199" i="57"/>
  <c r="L22" i="56"/>
  <c r="U22" i="56"/>
  <c r="T23" i="56"/>
  <c r="P25" i="56"/>
  <c r="R25" i="56" s="1"/>
  <c r="V25" i="56"/>
  <c r="V24" i="56"/>
  <c r="N24" i="56" s="1"/>
  <c r="H24" i="56"/>
  <c r="I24" i="56" s="1"/>
  <c r="AD24" i="56"/>
  <c r="X24" i="56"/>
  <c r="Z24" i="56" s="1"/>
  <c r="AB24" i="56" s="1"/>
  <c r="AC24" i="56" s="1"/>
  <c r="P24" i="56"/>
  <c r="R24" i="56" s="1"/>
  <c r="U231" i="57"/>
  <c r="V252" i="57"/>
  <c r="U218" i="57"/>
  <c r="Y196" i="57"/>
  <c r="Y197" i="57"/>
  <c r="W214" i="57"/>
  <c r="V216" i="57"/>
  <c r="V215" i="57"/>
  <c r="V217" i="57"/>
  <c r="Y198" i="57"/>
  <c r="X109" i="56"/>
  <c r="X107" i="56"/>
  <c r="Y106" i="56"/>
  <c r="X108" i="56"/>
  <c r="W110" i="56"/>
  <c r="W249" i="57"/>
  <c r="U259" i="57"/>
  <c r="V228" i="57"/>
  <c r="W250" i="57"/>
  <c r="V230" i="57"/>
  <c r="W251" i="57"/>
  <c r="V232" i="57"/>
  <c r="V229" i="57"/>
  <c r="AI8" i="58" l="1"/>
  <c r="AH87" i="58" a="1"/>
  <c r="AH87" i="58" s="1"/>
  <c r="AH88" i="58" a="1"/>
  <c r="AH88" i="58" s="1"/>
  <c r="AH77" i="58" a="1"/>
  <c r="AH77" i="58" s="1"/>
  <c r="AH76" i="58" a="1"/>
  <c r="AH76" i="58" s="1"/>
  <c r="H25" i="56"/>
  <c r="I25" i="56" s="1"/>
  <c r="J24" i="56"/>
  <c r="K24" i="56" s="1"/>
  <c r="Q24" i="56"/>
  <c r="S24" i="56" s="1"/>
  <c r="Y24" i="56"/>
  <c r="AA24" i="56" s="1"/>
  <c r="AD25" i="56"/>
  <c r="M22" i="56"/>
  <c r="AJ67" i="58"/>
  <c r="AJ104" i="58" s="1"/>
  <c r="AJ22" i="58"/>
  <c r="AJ25" i="58" s="1"/>
  <c r="AJ7" i="58"/>
  <c r="AJ6" i="58"/>
  <c r="AJ12" i="58" a="1"/>
  <c r="AJ12" i="58" s="1"/>
  <c r="AJ11" i="58" s="1"/>
  <c r="AJ5" i="58"/>
  <c r="AJ8" i="58" s="1"/>
  <c r="AK4" i="58"/>
  <c r="N25" i="56"/>
  <c r="U23" i="56"/>
  <c r="M23" i="56" s="1"/>
  <c r="L23" i="56"/>
  <c r="T24" i="56"/>
  <c r="T25" i="56"/>
  <c r="X110" i="56"/>
  <c r="V218" i="57"/>
  <c r="Z197" i="57"/>
  <c r="Z196" i="57"/>
  <c r="W252" i="57"/>
  <c r="Z198" i="57"/>
  <c r="W215" i="57"/>
  <c r="W216" i="57"/>
  <c r="W217" i="57"/>
  <c r="X214" i="57"/>
  <c r="X251" i="57"/>
  <c r="V259" i="57"/>
  <c r="X250" i="57"/>
  <c r="W232" i="57"/>
  <c r="W229" i="57"/>
  <c r="X249" i="57"/>
  <c r="W230" i="57"/>
  <c r="W228" i="57"/>
  <c r="V231" i="57"/>
  <c r="Y107" i="56"/>
  <c r="Y108" i="56"/>
  <c r="Z106" i="56"/>
  <c r="Y109" i="56"/>
  <c r="Y199" i="57"/>
  <c r="AI88" i="58" l="1" a="1"/>
  <c r="AI88" i="58" s="1"/>
  <c r="AJ88" i="58" s="1" a="1"/>
  <c r="AJ88" i="58" s="1"/>
  <c r="AI77" i="58" a="1"/>
  <c r="AI77" i="58" s="1"/>
  <c r="AJ77" i="58" s="1" a="1"/>
  <c r="AJ77" i="58" s="1"/>
  <c r="AI87" i="58" a="1"/>
  <c r="AI87" i="58" s="1"/>
  <c r="AJ87" i="58" s="1" a="1"/>
  <c r="AJ87" i="58" s="1"/>
  <c r="AI76" i="58" a="1"/>
  <c r="AI76" i="58" s="1"/>
  <c r="AJ76" i="58" s="1" a="1"/>
  <c r="AJ76" i="58" s="1"/>
  <c r="J25" i="56"/>
  <c r="K25" i="56" s="1"/>
  <c r="Q25" i="56"/>
  <c r="S25" i="56" s="1"/>
  <c r="Y25" i="56"/>
  <c r="AA25" i="56" s="1"/>
  <c r="AK25" i="58"/>
  <c r="AK12" i="58" a="1"/>
  <c r="AK12" i="58" s="1"/>
  <c r="AK11" i="58" s="1"/>
  <c r="AL4" i="58"/>
  <c r="AK67" i="58"/>
  <c r="AK104" i="58" s="1"/>
  <c r="AK6" i="58"/>
  <c r="AK22" i="58"/>
  <c r="AK7" i="58"/>
  <c r="AK5" i="58"/>
  <c r="AK8" i="58" s="1"/>
  <c r="U24" i="56"/>
  <c r="M24" i="56" s="1"/>
  <c r="L24" i="56"/>
  <c r="U25" i="56"/>
  <c r="M25" i="56" s="1"/>
  <c r="L25" i="56"/>
  <c r="W231" i="57"/>
  <c r="AA196" i="57"/>
  <c r="AA197" i="57"/>
  <c r="X252" i="57"/>
  <c r="X216" i="57"/>
  <c r="X217" i="57"/>
  <c r="X215" i="57"/>
  <c r="Y214" i="57"/>
  <c r="AA198" i="57"/>
  <c r="Z199" i="57"/>
  <c r="Y110" i="56"/>
  <c r="Y249" i="57"/>
  <c r="W259" i="57"/>
  <c r="Y250" i="57"/>
  <c r="Y251" i="57"/>
  <c r="X230" i="57"/>
  <c r="X229" i="57"/>
  <c r="X228" i="57"/>
  <c r="X232" i="57"/>
  <c r="W218" i="57"/>
  <c r="Z108" i="56"/>
  <c r="Z107" i="56"/>
  <c r="AA106" i="56"/>
  <c r="Z109" i="56"/>
  <c r="AK88" i="58" l="1" a="1"/>
  <c r="AK88" i="58" s="1"/>
  <c r="AK87" i="58" a="1"/>
  <c r="AK87" i="58" s="1"/>
  <c r="AK77" i="58" a="1"/>
  <c r="AK77" i="58" s="1"/>
  <c r="AK76" i="58" a="1"/>
  <c r="AK76" i="58" s="1"/>
  <c r="AL25" i="58"/>
  <c r="AL67" i="58"/>
  <c r="AL104" i="58" s="1"/>
  <c r="AL22" i="58"/>
  <c r="AL6" i="58"/>
  <c r="AL12" i="58" a="1"/>
  <c r="AL12" i="58" s="1"/>
  <c r="AL11" i="58" s="1"/>
  <c r="AL5" i="58"/>
  <c r="AM4" i="58"/>
  <c r="AL7" i="58"/>
  <c r="Z110" i="56"/>
  <c r="X231" i="57"/>
  <c r="X218" i="57"/>
  <c r="AB196" i="57"/>
  <c r="AB197" i="57"/>
  <c r="AA199" i="57"/>
  <c r="Y215" i="57"/>
  <c r="Y217" i="57"/>
  <c r="Z214" i="57"/>
  <c r="AB198" i="57"/>
  <c r="Y216" i="57"/>
  <c r="Y252" i="57"/>
  <c r="Z251" i="57"/>
  <c r="Z250" i="57"/>
  <c r="X259" i="57"/>
  <c r="Y228" i="57"/>
  <c r="Y230" i="57"/>
  <c r="Y229" i="57"/>
  <c r="Y232" i="57"/>
  <c r="Z249" i="57"/>
  <c r="AA107" i="56"/>
  <c r="AA108" i="56"/>
  <c r="AB106" i="56"/>
  <c r="AA109" i="56"/>
  <c r="AB199" i="57" l="1"/>
  <c r="AM25" i="58"/>
  <c r="AM67" i="58"/>
  <c r="AM104" i="58" s="1"/>
  <c r="AM12" i="58" a="1"/>
  <c r="AM12" i="58" s="1"/>
  <c r="AM11" i="58" s="1"/>
  <c r="AM6" i="58"/>
  <c r="AM5" i="58"/>
  <c r="AN4" i="58"/>
  <c r="AM22" i="58"/>
  <c r="AM7" i="58"/>
  <c r="AL8" i="58"/>
  <c r="Y218" i="57"/>
  <c r="AC197" i="57"/>
  <c r="AC196" i="57"/>
  <c r="Y231" i="57"/>
  <c r="Z217" i="57"/>
  <c r="Z216" i="57"/>
  <c r="AA214" i="57"/>
  <c r="Z215" i="57"/>
  <c r="AC198" i="57"/>
  <c r="AB109" i="56"/>
  <c r="AC106" i="56"/>
  <c r="AB107" i="56"/>
  <c r="AB108" i="56"/>
  <c r="AA110" i="56"/>
  <c r="Z252" i="57"/>
  <c r="AA249" i="57"/>
  <c r="Y259" i="57"/>
  <c r="AA250" i="57"/>
  <c r="Z230" i="57"/>
  <c r="Z228" i="57"/>
  <c r="Z232" i="57"/>
  <c r="Z229" i="57"/>
  <c r="AA251" i="57"/>
  <c r="AL88" i="58" l="1" a="1"/>
  <c r="AL88" i="58" s="1"/>
  <c r="AL87" i="58" a="1"/>
  <c r="AL87" i="58" s="1"/>
  <c r="AL77" i="58" a="1"/>
  <c r="AL77" i="58" s="1"/>
  <c r="AL76" i="58" a="1"/>
  <c r="AL76" i="58" s="1"/>
  <c r="AM8" i="58"/>
  <c r="AN25" i="58"/>
  <c r="AN67" i="58"/>
  <c r="AN104" i="58" s="1"/>
  <c r="AN22" i="58"/>
  <c r="AN6" i="58"/>
  <c r="AN5" i="58"/>
  <c r="AN12" i="58" a="1"/>
  <c r="AN12" i="58" s="1"/>
  <c r="AN11" i="58" s="1"/>
  <c r="AO4" i="58"/>
  <c r="AN7" i="58"/>
  <c r="AC199" i="57"/>
  <c r="Z218" i="57"/>
  <c r="AD197" i="57"/>
  <c r="AD196" i="57"/>
  <c r="Z231" i="57"/>
  <c r="AB110" i="56"/>
  <c r="AC109" i="56"/>
  <c r="AC108" i="56"/>
  <c r="AD106" i="56"/>
  <c r="AC107" i="56"/>
  <c r="AA216" i="57"/>
  <c r="AD198" i="57"/>
  <c r="AA217" i="57"/>
  <c r="AB214" i="57"/>
  <c r="AA215" i="57"/>
  <c r="AB249" i="57"/>
  <c r="AA228" i="57"/>
  <c r="AA232" i="57"/>
  <c r="AA229" i="57"/>
  <c r="AB250" i="57"/>
  <c r="AA230" i="57"/>
  <c r="AB251" i="57"/>
  <c r="Z259" i="57"/>
  <c r="AA252" i="57"/>
  <c r="AM88" i="58" l="1" a="1"/>
  <c r="AM88" i="58" s="1"/>
  <c r="AM87" i="58" a="1"/>
  <c r="AM87" i="58" s="1"/>
  <c r="AM77" i="58" a="1"/>
  <c r="AM77" i="58" s="1"/>
  <c r="AM76" i="58" a="1"/>
  <c r="AM76" i="58" s="1"/>
  <c r="AO67" i="58"/>
  <c r="AO104" i="58" s="1"/>
  <c r="AO5" i="58"/>
  <c r="AO7" i="58"/>
  <c r="AO22" i="58"/>
  <c r="AO25" i="58" s="1"/>
  <c r="AO6" i="58"/>
  <c r="AO12" i="58" a="1"/>
  <c r="AO12" i="58" s="1"/>
  <c r="AO11" i="58" s="1"/>
  <c r="AP4" i="58"/>
  <c r="AN8" i="58"/>
  <c r="AE196" i="57"/>
  <c r="AE197" i="57"/>
  <c r="AB252" i="57"/>
  <c r="AA218" i="57"/>
  <c r="AD199" i="57"/>
  <c r="AC110" i="56"/>
  <c r="AA259" i="57"/>
  <c r="AC250" i="57"/>
  <c r="AC251" i="57"/>
  <c r="AB230" i="57"/>
  <c r="AB228" i="57"/>
  <c r="AB232" i="57"/>
  <c r="AB229" i="57"/>
  <c r="AC249" i="57"/>
  <c r="AB215" i="57"/>
  <c r="AB217" i="57"/>
  <c r="AC214" i="57"/>
  <c r="AE198" i="57"/>
  <c r="AB216" i="57"/>
  <c r="AA231" i="57"/>
  <c r="AE106" i="56"/>
  <c r="AD109" i="56"/>
  <c r="AD108" i="56"/>
  <c r="AD107" i="56"/>
  <c r="AN88" i="58" l="1" a="1"/>
  <c r="AN88" i="58" s="1"/>
  <c r="AN87" i="58" a="1"/>
  <c r="AN87" i="58" s="1"/>
  <c r="AN76" i="58" a="1"/>
  <c r="AN76" i="58" s="1"/>
  <c r="AN77" i="58" a="1"/>
  <c r="AN77" i="58" s="1"/>
  <c r="AP67" i="58"/>
  <c r="AP104" i="58" s="1"/>
  <c r="AP12" i="58" a="1"/>
  <c r="AP12" i="58" s="1"/>
  <c r="AP11" i="58" s="1"/>
  <c r="AP22" i="58"/>
  <c r="AP25" i="58" s="1"/>
  <c r="AP5" i="58"/>
  <c r="AP7" i="58"/>
  <c r="AQ4" i="58"/>
  <c r="AP6" i="58"/>
  <c r="AO8" i="58"/>
  <c r="AD110" i="56"/>
  <c r="AB231" i="57"/>
  <c r="AF196" i="57"/>
  <c r="AF197" i="57"/>
  <c r="AB218" i="57"/>
  <c r="AC215" i="57"/>
  <c r="AC217" i="57"/>
  <c r="AD214" i="57"/>
  <c r="AF198" i="57"/>
  <c r="AC216" i="57"/>
  <c r="AC252" i="57"/>
  <c r="AD251" i="57"/>
  <c r="AD249" i="57"/>
  <c r="AD250" i="57"/>
  <c r="AC232" i="57"/>
  <c r="AC229" i="57"/>
  <c r="AC228" i="57"/>
  <c r="AB259" i="57"/>
  <c r="AC230" i="57"/>
  <c r="AE107" i="56"/>
  <c r="AF106" i="56"/>
  <c r="AE108" i="56"/>
  <c r="AE109" i="56"/>
  <c r="AE199" i="57"/>
  <c r="AO87" i="58" l="1" a="1"/>
  <c r="AO87" i="58" s="1"/>
  <c r="AO76" i="58" a="1"/>
  <c r="AO76" i="58" s="1"/>
  <c r="AO77" i="58" a="1"/>
  <c r="AO77" i="58" s="1"/>
  <c r="AO88" i="58" a="1"/>
  <c r="AO88" i="58" s="1"/>
  <c r="AP8" i="58"/>
  <c r="AQ67" i="58"/>
  <c r="AQ104" i="58" s="1"/>
  <c r="AQ22" i="58"/>
  <c r="AQ25" i="58" s="1"/>
  <c r="AQ12" i="58" a="1"/>
  <c r="AQ12" i="58" s="1"/>
  <c r="AQ11" i="58" s="1"/>
  <c r="AQ7" i="58"/>
  <c r="AQ5" i="58"/>
  <c r="AR4" i="58"/>
  <c r="AQ6" i="58"/>
  <c r="AC231" i="57"/>
  <c r="AG196" i="57"/>
  <c r="AG197" i="57"/>
  <c r="AD252" i="57"/>
  <c r="AC259" i="57"/>
  <c r="AE250" i="57"/>
  <c r="AE251" i="57"/>
  <c r="AE249" i="57"/>
  <c r="AD230" i="57"/>
  <c r="AD228" i="57"/>
  <c r="AD232" i="57"/>
  <c r="AD229" i="57"/>
  <c r="AF107" i="56"/>
  <c r="AG106" i="56"/>
  <c r="AF109" i="56"/>
  <c r="AF108" i="56"/>
  <c r="AD217" i="57"/>
  <c r="AE214" i="57"/>
  <c r="AD216" i="57"/>
  <c r="AG198" i="57"/>
  <c r="AD215" i="57"/>
  <c r="AE110" i="56"/>
  <c r="AF199" i="57"/>
  <c r="AC218" i="57"/>
  <c r="AP88" i="58" l="1" a="1"/>
  <c r="AP88" i="58" s="1"/>
  <c r="AP77" i="58" a="1"/>
  <c r="AP77" i="58" s="1"/>
  <c r="AP87" i="58" a="1"/>
  <c r="AP87" i="58" s="1"/>
  <c r="AP76" i="58" a="1"/>
  <c r="AP76" i="58" s="1"/>
  <c r="AR7" i="58"/>
  <c r="AR67" i="58"/>
  <c r="AR104" i="58" s="1"/>
  <c r="AR22" i="58"/>
  <c r="AR25" i="58" s="1"/>
  <c r="AR5" i="58"/>
  <c r="AR12" i="58" a="1"/>
  <c r="AR12" i="58" s="1"/>
  <c r="AR11" i="58" s="1"/>
  <c r="AS4" i="58"/>
  <c r="AR6" i="58"/>
  <c r="AQ8" i="58"/>
  <c r="AE252" i="57"/>
  <c r="AH197" i="57"/>
  <c r="AH196" i="57"/>
  <c r="AF251" i="57"/>
  <c r="AF249" i="57"/>
  <c r="AE232" i="57"/>
  <c r="AE229" i="57"/>
  <c r="AD259" i="57"/>
  <c r="AF250" i="57"/>
  <c r="AE230" i="57"/>
  <c r="AE228" i="57"/>
  <c r="AD231" i="57"/>
  <c r="AG109" i="56"/>
  <c r="AH106" i="56"/>
  <c r="AG108" i="56"/>
  <c r="AG107" i="56"/>
  <c r="AF110" i="56"/>
  <c r="AD218" i="57"/>
  <c r="AE216" i="57"/>
  <c r="AH198" i="57"/>
  <c r="AE215" i="57"/>
  <c r="AF214" i="57"/>
  <c r="AE217" i="57"/>
  <c r="AG199" i="57"/>
  <c r="AQ88" i="58" l="1" a="1"/>
  <c r="AQ88" i="58" s="1"/>
  <c r="AQ77" i="58" a="1"/>
  <c r="AQ77" i="58" s="1"/>
  <c r="AQ76" i="58" a="1"/>
  <c r="AQ76" i="58" s="1"/>
  <c r="AQ87" i="58" a="1"/>
  <c r="AQ87" i="58" s="1"/>
  <c r="AH199" i="57"/>
  <c r="AS67" i="58"/>
  <c r="AS104" i="58" s="1"/>
  <c r="AS5" i="58"/>
  <c r="AS12" i="58" a="1"/>
  <c r="AS12" i="58" s="1"/>
  <c r="AS11" i="58" s="1"/>
  <c r="AS6" i="58"/>
  <c r="AS7" i="58"/>
  <c r="AS22" i="58"/>
  <c r="AS25" i="58" s="1"/>
  <c r="AT4" i="58"/>
  <c r="AR8" i="58"/>
  <c r="AE218" i="57"/>
  <c r="AE231" i="57"/>
  <c r="AI196" i="57"/>
  <c r="AI197" i="57"/>
  <c r="AF217" i="57"/>
  <c r="AF216" i="57"/>
  <c r="AF215" i="57"/>
  <c r="AG214" i="57"/>
  <c r="AI198" i="57"/>
  <c r="AF252" i="57"/>
  <c r="AG110" i="56"/>
  <c r="AG250" i="57"/>
  <c r="AG249" i="57"/>
  <c r="AF228" i="57"/>
  <c r="AE259" i="57"/>
  <c r="AG251" i="57"/>
  <c r="AF232" i="57"/>
  <c r="AF229" i="57"/>
  <c r="AF230" i="57"/>
  <c r="AH108" i="56"/>
  <c r="AI106" i="56"/>
  <c r="AH109" i="56"/>
  <c r="AH107" i="56"/>
  <c r="AR77" i="58" l="1" a="1"/>
  <c r="AR77" i="58" s="1"/>
  <c r="AR88" i="58" a="1"/>
  <c r="AR88" i="58" s="1"/>
  <c r="AR87" i="58" a="1"/>
  <c r="AR87" i="58" s="1"/>
  <c r="AR76" i="58" a="1"/>
  <c r="AR76" i="58" s="1"/>
  <c r="AS8" i="58"/>
  <c r="AT22" i="58"/>
  <c r="AT25" i="58" s="1"/>
  <c r="AT12" i="58" a="1"/>
  <c r="AT12" i="58" s="1"/>
  <c r="AT11" i="58" s="1"/>
  <c r="AT7" i="58"/>
  <c r="AU4" i="58"/>
  <c r="AT6" i="58"/>
  <c r="AT67" i="58"/>
  <c r="AT104" i="58" s="1"/>
  <c r="AT5" i="58"/>
  <c r="AH110" i="56"/>
  <c r="AF218" i="57"/>
  <c r="AJ196" i="57"/>
  <c r="AJ197" i="57"/>
  <c r="AG232" i="57"/>
  <c r="AH251" i="57"/>
  <c r="AF259" i="57"/>
  <c r="AH250" i="57"/>
  <c r="AH249" i="57"/>
  <c r="AG229" i="57"/>
  <c r="AG230" i="57"/>
  <c r="AG228" i="57"/>
  <c r="AF231" i="57"/>
  <c r="AH214" i="57"/>
  <c r="AG216" i="57"/>
  <c r="AJ198" i="57"/>
  <c r="AG215" i="57"/>
  <c r="AG217" i="57"/>
  <c r="AG252" i="57"/>
  <c r="AI199" i="57"/>
  <c r="AI107" i="56"/>
  <c r="AI108" i="56"/>
  <c r="AJ106" i="56"/>
  <c r="AI109" i="56"/>
  <c r="AS88" i="58" l="1" a="1"/>
  <c r="AS88" i="58" s="1"/>
  <c r="AS87" i="58" a="1"/>
  <c r="AS87" i="58" s="1"/>
  <c r="AS76" i="58" a="1"/>
  <c r="AS76" i="58" s="1"/>
  <c r="AS77" i="58" a="1"/>
  <c r="AS77" i="58" s="1"/>
  <c r="AU12" i="58" a="1"/>
  <c r="AU12" i="58" s="1"/>
  <c r="AU11" i="58" s="1"/>
  <c r="AU5" i="58"/>
  <c r="AU7" i="58"/>
  <c r="AV4" i="58"/>
  <c r="AU67" i="58"/>
  <c r="AU104" i="58" s="1"/>
  <c r="AU22" i="58"/>
  <c r="AU25" i="58" s="1"/>
  <c r="AU6" i="58"/>
  <c r="AT8" i="58"/>
  <c r="AI110" i="56"/>
  <c r="AJ199" i="57"/>
  <c r="AG231" i="57"/>
  <c r="AK196" i="57"/>
  <c r="AK197" i="57"/>
  <c r="AI214" i="57"/>
  <c r="AH217" i="57"/>
  <c r="AH215" i="57"/>
  <c r="AH216" i="57"/>
  <c r="AK198" i="57"/>
  <c r="AJ109" i="56"/>
  <c r="AJ108" i="56"/>
  <c r="AK106" i="56"/>
  <c r="AJ107" i="56"/>
  <c r="AH252" i="57"/>
  <c r="AG218" i="57"/>
  <c r="AI249" i="57"/>
  <c r="AG259" i="57"/>
  <c r="AH228" i="57"/>
  <c r="AH232" i="57"/>
  <c r="AI251" i="57"/>
  <c r="AH230" i="57"/>
  <c r="AI250" i="57"/>
  <c r="AH229" i="57"/>
  <c r="AU8" i="58" l="1"/>
  <c r="AT88" i="58" a="1"/>
  <c r="AT88" i="58" s="1"/>
  <c r="AT76" i="58" a="1"/>
  <c r="AT76" i="58" s="1"/>
  <c r="AT87" i="58" a="1"/>
  <c r="AT87" i="58" s="1"/>
  <c r="AT77" i="58" a="1"/>
  <c r="AT77" i="58" s="1"/>
  <c r="AV7" i="58"/>
  <c r="AV6" i="58"/>
  <c r="AV67" i="58"/>
  <c r="AV104" i="58" s="1"/>
  <c r="AV22" i="58"/>
  <c r="AV25" i="58" s="1"/>
  <c r="AV12" i="58" a="1"/>
  <c r="AV12" i="58" s="1"/>
  <c r="AV11" i="58" s="1"/>
  <c r="AV5" i="58"/>
  <c r="AH218" i="57"/>
  <c r="AL197" i="57"/>
  <c r="AL196" i="57"/>
  <c r="AI232" i="57"/>
  <c r="AJ251" i="57"/>
  <c r="AH259" i="57"/>
  <c r="AJ250" i="57"/>
  <c r="AI229" i="57"/>
  <c r="AI230" i="57"/>
  <c r="AJ249" i="57"/>
  <c r="AI228" i="57"/>
  <c r="AH231" i="57"/>
  <c r="AJ110" i="56"/>
  <c r="AK107" i="56"/>
  <c r="AK109" i="56"/>
  <c r="AL106" i="56"/>
  <c r="AK108" i="56"/>
  <c r="AK199" i="57"/>
  <c r="AI252" i="57"/>
  <c r="AI217" i="57"/>
  <c r="AI216" i="57"/>
  <c r="AL198" i="57"/>
  <c r="AI215" i="57"/>
  <c r="AJ214" i="57"/>
  <c r="AU77" i="58" l="1" a="1"/>
  <c r="AU77" i="58" s="1"/>
  <c r="AU76" i="58" a="1"/>
  <c r="AU76" i="58" s="1"/>
  <c r="AU88" i="58" a="1"/>
  <c r="AU88" i="58" s="1"/>
  <c r="AU87" i="58" a="1"/>
  <c r="AU87" i="58" s="1"/>
  <c r="AV8" i="58"/>
  <c r="AR10" i="58"/>
  <c r="AK110" i="56"/>
  <c r="AI218" i="57"/>
  <c r="AM196" i="57"/>
  <c r="AM197" i="57"/>
  <c r="AJ216" i="57"/>
  <c r="AM198" i="57"/>
  <c r="AK214" i="57"/>
  <c r="AJ215" i="57"/>
  <c r="AJ217" i="57"/>
  <c r="AL199" i="57"/>
  <c r="AL108" i="56"/>
  <c r="AL109" i="56"/>
  <c r="AL107" i="56"/>
  <c r="AM106" i="56"/>
  <c r="AK249" i="57"/>
  <c r="AI259" i="57"/>
  <c r="AK250" i="57"/>
  <c r="AJ230" i="57"/>
  <c r="AK251" i="57"/>
  <c r="AJ229" i="57"/>
  <c r="AJ232" i="57"/>
  <c r="AJ228" i="57"/>
  <c r="AI231" i="57"/>
  <c r="AJ252" i="57"/>
  <c r="AV87" i="58" l="1" a="1"/>
  <c r="AV87" i="58" s="1"/>
  <c r="AV88" i="58" a="1"/>
  <c r="AV88" i="58" s="1"/>
  <c r="AV76" i="58" a="1"/>
  <c r="AV76" i="58" s="1"/>
  <c r="AV77" i="58" a="1"/>
  <c r="AV77" i="58" s="1"/>
  <c r="AS10" i="58"/>
  <c r="AM199" i="57"/>
  <c r="AN197" i="57"/>
  <c r="AN196" i="57"/>
  <c r="AK252" i="57"/>
  <c r="AM107" i="56"/>
  <c r="AM108" i="56"/>
  <c r="AN106" i="56"/>
  <c r="AM109" i="56"/>
  <c r="AL110" i="56"/>
  <c r="AJ231" i="57"/>
  <c r="AL251" i="57"/>
  <c r="AL250" i="57"/>
  <c r="AK232" i="57"/>
  <c r="AJ259" i="57"/>
  <c r="AK228" i="57"/>
  <c r="AL249" i="57"/>
  <c r="AK229" i="57"/>
  <c r="AK230" i="57"/>
  <c r="AJ218" i="57"/>
  <c r="AK215" i="57"/>
  <c r="AL214" i="57"/>
  <c r="AK217" i="57"/>
  <c r="AN198" i="57"/>
  <c r="AK216" i="57"/>
  <c r="AT10" i="58" l="1"/>
  <c r="AN199" i="57"/>
  <c r="AM110" i="56"/>
  <c r="AO197" i="57"/>
  <c r="AO196" i="57"/>
  <c r="AK231" i="57"/>
  <c r="AL217" i="57"/>
  <c r="AL216" i="57"/>
  <c r="AL215" i="57"/>
  <c r="AO198" i="57"/>
  <c r="AN108" i="56"/>
  <c r="AO106" i="56"/>
  <c r="AN109" i="56"/>
  <c r="AN107" i="56"/>
  <c r="AL252" i="57"/>
  <c r="AK218" i="57"/>
  <c r="AM249" i="57"/>
  <c r="AK259" i="57"/>
  <c r="AM250" i="57"/>
  <c r="AL230" i="57"/>
  <c r="AM251" i="57"/>
  <c r="AL228" i="57"/>
  <c r="AL229" i="57"/>
  <c r="AL232" i="57"/>
  <c r="AU10" i="58" l="1"/>
  <c r="AO199" i="57"/>
  <c r="AL218" i="57"/>
  <c r="AM252" i="57"/>
  <c r="AN110" i="56"/>
  <c r="AL259" i="57"/>
  <c r="AM228" i="57"/>
  <c r="AM229" i="57"/>
  <c r="AN249" i="57"/>
  <c r="AM230" i="57"/>
  <c r="AM232" i="57"/>
  <c r="AN251" i="57"/>
  <c r="AN250" i="57"/>
  <c r="AO109" i="56"/>
  <c r="AO108" i="56"/>
  <c r="AP106" i="56"/>
  <c r="AO107" i="56"/>
  <c r="AL231" i="57"/>
  <c r="AO110" i="56" l="1"/>
  <c r="AM231" i="57"/>
  <c r="AP107" i="56"/>
  <c r="AQ106" i="56"/>
  <c r="AP108" i="56"/>
  <c r="AP109" i="56"/>
  <c r="AM259" i="57"/>
  <c r="AO250" i="57"/>
  <c r="AO251" i="57"/>
  <c r="AN230" i="57"/>
  <c r="AN228" i="57"/>
  <c r="AN229" i="57"/>
  <c r="AO249" i="57"/>
  <c r="AN232" i="57"/>
  <c r="AN252" i="57"/>
  <c r="AP110" i="56" l="1"/>
  <c r="AO252" i="57"/>
  <c r="AN231" i="57"/>
  <c r="AP251" i="57"/>
  <c r="AP249" i="57"/>
  <c r="AO229" i="57"/>
  <c r="AO232" i="57"/>
  <c r="AP250" i="57"/>
  <c r="AO228" i="57"/>
  <c r="AN259" i="57"/>
  <c r="AO230" i="57"/>
  <c r="AQ108" i="56"/>
  <c r="AR106" i="56"/>
  <c r="AQ109" i="56"/>
  <c r="AQ107" i="56"/>
  <c r="AQ110" i="56" l="1"/>
  <c r="AP252" i="57"/>
  <c r="AO231" i="57"/>
  <c r="AR107" i="56"/>
  <c r="AR108" i="56"/>
  <c r="AR109" i="56"/>
  <c r="AS106" i="56"/>
  <c r="AO259" i="57"/>
  <c r="AQ250" i="57"/>
  <c r="AQ251" i="57"/>
  <c r="AQ249" i="57"/>
  <c r="AP230" i="57"/>
  <c r="AP228" i="57"/>
  <c r="AP232" i="57"/>
  <c r="AP229" i="57"/>
  <c r="AR110" i="56" l="1"/>
  <c r="AP231" i="57"/>
  <c r="AQ252" i="57"/>
  <c r="AS109" i="56"/>
  <c r="AT106" i="56"/>
  <c r="AS107" i="56"/>
  <c r="AS108" i="56"/>
  <c r="AR251" i="57"/>
  <c r="AR249" i="57"/>
  <c r="AP259" i="57"/>
  <c r="AQ229" i="57"/>
  <c r="AQ232" i="57"/>
  <c r="AR250" i="57"/>
  <c r="AQ228" i="57"/>
  <c r="AQ230" i="57"/>
  <c r="AQ231" i="57" l="1"/>
  <c r="AR228" i="57"/>
  <c r="AQ259" i="57"/>
  <c r="AR232" i="57"/>
  <c r="AR230" i="57"/>
  <c r="AR229" i="57"/>
  <c r="AR252" i="57"/>
  <c r="AS110" i="56"/>
  <c r="AT108" i="56"/>
  <c r="AU106" i="56"/>
  <c r="AT109" i="56"/>
  <c r="AT107" i="56"/>
  <c r="AT110" i="56" l="1"/>
  <c r="AU109" i="56"/>
  <c r="AU107" i="56"/>
  <c r="AU108" i="56"/>
  <c r="AV106" i="56"/>
  <c r="AS232" i="57"/>
  <c r="AR259" i="57"/>
  <c r="AS229" i="57"/>
  <c r="AS230" i="57"/>
  <c r="AS228" i="57"/>
  <c r="AS250" i="57"/>
  <c r="AS249" i="57"/>
  <c r="AS251" i="57"/>
  <c r="AR231" i="57"/>
  <c r="AS231" i="57" l="1"/>
  <c r="AT251" i="57"/>
  <c r="AS259" i="57"/>
  <c r="AT250" i="57"/>
  <c r="AT249" i="57"/>
  <c r="AS252" i="57"/>
  <c r="AT228" i="57"/>
  <c r="AT232" i="57"/>
  <c r="AT230" i="57"/>
  <c r="AT229" i="57"/>
  <c r="AV109" i="56"/>
  <c r="AW106" i="56"/>
  <c r="AV107" i="56"/>
  <c r="AV108" i="56"/>
  <c r="AU110" i="56"/>
  <c r="AT252" i="57" l="1"/>
  <c r="AU249" i="57"/>
  <c r="AT259" i="57"/>
  <c r="AU250" i="57"/>
  <c r="AU251" i="57"/>
  <c r="AV110" i="56"/>
  <c r="AW107" i="56"/>
  <c r="AX106" i="56"/>
  <c r="AW109" i="56"/>
  <c r="AW108" i="56"/>
  <c r="AU232" i="57"/>
  <c r="AU229" i="57"/>
  <c r="AU230" i="57"/>
  <c r="AU228" i="57"/>
  <c r="AT231" i="57"/>
  <c r="AU231" i="57" l="1"/>
  <c r="AV251" i="57"/>
  <c r="AU259" i="57"/>
  <c r="AV250" i="57"/>
  <c r="AV249" i="57"/>
  <c r="AU252" i="57"/>
  <c r="AV230" i="57"/>
  <c r="AV232" i="57"/>
  <c r="AV229" i="57"/>
  <c r="AV228" i="57"/>
  <c r="AX108" i="56"/>
  <c r="AX107" i="56"/>
  <c r="AX109" i="56"/>
  <c r="AY106" i="56"/>
  <c r="AW110" i="56"/>
  <c r="AV252" i="57" l="1"/>
  <c r="AW228" i="57"/>
  <c r="AW229" i="57"/>
  <c r="AW230" i="57"/>
  <c r="AW249" i="57"/>
  <c r="AW250" i="57"/>
  <c r="AV259" i="57"/>
  <c r="AW251" i="57"/>
  <c r="AY107" i="56"/>
  <c r="AY108" i="56"/>
  <c r="AY109" i="56"/>
  <c r="AX110" i="56"/>
  <c r="AV231" i="57"/>
  <c r="AW231" i="57" l="1"/>
  <c r="AW252" i="57"/>
  <c r="AY110" i="56"/>
  <c r="AX251" i="57"/>
  <c r="AW259" i="57"/>
  <c r="AX250" i="57"/>
  <c r="AX249" i="57"/>
  <c r="AX252" i="57" l="1"/>
  <c r="AY249" i="57"/>
  <c r="AY250" i="57"/>
  <c r="AX259" i="57"/>
  <c r="AY251" i="57"/>
  <c r="AY259" i="57" l="1"/>
  <c r="AZ251" i="57"/>
  <c r="AZ249" i="57"/>
  <c r="AZ250" i="57"/>
  <c r="AY252" i="57"/>
  <c r="BA250" i="57" l="1"/>
  <c r="BA251" i="57"/>
  <c r="AZ259" i="57"/>
  <c r="BA249" i="57"/>
  <c r="AZ252" i="57"/>
  <c r="BA252" i="57" l="1"/>
  <c r="BA259" i="57"/>
  <c r="BB251" i="57"/>
  <c r="BB249" i="57"/>
  <c r="BB250" i="57"/>
  <c r="BB252" i="57" l="1"/>
  <c r="BC250" i="57"/>
  <c r="BC251" i="57"/>
  <c r="BC249" i="57"/>
  <c r="BB259" i="57"/>
  <c r="BC252" i="57" l="1"/>
  <c r="BD251" i="57"/>
  <c r="BD249" i="57"/>
  <c r="BD250" i="57"/>
  <c r="BD252" i="57" l="1"/>
  <c r="N241" i="55"/>
  <c r="M233" i="55"/>
  <c r="B211" i="55"/>
  <c r="N200" i="55"/>
  <c r="M198" i="55"/>
  <c r="N197" i="55"/>
  <c r="M196" i="55"/>
  <c r="M194" i="55"/>
  <c r="N193" i="55"/>
  <c r="M156" i="55"/>
  <c r="M155" i="55"/>
  <c r="M140" i="55"/>
  <c r="B91" i="55"/>
  <c r="AP69" i="55"/>
  <c r="AO69" i="55"/>
  <c r="AN69" i="55"/>
  <c r="AM69" i="55"/>
  <c r="AL69" i="55"/>
  <c r="AK69" i="55"/>
  <c r="AJ69" i="55"/>
  <c r="AI69" i="55"/>
  <c r="AH69" i="55"/>
  <c r="AG69" i="55"/>
  <c r="AF69" i="55"/>
  <c r="AE69" i="55"/>
  <c r="AD69" i="55"/>
  <c r="AC69" i="55"/>
  <c r="AB69" i="55"/>
  <c r="AA69" i="55"/>
  <c r="Z69" i="55"/>
  <c r="Y69" i="55"/>
  <c r="X69" i="55"/>
  <c r="W69" i="55"/>
  <c r="V69" i="55"/>
  <c r="U69" i="55"/>
  <c r="T69" i="55"/>
  <c r="S69" i="55"/>
  <c r="R69" i="55"/>
  <c r="Q69" i="55"/>
  <c r="P69" i="55"/>
  <c r="O69" i="55"/>
  <c r="N69" i="55"/>
  <c r="M69" i="55"/>
  <c r="L69" i="55"/>
  <c r="K69" i="55"/>
  <c r="J69" i="55"/>
  <c r="P67" i="55"/>
  <c r="G41" i="55"/>
  <c r="D38" i="55"/>
  <c r="D37" i="55"/>
  <c r="D36" i="55"/>
  <c r="D35" i="55"/>
  <c r="D34" i="55"/>
  <c r="D33" i="55"/>
  <c r="D32" i="55"/>
  <c r="D31" i="55"/>
  <c r="D30" i="55"/>
  <c r="D29" i="55"/>
  <c r="D28" i="55"/>
  <c r="D27" i="55"/>
  <c r="D26" i="55"/>
  <c r="A38" i="55"/>
  <c r="C53" i="55"/>
  <c r="D21" i="55"/>
  <c r="A37" i="55" s="1"/>
  <c r="A35" i="55"/>
  <c r="D16" i="55"/>
  <c r="A32" i="55" s="1"/>
  <c r="C16" i="55"/>
  <c r="A30" i="55"/>
  <c r="C45" i="55"/>
  <c r="A29" i="55"/>
  <c r="C44" i="55"/>
  <c r="A28" i="55"/>
  <c r="C43" i="55"/>
  <c r="A27" i="55"/>
  <c r="C42" i="55"/>
  <c r="A26" i="55"/>
  <c r="C41" i="55"/>
  <c r="AP5" i="55"/>
  <c r="AO5" i="55"/>
  <c r="AN5" i="55"/>
  <c r="AM5" i="55"/>
  <c r="AL5" i="55"/>
  <c r="AK5" i="55"/>
  <c r="AJ5" i="55"/>
  <c r="AI5" i="55"/>
  <c r="AH5" i="55"/>
  <c r="AG5" i="55"/>
  <c r="AF5" i="55"/>
  <c r="AE5" i="55"/>
  <c r="AD5" i="55"/>
  <c r="AC5" i="55"/>
  <c r="AB5" i="55"/>
  <c r="AA5" i="55"/>
  <c r="Z5" i="55"/>
  <c r="Y5" i="55"/>
  <c r="X5" i="55"/>
  <c r="W5" i="55"/>
  <c r="V5" i="55"/>
  <c r="U5" i="55"/>
  <c r="T5" i="55"/>
  <c r="S5" i="55"/>
  <c r="R5" i="55"/>
  <c r="Q5" i="55"/>
  <c r="P5" i="55"/>
  <c r="O5" i="55"/>
  <c r="N5" i="55"/>
  <c r="M5" i="55"/>
  <c r="L5" i="55"/>
  <c r="K5" i="55"/>
  <c r="J5" i="55"/>
  <c r="AG6" i="55"/>
  <c r="AP4" i="55"/>
  <c r="AO4" i="55"/>
  <c r="AN4" i="55"/>
  <c r="AM4" i="55"/>
  <c r="AL4" i="55"/>
  <c r="AK4" i="55"/>
  <c r="AJ4" i="55"/>
  <c r="AI4" i="55"/>
  <c r="AH4" i="55"/>
  <c r="AG4" i="55"/>
  <c r="AF4" i="55"/>
  <c r="AE4" i="55"/>
  <c r="AD4" i="55"/>
  <c r="AC4" i="55"/>
  <c r="AB4" i="55"/>
  <c r="AA4" i="55"/>
  <c r="Z4" i="55"/>
  <c r="Y4" i="55"/>
  <c r="X4" i="55"/>
  <c r="W4" i="55"/>
  <c r="V4" i="55"/>
  <c r="U4" i="55"/>
  <c r="T4" i="55"/>
  <c r="S4" i="55"/>
  <c r="R4" i="55"/>
  <c r="Q4" i="55"/>
  <c r="P4" i="55"/>
  <c r="O4" i="55"/>
  <c r="N4" i="55"/>
  <c r="M4" i="55"/>
  <c r="L4" i="55"/>
  <c r="K4" i="55"/>
  <c r="J4" i="55"/>
  <c r="X6" i="55" l="1"/>
  <c r="X7" i="55" s="1"/>
  <c r="AJ6" i="55"/>
  <c r="AJ7" i="55" s="1"/>
  <c r="Y6" i="55"/>
  <c r="Y7" i="55" s="1"/>
  <c r="L6" i="55"/>
  <c r="M6" i="55"/>
  <c r="M7" i="55" s="1"/>
  <c r="AH6" i="55"/>
  <c r="AH7" i="55" s="1"/>
  <c r="AK6" i="55"/>
  <c r="AK7" i="55" s="1"/>
  <c r="D91" i="55"/>
  <c r="B44" i="55"/>
  <c r="N151" i="55"/>
  <c r="B43" i="55"/>
  <c r="B21" i="55"/>
  <c r="B52" i="55" s="1"/>
  <c r="D70" i="55"/>
  <c r="B53" i="55"/>
  <c r="B45" i="55"/>
  <c r="N75" i="55"/>
  <c r="N135" i="55"/>
  <c r="N140" i="55"/>
  <c r="N235" i="55"/>
  <c r="N238" i="55"/>
  <c r="N196" i="55"/>
  <c r="N195" i="55"/>
  <c r="M195" i="55"/>
  <c r="M193" i="55"/>
  <c r="M161" i="55"/>
  <c r="B51" i="55"/>
  <c r="M142" i="55"/>
  <c r="M200" i="55"/>
  <c r="N234" i="55"/>
  <c r="M234" i="55"/>
  <c r="N157" i="55"/>
  <c r="M157" i="55"/>
  <c r="N71" i="55"/>
  <c r="M71" i="55"/>
  <c r="M78" i="55"/>
  <c r="N78" i="55"/>
  <c r="M134" i="55"/>
  <c r="N134" i="55"/>
  <c r="N88" i="55"/>
  <c r="N155" i="55"/>
  <c r="D17" i="55"/>
  <c r="A33" i="55" s="1"/>
  <c r="M197" i="55"/>
  <c r="M241" i="55"/>
  <c r="N156" i="55"/>
  <c r="M203" i="55"/>
  <c r="N233" i="55"/>
  <c r="B42" i="55"/>
  <c r="A31" i="55"/>
  <c r="J6" i="55"/>
  <c r="J7" i="55" s="1"/>
  <c r="C51" i="55"/>
  <c r="C21" i="55"/>
  <c r="C52" i="55" s="1"/>
  <c r="AG7" i="55"/>
  <c r="C17" i="55"/>
  <c r="C47" i="55"/>
  <c r="V6" i="55"/>
  <c r="V7" i="55" s="1"/>
  <c r="D192" i="55"/>
  <c r="B50" i="55"/>
  <c r="L7" i="55"/>
  <c r="K6" i="55"/>
  <c r="K7" i="55" s="1"/>
  <c r="W6" i="55"/>
  <c r="W7" i="55" s="1"/>
  <c r="AI6" i="55"/>
  <c r="AI7" i="55" s="1"/>
  <c r="C192" i="55"/>
  <c r="C50" i="55"/>
  <c r="C70" i="55"/>
  <c r="A36" i="55"/>
  <c r="N6" i="55"/>
  <c r="N7" i="55" s="1"/>
  <c r="Z6" i="55"/>
  <c r="Z7" i="55" s="1"/>
  <c r="AL6" i="55"/>
  <c r="AL7" i="55" s="1"/>
  <c r="B46" i="55"/>
  <c r="O6" i="55"/>
  <c r="O7" i="55" s="1"/>
  <c r="AA6" i="55"/>
  <c r="AA7" i="55" s="1"/>
  <c r="AM6" i="55"/>
  <c r="AM7" i="55" s="1"/>
  <c r="B41" i="55"/>
  <c r="C46" i="55"/>
  <c r="P6" i="55"/>
  <c r="P7" i="55" s="1"/>
  <c r="AB6" i="55"/>
  <c r="AB7" i="55" s="1"/>
  <c r="AN6" i="55"/>
  <c r="AN7" i="55" s="1"/>
  <c r="M72" i="55"/>
  <c r="N72" i="55"/>
  <c r="Q6" i="55"/>
  <c r="Q7" i="55" s="1"/>
  <c r="AC6" i="55"/>
  <c r="AC7" i="55" s="1"/>
  <c r="AO6" i="55"/>
  <c r="AO7" i="55" s="1"/>
  <c r="R6" i="55"/>
  <c r="R7" i="55" s="1"/>
  <c r="AD6" i="55"/>
  <c r="AD7" i="55" s="1"/>
  <c r="AP6" i="55"/>
  <c r="AP7" i="55" s="1"/>
  <c r="S6" i="55"/>
  <c r="S7" i="55" s="1"/>
  <c r="AE6" i="55"/>
  <c r="AE7" i="55" s="1"/>
  <c r="B16" i="55"/>
  <c r="M137" i="55"/>
  <c r="N137" i="55"/>
  <c r="T6" i="55"/>
  <c r="T7" i="55" s="1"/>
  <c r="AF6" i="55"/>
  <c r="AF7" i="55" s="1"/>
  <c r="U6" i="55"/>
  <c r="U7" i="55" s="1"/>
  <c r="M138" i="55"/>
  <c r="N138" i="55"/>
  <c r="N136" i="55"/>
  <c r="M136" i="55"/>
  <c r="C91" i="55"/>
  <c r="B112" i="55"/>
  <c r="N159" i="55"/>
  <c r="M159" i="55"/>
  <c r="M162" i="55"/>
  <c r="N162" i="55"/>
  <c r="M160" i="55"/>
  <c r="N160" i="55"/>
  <c r="N161" i="55"/>
  <c r="N198" i="55"/>
  <c r="N239" i="55"/>
  <c r="M239" i="55"/>
  <c r="N194" i="55"/>
  <c r="C211" i="55"/>
  <c r="D211" i="55"/>
  <c r="M243" i="55"/>
  <c r="N243" i="55"/>
  <c r="B230" i="55"/>
  <c r="N253" i="55"/>
  <c r="M253" i="55"/>
  <c r="R53" i="55" l="1" a="1"/>
  <c r="R53" i="55" s="1"/>
  <c r="R48" i="55" a="1"/>
  <c r="R48" i="55" s="1"/>
  <c r="R43" i="55" a="1"/>
  <c r="R43" i="55" s="1"/>
  <c r="R51" i="55" a="1"/>
  <c r="R51" i="55" s="1"/>
  <c r="R46" i="55" a="1"/>
  <c r="R46" i="55" s="1"/>
  <c r="R50" i="55" a="1"/>
  <c r="R50" i="55" s="1"/>
  <c r="R49" i="55" a="1"/>
  <c r="R49" i="55" s="1"/>
  <c r="R52" i="55" a="1"/>
  <c r="R52" i="55" s="1"/>
  <c r="R44" i="55" a="1"/>
  <c r="R44" i="55" s="1"/>
  <c r="R42" i="55" a="1"/>
  <c r="R42" i="55" s="1"/>
  <c r="R45" i="55" a="1"/>
  <c r="R45" i="55" s="1"/>
  <c r="R47" i="55" a="1"/>
  <c r="R47" i="55" s="1"/>
  <c r="S47" i="55" s="1" a="1"/>
  <c r="S47" i="55" s="1"/>
  <c r="R41" i="55" a="1"/>
  <c r="R41" i="55" s="1"/>
  <c r="AN53" i="55" a="1"/>
  <c r="AN53" i="55" s="1"/>
  <c r="AO53" i="55" s="1" a="1"/>
  <c r="AO53" i="55" s="1"/>
  <c r="AP53" i="55" s="1" a="1"/>
  <c r="AP53" i="55" s="1"/>
  <c r="AN51" i="55" a="1"/>
  <c r="AN51" i="55" s="1"/>
  <c r="AO51" i="55" s="1" a="1"/>
  <c r="AO51" i="55" s="1"/>
  <c r="AP51" i="55" s="1" a="1"/>
  <c r="AP51" i="55" s="1"/>
  <c r="AN49" i="55" a="1"/>
  <c r="AN49" i="55" s="1"/>
  <c r="AO49" i="55" s="1" a="1"/>
  <c r="AO49" i="55" s="1"/>
  <c r="AP49" i="55" s="1" a="1"/>
  <c r="AP49" i="55" s="1"/>
  <c r="AN47" i="55" a="1"/>
  <c r="AN47" i="55" s="1"/>
  <c r="AO47" i="55" s="1" a="1"/>
  <c r="AO47" i="55" s="1"/>
  <c r="AP47" i="55" s="1" a="1"/>
  <c r="AP47" i="55" s="1"/>
  <c r="AN45" i="55" a="1"/>
  <c r="AN45" i="55" s="1"/>
  <c r="AO45" i="55" s="1" a="1"/>
  <c r="AO45" i="55" s="1"/>
  <c r="AP45" i="55" s="1" a="1"/>
  <c r="AP45" i="55" s="1"/>
  <c r="AN43" i="55" a="1"/>
  <c r="AN43" i="55" s="1"/>
  <c r="AO43" i="55" s="1" a="1"/>
  <c r="AO43" i="55" s="1"/>
  <c r="AP43" i="55" s="1" a="1"/>
  <c r="AP43" i="55" s="1"/>
  <c r="AN52" i="55" a="1"/>
  <c r="AN52" i="55" s="1"/>
  <c r="AO52" i="55" s="1" a="1"/>
  <c r="AO52" i="55" s="1"/>
  <c r="AP52" i="55" s="1" a="1"/>
  <c r="AP52" i="55" s="1"/>
  <c r="AN41" i="55" a="1"/>
  <c r="AN41" i="55" s="1"/>
  <c r="AO41" i="55" s="1" a="1"/>
  <c r="AO41" i="55" s="1"/>
  <c r="AP41" i="55" s="1" a="1"/>
  <c r="AP41" i="55" s="1"/>
  <c r="AN50" i="55" a="1"/>
  <c r="AN50" i="55" s="1"/>
  <c r="AO50" i="55" s="1" a="1"/>
  <c r="AO50" i="55" s="1"/>
  <c r="AP50" i="55" s="1" a="1"/>
  <c r="AP50" i="55" s="1"/>
  <c r="AN44" i="55" a="1"/>
  <c r="AN44" i="55" s="1"/>
  <c r="AO44" i="55" s="1" a="1"/>
  <c r="AO44" i="55" s="1"/>
  <c r="AP44" i="55" s="1" a="1"/>
  <c r="AP44" i="55" s="1"/>
  <c r="AN46" i="55" a="1"/>
  <c r="AN46" i="55" s="1"/>
  <c r="AO46" i="55" s="1" a="1"/>
  <c r="AO46" i="55" s="1"/>
  <c r="AP46" i="55" s="1" a="1"/>
  <c r="AP46" i="55" s="1"/>
  <c r="AN48" i="55" a="1"/>
  <c r="AN48" i="55" s="1"/>
  <c r="AO48" i="55" s="1" a="1"/>
  <c r="AO48" i="55" s="1"/>
  <c r="AP48" i="55" s="1" a="1"/>
  <c r="AP48" i="55" s="1"/>
  <c r="AN42" i="55" a="1"/>
  <c r="AN42" i="55" s="1"/>
  <c r="AO42" i="55" s="1" a="1"/>
  <c r="AO42" i="55" s="1"/>
  <c r="AP42" i="55" s="1" a="1"/>
  <c r="AP42" i="55" s="1"/>
  <c r="AB53" i="55" a="1"/>
  <c r="AB53" i="55" s="1"/>
  <c r="AB51" i="55" a="1"/>
  <c r="AB51" i="55" s="1"/>
  <c r="AB49" i="55" a="1"/>
  <c r="AB49" i="55" s="1"/>
  <c r="AB47" i="55" a="1"/>
  <c r="AB47" i="55" s="1"/>
  <c r="AB45" i="55" a="1"/>
  <c r="AB45" i="55" s="1"/>
  <c r="AB43" i="55" a="1"/>
  <c r="AB43" i="55" s="1"/>
  <c r="AB42" i="55" a="1"/>
  <c r="AB42" i="55" s="1"/>
  <c r="AB48" i="55" a="1"/>
  <c r="AB48" i="55" s="1"/>
  <c r="AB46" i="55" a="1"/>
  <c r="AB46" i="55" s="1"/>
  <c r="AB50" i="55" a="1"/>
  <c r="AB50" i="55" s="1"/>
  <c r="AB52" i="55" a="1"/>
  <c r="AB52" i="55" s="1"/>
  <c r="AB44" i="55" a="1"/>
  <c r="AB44" i="55" s="1"/>
  <c r="AB41" i="55" a="1"/>
  <c r="AB41" i="55" s="1"/>
  <c r="S52" i="55" a="1"/>
  <c r="S52" i="55" s="1"/>
  <c r="S48" i="55" a="1"/>
  <c r="S48" i="55" s="1"/>
  <c r="S46" i="55" a="1"/>
  <c r="S46" i="55" s="1"/>
  <c r="S43" i="55" a="1"/>
  <c r="S43" i="55" s="1"/>
  <c r="S51" i="55" a="1"/>
  <c r="S51" i="55" s="1"/>
  <c r="S53" i="55" a="1"/>
  <c r="S53" i="55" s="1"/>
  <c r="S49" i="55" a="1"/>
  <c r="S49" i="55" s="1"/>
  <c r="J53" i="55" a="1"/>
  <c r="J53" i="55" s="1"/>
  <c r="K53" i="55" s="1" a="1"/>
  <c r="K53" i="55" s="1"/>
  <c r="L53" i="55" s="1" a="1"/>
  <c r="L53" i="55" s="1"/>
  <c r="M53" i="55" s="1" a="1"/>
  <c r="M53" i="55" s="1"/>
  <c r="N53" i="55" s="1" a="1"/>
  <c r="N53" i="55" s="1"/>
  <c r="O53" i="55" s="1" a="1"/>
  <c r="O53" i="55" s="1"/>
  <c r="P53" i="55" s="1" a="1"/>
  <c r="P53" i="55" s="1"/>
  <c r="Q53" i="55" s="1" a="1"/>
  <c r="Q53" i="55" s="1"/>
  <c r="J51" i="55" a="1"/>
  <c r="J51" i="55" s="1"/>
  <c r="K51" i="55" s="1" a="1"/>
  <c r="K51" i="55" s="1"/>
  <c r="L51" i="55" s="1" a="1"/>
  <c r="L51" i="55" s="1"/>
  <c r="M51" i="55" s="1" a="1"/>
  <c r="M51" i="55" s="1"/>
  <c r="N51" i="55" s="1" a="1"/>
  <c r="N51" i="55" s="1"/>
  <c r="O51" i="55" s="1" a="1"/>
  <c r="O51" i="55" s="1"/>
  <c r="P51" i="55" s="1" a="1"/>
  <c r="P51" i="55" s="1"/>
  <c r="Q51" i="55" s="1" a="1"/>
  <c r="Q51" i="55" s="1"/>
  <c r="J49" i="55" a="1"/>
  <c r="J49" i="55" s="1"/>
  <c r="K49" i="55" s="1" a="1"/>
  <c r="K49" i="55" s="1"/>
  <c r="L49" i="55" s="1" a="1"/>
  <c r="L49" i="55" s="1"/>
  <c r="M49" i="55" s="1" a="1"/>
  <c r="M49" i="55" s="1"/>
  <c r="N49" i="55" s="1" a="1"/>
  <c r="N49" i="55" s="1"/>
  <c r="O49" i="55" s="1" a="1"/>
  <c r="O49" i="55" s="1"/>
  <c r="P49" i="55" s="1" a="1"/>
  <c r="P49" i="55" s="1"/>
  <c r="Q49" i="55" s="1" a="1"/>
  <c r="Q49" i="55" s="1"/>
  <c r="J47" i="55" a="1"/>
  <c r="J47" i="55" s="1"/>
  <c r="K47" i="55" s="1" a="1"/>
  <c r="K47" i="55" s="1"/>
  <c r="L47" i="55" s="1" a="1"/>
  <c r="L47" i="55" s="1"/>
  <c r="M47" i="55" s="1" a="1"/>
  <c r="M47" i="55" s="1"/>
  <c r="N47" i="55" s="1" a="1"/>
  <c r="N47" i="55" s="1"/>
  <c r="O47" i="55" s="1" a="1"/>
  <c r="O47" i="55" s="1"/>
  <c r="P47" i="55" s="1" a="1"/>
  <c r="P47" i="55" s="1"/>
  <c r="Q47" i="55" s="1" a="1"/>
  <c r="Q47" i="55" s="1"/>
  <c r="J45" i="55" a="1"/>
  <c r="J45" i="55" s="1"/>
  <c r="K45" i="55" s="1" a="1"/>
  <c r="K45" i="55" s="1"/>
  <c r="L45" i="55" s="1" a="1"/>
  <c r="L45" i="55" s="1"/>
  <c r="M45" i="55" s="1" a="1"/>
  <c r="M45" i="55" s="1"/>
  <c r="N45" i="55" s="1" a="1"/>
  <c r="N45" i="55" s="1"/>
  <c r="O45" i="55" s="1" a="1"/>
  <c r="O45" i="55" s="1"/>
  <c r="P45" i="55" s="1" a="1"/>
  <c r="P45" i="55" s="1"/>
  <c r="Q45" i="55" s="1" a="1"/>
  <c r="Q45" i="55" s="1"/>
  <c r="J43" i="55" a="1"/>
  <c r="J43" i="55" s="1"/>
  <c r="K43" i="55" s="1" a="1"/>
  <c r="K43" i="55" s="1"/>
  <c r="L43" i="55" s="1" a="1"/>
  <c r="L43" i="55" s="1"/>
  <c r="M43" i="55" s="1" a="1"/>
  <c r="M43" i="55" s="1"/>
  <c r="N43" i="55" s="1" a="1"/>
  <c r="N43" i="55" s="1"/>
  <c r="O43" i="55" s="1" a="1"/>
  <c r="O43" i="55" s="1"/>
  <c r="P43" i="55" s="1" a="1"/>
  <c r="P43" i="55" s="1"/>
  <c r="Q43" i="55" s="1" a="1"/>
  <c r="Q43" i="55" s="1"/>
  <c r="J52" i="55" a="1"/>
  <c r="J52" i="55" s="1"/>
  <c r="K52" i="55" s="1" a="1"/>
  <c r="K52" i="55" s="1"/>
  <c r="L52" i="55" s="1" a="1"/>
  <c r="L52" i="55" s="1"/>
  <c r="M52" i="55" s="1" a="1"/>
  <c r="M52" i="55" s="1"/>
  <c r="N52" i="55" s="1" a="1"/>
  <c r="N52" i="55" s="1"/>
  <c r="O52" i="55" s="1" a="1"/>
  <c r="O52" i="55" s="1"/>
  <c r="P52" i="55" s="1" a="1"/>
  <c r="P52" i="55" s="1"/>
  <c r="Q52" i="55" s="1" a="1"/>
  <c r="Q52" i="55" s="1"/>
  <c r="J48" i="55" a="1"/>
  <c r="J48" i="55" s="1"/>
  <c r="K48" i="55" s="1" a="1"/>
  <c r="K48" i="55" s="1"/>
  <c r="L48" i="55" s="1" a="1"/>
  <c r="L48" i="55" s="1"/>
  <c r="M48" i="55" s="1" a="1"/>
  <c r="M48" i="55" s="1"/>
  <c r="N48" i="55" s="1" a="1"/>
  <c r="N48" i="55" s="1"/>
  <c r="O48" i="55" s="1" a="1"/>
  <c r="O48" i="55" s="1"/>
  <c r="P48" i="55" s="1" a="1"/>
  <c r="P48" i="55" s="1"/>
  <c r="Q48" i="55" s="1" a="1"/>
  <c r="Q48" i="55" s="1"/>
  <c r="J41" i="55" a="1"/>
  <c r="J41" i="55" s="1"/>
  <c r="K41" i="55" s="1" a="1"/>
  <c r="K41" i="55" s="1"/>
  <c r="L41" i="55" s="1" a="1"/>
  <c r="L41" i="55" s="1"/>
  <c r="M41" i="55" s="1" a="1"/>
  <c r="M41" i="55" s="1"/>
  <c r="N41" i="55" s="1" a="1"/>
  <c r="N41" i="55" s="1"/>
  <c r="O41" i="55" s="1" a="1"/>
  <c r="O41" i="55" s="1"/>
  <c r="P41" i="55" s="1" a="1"/>
  <c r="P41" i="55" s="1"/>
  <c r="Q41" i="55" s="1" a="1"/>
  <c r="Q41" i="55" s="1"/>
  <c r="J42" i="55" a="1"/>
  <c r="J42" i="55" s="1"/>
  <c r="K42" i="55" s="1" a="1"/>
  <c r="K42" i="55" s="1"/>
  <c r="L42" i="55" s="1" a="1"/>
  <c r="L42" i="55" s="1"/>
  <c r="M42" i="55" s="1" a="1"/>
  <c r="M42" i="55" s="1"/>
  <c r="N42" i="55" s="1" a="1"/>
  <c r="N42" i="55" s="1"/>
  <c r="O42" i="55" s="1" a="1"/>
  <c r="O42" i="55" s="1"/>
  <c r="P42" i="55" s="1" a="1"/>
  <c r="P42" i="55" s="1"/>
  <c r="Q42" i="55" s="1" a="1"/>
  <c r="Q42" i="55" s="1"/>
  <c r="J50" i="55" a="1"/>
  <c r="J50" i="55" s="1"/>
  <c r="K50" i="55" s="1" a="1"/>
  <c r="K50" i="55" s="1"/>
  <c r="L50" i="55" s="1" a="1"/>
  <c r="L50" i="55" s="1"/>
  <c r="M50" i="55" s="1" a="1"/>
  <c r="M50" i="55" s="1"/>
  <c r="N50" i="55" s="1" a="1"/>
  <c r="N50" i="55" s="1"/>
  <c r="O50" i="55" s="1" a="1"/>
  <c r="O50" i="55" s="1"/>
  <c r="P50" i="55" s="1" a="1"/>
  <c r="P50" i="55" s="1"/>
  <c r="Q50" i="55" s="1" a="1"/>
  <c r="Q50" i="55" s="1"/>
  <c r="J44" i="55" a="1"/>
  <c r="J44" i="55" s="1"/>
  <c r="K44" i="55" s="1" a="1"/>
  <c r="K44" i="55" s="1"/>
  <c r="L44" i="55" s="1" a="1"/>
  <c r="L44" i="55" s="1"/>
  <c r="M44" i="55" s="1" a="1"/>
  <c r="M44" i="55" s="1"/>
  <c r="N44" i="55" s="1" a="1"/>
  <c r="N44" i="55" s="1"/>
  <c r="O44" i="55" s="1" a="1"/>
  <c r="O44" i="55" s="1"/>
  <c r="P44" i="55" s="1" a="1"/>
  <c r="P44" i="55" s="1"/>
  <c r="Q44" i="55" s="1" a="1"/>
  <c r="Q44" i="55" s="1"/>
  <c r="J46" i="55" a="1"/>
  <c r="J46" i="55" s="1"/>
  <c r="K46" i="55" s="1" a="1"/>
  <c r="K46" i="55" s="1"/>
  <c r="L46" i="55" s="1" a="1"/>
  <c r="L46" i="55" s="1"/>
  <c r="M46" i="55" s="1" a="1"/>
  <c r="M46" i="55" s="1"/>
  <c r="N46" i="55" s="1" a="1"/>
  <c r="N46" i="55" s="1"/>
  <c r="O46" i="55" s="1" a="1"/>
  <c r="O46" i="55" s="1"/>
  <c r="P46" i="55" s="1" a="1"/>
  <c r="P46" i="55" s="1"/>
  <c r="Q46" i="55" s="1" a="1"/>
  <c r="Q46" i="55" s="1"/>
  <c r="M238" i="55"/>
  <c r="M151" i="55"/>
  <c r="M135" i="55"/>
  <c r="N142" i="55"/>
  <c r="M75" i="55"/>
  <c r="M235" i="55"/>
  <c r="M88" i="55"/>
  <c r="N81" i="55"/>
  <c r="M81" i="55"/>
  <c r="N203" i="55"/>
  <c r="D18" i="55"/>
  <c r="A34" i="55" s="1"/>
  <c r="M236" i="55"/>
  <c r="N236" i="55"/>
  <c r="M158" i="55"/>
  <c r="N158" i="55"/>
  <c r="M163" i="55"/>
  <c r="N163" i="55"/>
  <c r="N74" i="55"/>
  <c r="M74" i="55"/>
  <c r="D112" i="55"/>
  <c r="B133" i="55"/>
  <c r="C112" i="55"/>
  <c r="N201" i="55"/>
  <c r="M201" i="55"/>
  <c r="D230" i="55"/>
  <c r="C230" i="55"/>
  <c r="M237" i="55"/>
  <c r="N237" i="55"/>
  <c r="N199" i="55"/>
  <c r="M199" i="55"/>
  <c r="N79" i="55"/>
  <c r="M79" i="55"/>
  <c r="N139" i="55"/>
  <c r="M139" i="55"/>
  <c r="C48" i="55"/>
  <c r="C18" i="55"/>
  <c r="C49" i="55" s="1"/>
  <c r="N240" i="55"/>
  <c r="M240" i="55"/>
  <c r="N165" i="55"/>
  <c r="M165" i="55"/>
  <c r="N73" i="55"/>
  <c r="M73" i="55"/>
  <c r="M141" i="55"/>
  <c r="N141" i="55"/>
  <c r="B17" i="55"/>
  <c r="B47" i="55"/>
  <c r="N76" i="55"/>
  <c r="M76" i="55"/>
  <c r="M144" i="55"/>
  <c r="N144" i="55"/>
  <c r="N77" i="55"/>
  <c r="M77" i="55"/>
  <c r="T50" i="55" l="1"/>
  <c r="U50" i="55" s="1"/>
  <c r="V50" i="55" s="1"/>
  <c r="W50" i="55" s="1"/>
  <c r="X50" i="55" s="1"/>
  <c r="Y50" i="55" s="1"/>
  <c r="Z50" i="55" s="1"/>
  <c r="AA50" i="55" s="1"/>
  <c r="T42" i="55"/>
  <c r="U42" i="55" s="1"/>
  <c r="V42" i="55" s="1"/>
  <c r="W42" i="55" s="1"/>
  <c r="X42" i="55" s="1"/>
  <c r="Y42" i="55" s="1"/>
  <c r="Z42" i="55" s="1"/>
  <c r="AA42" i="55" s="1"/>
  <c r="T48" i="55"/>
  <c r="U48" i="55" s="1"/>
  <c r="V48" i="55" s="1"/>
  <c r="W48" i="55" s="1"/>
  <c r="X48" i="55" s="1"/>
  <c r="Y48" i="55" s="1"/>
  <c r="Z48" i="55" s="1"/>
  <c r="AA48" i="55" s="1"/>
  <c r="T43" i="55"/>
  <c r="U43" i="55" s="1"/>
  <c r="V43" i="55" s="1"/>
  <c r="W43" i="55" s="1"/>
  <c r="X43" i="55" s="1"/>
  <c r="Y43" i="55" s="1"/>
  <c r="Z43" i="55" s="1"/>
  <c r="AA43" i="55" s="1"/>
  <c r="X46" i="55"/>
  <c r="Y46" i="55"/>
  <c r="Z46" i="55" s="1"/>
  <c r="AA46" i="55" s="1"/>
  <c r="T46" i="55"/>
  <c r="U46" i="55" s="1"/>
  <c r="V46" i="55" s="1"/>
  <c r="W46" i="55" s="1"/>
  <c r="T45" i="55"/>
  <c r="U45" i="55" s="1"/>
  <c r="V45" i="55" s="1"/>
  <c r="W45" i="55" s="1"/>
  <c r="X45" i="55"/>
  <c r="Y45" i="55" s="1"/>
  <c r="Z45" i="55" s="1"/>
  <c r="AA45" i="55" s="1"/>
  <c r="T47" i="55"/>
  <c r="U47" i="55" s="1"/>
  <c r="V47" i="55" s="1"/>
  <c r="W47" i="55" s="1"/>
  <c r="X47" i="55" s="1"/>
  <c r="Y47" i="55" s="1"/>
  <c r="Z47" i="55" s="1"/>
  <c r="AA47" i="55" s="1"/>
  <c r="T49" i="55"/>
  <c r="U49" i="55" s="1"/>
  <c r="V49" i="55" s="1"/>
  <c r="W49" i="55" s="1"/>
  <c r="X49" i="55" s="1"/>
  <c r="Y49" i="55" s="1"/>
  <c r="Z49" i="55" s="1"/>
  <c r="AA49" i="55" s="1"/>
  <c r="T51" i="55"/>
  <c r="U51" i="55" s="1"/>
  <c r="V51" i="55" s="1"/>
  <c r="W51" i="55" s="1"/>
  <c r="X51" i="55"/>
  <c r="Y51" i="55" s="1"/>
  <c r="Z51" i="55" s="1"/>
  <c r="AA51" i="55" s="1"/>
  <c r="T53" i="55"/>
  <c r="U53" i="55" s="1"/>
  <c r="V53" i="55" s="1"/>
  <c r="W53" i="55" s="1"/>
  <c r="X53" i="55" s="1"/>
  <c r="Y53" i="55" s="1"/>
  <c r="Z53" i="55" s="1"/>
  <c r="AA53" i="55" s="1"/>
  <c r="T44" i="55"/>
  <c r="U44" i="55"/>
  <c r="V44" i="55" s="1"/>
  <c r="W44" i="55" s="1"/>
  <c r="X44" i="55"/>
  <c r="Y44" i="55" s="1"/>
  <c r="Z44" i="55" s="1"/>
  <c r="AA44" i="55" s="1"/>
  <c r="T52" i="55"/>
  <c r="U52" i="55" s="1"/>
  <c r="V52" i="55" s="1"/>
  <c r="W52" i="55" s="1"/>
  <c r="X52" i="55" s="1"/>
  <c r="Y52" i="55" s="1"/>
  <c r="Z52" i="55" s="1"/>
  <c r="AA52" i="55" s="1"/>
  <c r="T41" i="55"/>
  <c r="U41" i="55" s="1"/>
  <c r="V41" i="55" s="1"/>
  <c r="W41" i="55" s="1"/>
  <c r="X41" i="55" s="1"/>
  <c r="Y41" i="55" s="1"/>
  <c r="Z41" i="55" s="1"/>
  <c r="AA41" i="55" s="1"/>
  <c r="AC46" i="55" a="1"/>
  <c r="AC46" i="55" s="1"/>
  <c r="AD46" i="55" s="1" a="1"/>
  <c r="AD46" i="55" s="1"/>
  <c r="AE46" i="55" s="1" a="1"/>
  <c r="AE46" i="55" s="1"/>
  <c r="AF46" i="55" s="1" a="1"/>
  <c r="AF46" i="55" s="1"/>
  <c r="AG46" i="55" s="1" a="1"/>
  <c r="AG46" i="55" s="1"/>
  <c r="AH46" i="55" s="1" a="1"/>
  <c r="AH46" i="55" s="1"/>
  <c r="AI46" i="55" s="1" a="1"/>
  <c r="AI46" i="55" s="1"/>
  <c r="AJ46" i="55" s="1" a="1"/>
  <c r="AJ46" i="55" s="1"/>
  <c r="AK46" i="55" s="1" a="1"/>
  <c r="AK46" i="55" s="1"/>
  <c r="AL46" i="55" s="1" a="1"/>
  <c r="AL46" i="55" s="1"/>
  <c r="AM46" i="55" s="1" a="1"/>
  <c r="AM46" i="55" s="1"/>
  <c r="AC48" i="55" a="1"/>
  <c r="AC48" i="55" s="1"/>
  <c r="AD48" i="55" s="1" a="1"/>
  <c r="AD48" i="55" s="1"/>
  <c r="AE48" i="55" s="1" a="1"/>
  <c r="AE48" i="55" s="1"/>
  <c r="AF48" i="55" s="1" a="1"/>
  <c r="AF48" i="55" s="1"/>
  <c r="AG48" i="55" s="1" a="1"/>
  <c r="AG48" i="55" s="1"/>
  <c r="AH48" i="55" s="1" a="1"/>
  <c r="AH48" i="55" s="1"/>
  <c r="AI48" i="55" s="1" a="1"/>
  <c r="AI48" i="55" s="1"/>
  <c r="AJ48" i="55" s="1" a="1"/>
  <c r="AJ48" i="55" s="1"/>
  <c r="AK48" i="55" s="1" a="1"/>
  <c r="AK48" i="55" s="1"/>
  <c r="AL48" i="55" s="1" a="1"/>
  <c r="AL48" i="55" s="1"/>
  <c r="AM48" i="55" s="1" a="1"/>
  <c r="AM48" i="55" s="1"/>
  <c r="AC43" i="55" a="1"/>
  <c r="AC43" i="55" s="1"/>
  <c r="AD43" i="55" s="1" a="1"/>
  <c r="AD43" i="55" s="1"/>
  <c r="AE43" i="55" s="1" a="1"/>
  <c r="AE43" i="55" s="1"/>
  <c r="AF43" i="55" s="1" a="1"/>
  <c r="AF43" i="55" s="1"/>
  <c r="AG43" i="55" s="1" a="1"/>
  <c r="AG43" i="55" s="1"/>
  <c r="AH43" i="55" s="1" a="1"/>
  <c r="AH43" i="55" s="1"/>
  <c r="AI43" i="55" s="1" a="1"/>
  <c r="AI43" i="55" s="1"/>
  <c r="AJ43" i="55" s="1" a="1"/>
  <c r="AJ43" i="55" s="1"/>
  <c r="AK43" i="55" s="1" a="1"/>
  <c r="AK43" i="55" s="1"/>
  <c r="AL43" i="55" s="1" a="1"/>
  <c r="AL43" i="55" s="1"/>
  <c r="AM43" i="55" s="1" a="1"/>
  <c r="AM43" i="55" s="1"/>
  <c r="AC47" i="55" a="1"/>
  <c r="AC47" i="55" s="1"/>
  <c r="AD47" i="55" s="1" a="1"/>
  <c r="AD47" i="55" s="1"/>
  <c r="AE47" i="55" s="1" a="1"/>
  <c r="AE47" i="55" s="1"/>
  <c r="AF47" i="55" s="1" a="1"/>
  <c r="AF47" i="55" s="1"/>
  <c r="AG47" i="55" s="1" a="1"/>
  <c r="AG47" i="55" s="1"/>
  <c r="AH47" i="55" s="1" a="1"/>
  <c r="AH47" i="55" s="1"/>
  <c r="AI47" i="55" s="1" a="1"/>
  <c r="AI47" i="55" s="1"/>
  <c r="AJ47" i="55" s="1" a="1"/>
  <c r="AJ47" i="55" s="1"/>
  <c r="AK47" i="55" s="1" a="1"/>
  <c r="AK47" i="55" s="1"/>
  <c r="AL47" i="55" s="1" a="1"/>
  <c r="AL47" i="55" s="1"/>
  <c r="AM47" i="55" s="1" a="1"/>
  <c r="AM47" i="55" s="1"/>
  <c r="AC49" i="55" a="1"/>
  <c r="AC49" i="55" s="1"/>
  <c r="AD49" i="55" s="1" a="1"/>
  <c r="AD49" i="55" s="1"/>
  <c r="AE49" i="55" s="1" a="1"/>
  <c r="AE49" i="55" s="1"/>
  <c r="AF49" i="55" s="1" a="1"/>
  <c r="AF49" i="55" s="1"/>
  <c r="AG49" i="55" s="1" a="1"/>
  <c r="AG49" i="55" s="1"/>
  <c r="AH49" i="55" s="1" a="1"/>
  <c r="AH49" i="55" s="1"/>
  <c r="AI49" i="55" s="1" a="1"/>
  <c r="AI49" i="55" s="1"/>
  <c r="AJ49" i="55" s="1" a="1"/>
  <c r="AJ49" i="55" s="1"/>
  <c r="AK49" i="55" s="1" a="1"/>
  <c r="AK49" i="55" s="1"/>
  <c r="AL49" i="55" s="1" a="1"/>
  <c r="AL49" i="55" s="1"/>
  <c r="AM49" i="55" s="1" a="1"/>
  <c r="AM49" i="55" s="1"/>
  <c r="AC51" i="55" a="1"/>
  <c r="AC51" i="55" s="1"/>
  <c r="AD51" i="55" s="1" a="1"/>
  <c r="AD51" i="55" s="1"/>
  <c r="AE51" i="55" s="1" a="1"/>
  <c r="AE51" i="55" s="1"/>
  <c r="AF51" i="55" s="1" a="1"/>
  <c r="AF51" i="55" s="1"/>
  <c r="AG51" i="55" s="1" a="1"/>
  <c r="AG51" i="55" s="1"/>
  <c r="AH51" i="55" s="1" a="1"/>
  <c r="AH51" i="55" s="1"/>
  <c r="AI51" i="55" s="1" a="1"/>
  <c r="AI51" i="55" s="1"/>
  <c r="AJ51" i="55" s="1" a="1"/>
  <c r="AJ51" i="55" s="1"/>
  <c r="AK51" i="55" s="1" a="1"/>
  <c r="AK51" i="55" s="1"/>
  <c r="AL51" i="55" s="1" a="1"/>
  <c r="AL51" i="55" s="1"/>
  <c r="AM51" i="55" s="1" a="1"/>
  <c r="AM51" i="55" s="1"/>
  <c r="AC53" i="55" a="1"/>
  <c r="AC53" i="55" s="1"/>
  <c r="AD53" i="55" s="1" a="1"/>
  <c r="AD53" i="55" s="1"/>
  <c r="AE53" i="55" s="1" a="1"/>
  <c r="AE53" i="55" s="1"/>
  <c r="AF53" i="55" s="1" a="1"/>
  <c r="AF53" i="55" s="1"/>
  <c r="AG53" i="55" s="1" a="1"/>
  <c r="AG53" i="55" s="1"/>
  <c r="AH53" i="55" s="1" a="1"/>
  <c r="AH53" i="55" s="1"/>
  <c r="AI53" i="55" s="1" a="1"/>
  <c r="AI53" i="55" s="1"/>
  <c r="AJ53" i="55" s="1" a="1"/>
  <c r="AJ53" i="55" s="1"/>
  <c r="AK53" i="55" s="1" a="1"/>
  <c r="AK53" i="55" s="1"/>
  <c r="AL53" i="55" s="1" a="1"/>
  <c r="AL53" i="55" s="1"/>
  <c r="AM53" i="55" s="1" a="1"/>
  <c r="AM53" i="55" s="1"/>
  <c r="AC52" i="55" a="1"/>
  <c r="AC52" i="55" s="1"/>
  <c r="AD52" i="55" s="1" a="1"/>
  <c r="AD52" i="55" s="1"/>
  <c r="AE52" i="55" s="1" a="1"/>
  <c r="AE52" i="55" s="1"/>
  <c r="AF52" i="55" s="1" a="1"/>
  <c r="AF52" i="55" s="1"/>
  <c r="AG52" i="55" s="1" a="1"/>
  <c r="AG52" i="55" s="1"/>
  <c r="AH52" i="55" s="1" a="1"/>
  <c r="AH52" i="55" s="1"/>
  <c r="AI52" i="55" s="1" a="1"/>
  <c r="AI52" i="55" s="1"/>
  <c r="AJ52" i="55" s="1" a="1"/>
  <c r="AJ52" i="55" s="1"/>
  <c r="AK52" i="55" s="1" a="1"/>
  <c r="AK52" i="55" s="1"/>
  <c r="AL52" i="55" s="1" a="1"/>
  <c r="AL52" i="55" s="1"/>
  <c r="AM52" i="55" s="1" a="1"/>
  <c r="AM52" i="55" s="1"/>
  <c r="AC42" i="55" a="1"/>
  <c r="AC42" i="55" s="1"/>
  <c r="AD42" i="55" s="1" a="1"/>
  <c r="AD42" i="55" s="1"/>
  <c r="AE42" i="55" s="1" a="1"/>
  <c r="AE42" i="55" s="1"/>
  <c r="AF42" i="55" s="1" a="1"/>
  <c r="AF42" i="55" s="1"/>
  <c r="AG42" i="55" s="1" a="1"/>
  <c r="AG42" i="55" s="1"/>
  <c r="AH42" i="55" s="1" a="1"/>
  <c r="AH42" i="55" s="1"/>
  <c r="AI42" i="55" s="1" a="1"/>
  <c r="AI42" i="55" s="1"/>
  <c r="AJ42" i="55" s="1" a="1"/>
  <c r="AJ42" i="55" s="1"/>
  <c r="AK42" i="55" s="1" a="1"/>
  <c r="AK42" i="55" s="1"/>
  <c r="AL42" i="55" s="1" a="1"/>
  <c r="AL42" i="55" s="1"/>
  <c r="AM42" i="55" s="1" a="1"/>
  <c r="AM42" i="55" s="1"/>
  <c r="AC45" i="55" a="1"/>
  <c r="AC45" i="55" s="1"/>
  <c r="AD45" i="55" s="1" a="1"/>
  <c r="AD45" i="55" s="1"/>
  <c r="AE45" i="55" s="1" a="1"/>
  <c r="AE45" i="55" s="1"/>
  <c r="AF45" i="55" s="1" a="1"/>
  <c r="AF45" i="55" s="1"/>
  <c r="AG45" i="55" s="1" a="1"/>
  <c r="AG45" i="55" s="1"/>
  <c r="AH45" i="55" s="1" a="1"/>
  <c r="AH45" i="55" s="1"/>
  <c r="AI45" i="55" s="1" a="1"/>
  <c r="AI45" i="55" s="1"/>
  <c r="AJ45" i="55" s="1" a="1"/>
  <c r="AJ45" i="55" s="1"/>
  <c r="AK45" i="55" s="1" a="1"/>
  <c r="AK45" i="55" s="1"/>
  <c r="AL45" i="55" s="1" a="1"/>
  <c r="AL45" i="55" s="1"/>
  <c r="AM45" i="55" s="1" a="1"/>
  <c r="AM45" i="55" s="1"/>
  <c r="AC50" i="55" a="1"/>
  <c r="AC50" i="55" s="1"/>
  <c r="AD50" i="55" s="1" a="1"/>
  <c r="AD50" i="55" s="1"/>
  <c r="AE50" i="55" s="1" a="1"/>
  <c r="AE50" i="55" s="1"/>
  <c r="AF50" i="55" s="1" a="1"/>
  <c r="AF50" i="55" s="1"/>
  <c r="AG50" i="55" s="1" a="1"/>
  <c r="AG50" i="55" s="1"/>
  <c r="AH50" i="55" s="1" a="1"/>
  <c r="AH50" i="55" s="1"/>
  <c r="AI50" i="55" s="1" a="1"/>
  <c r="AI50" i="55" s="1"/>
  <c r="AJ50" i="55" s="1" a="1"/>
  <c r="AJ50" i="55" s="1"/>
  <c r="AK50" i="55" s="1" a="1"/>
  <c r="AK50" i="55" s="1"/>
  <c r="AL50" i="55" s="1" a="1"/>
  <c r="AL50" i="55" s="1"/>
  <c r="AM50" i="55" s="1" a="1"/>
  <c r="AM50" i="55" s="1"/>
  <c r="AC44" i="55" a="1"/>
  <c r="AC44" i="55" s="1"/>
  <c r="AD44" i="55" s="1" a="1"/>
  <c r="AD44" i="55" s="1"/>
  <c r="AE44" i="55" s="1" a="1"/>
  <c r="AE44" i="55" s="1"/>
  <c r="AF44" i="55" s="1" a="1"/>
  <c r="AF44" i="55" s="1"/>
  <c r="AG44" i="55" s="1" a="1"/>
  <c r="AG44" i="55" s="1"/>
  <c r="AH44" i="55" s="1" a="1"/>
  <c r="AH44" i="55" s="1"/>
  <c r="AI44" i="55" s="1" a="1"/>
  <c r="AI44" i="55" s="1"/>
  <c r="AJ44" i="55" s="1" a="1"/>
  <c r="AJ44" i="55" s="1"/>
  <c r="AK44" i="55" s="1" a="1"/>
  <c r="AK44" i="55" s="1"/>
  <c r="AL44" i="55" s="1" a="1"/>
  <c r="AL44" i="55" s="1"/>
  <c r="AM44" i="55" s="1" a="1"/>
  <c r="AM44" i="55" s="1"/>
  <c r="AC41" i="55" a="1"/>
  <c r="AC41" i="55" s="1"/>
  <c r="AD41" i="55" s="1" a="1"/>
  <c r="AD41" i="55" s="1"/>
  <c r="AE41" i="55" s="1" a="1"/>
  <c r="AE41" i="55" s="1"/>
  <c r="AF41" i="55" s="1" a="1"/>
  <c r="AF41" i="55" s="1"/>
  <c r="AG41" i="55" s="1" a="1"/>
  <c r="AG41" i="55" s="1"/>
  <c r="AH41" i="55" s="1" a="1"/>
  <c r="AH41" i="55" s="1"/>
  <c r="AI41" i="55" s="1" a="1"/>
  <c r="AI41" i="55" s="1"/>
  <c r="AJ41" i="55" s="1" a="1"/>
  <c r="AJ41" i="55" s="1"/>
  <c r="AK41" i="55" s="1" a="1"/>
  <c r="AK41" i="55" s="1"/>
  <c r="AL41" i="55" s="1" a="1"/>
  <c r="AL41" i="55" s="1"/>
  <c r="AM41" i="55" s="1" a="1"/>
  <c r="AM41" i="55" s="1"/>
  <c r="B18" i="55"/>
  <c r="B48" i="55"/>
  <c r="C133" i="55"/>
  <c r="B154" i="55"/>
  <c r="D133" i="55"/>
  <c r="C154" i="55" l="1"/>
  <c r="B173" i="55"/>
  <c r="D154" i="55"/>
  <c r="B49" i="55"/>
  <c r="C173" i="55" l="1"/>
  <c r="D173" i="55"/>
  <c r="B86" i="47" l="1"/>
  <c r="B85" i="47"/>
  <c r="B84" i="47"/>
  <c r="E36" i="29" l="1"/>
  <c r="E24" i="29" l="1"/>
  <c r="F84" i="47"/>
  <c r="F85" i="47"/>
  <c r="A37" i="37" l="1"/>
  <c r="E10" i="29" l="1"/>
  <c r="F10" i="29" s="1"/>
  <c r="G10" i="29" s="1"/>
  <c r="H10" i="29" s="1"/>
  <c r="J10" i="29"/>
  <c r="K10" i="29" s="1"/>
  <c r="B49" i="29"/>
  <c r="C49" i="29"/>
  <c r="E49" i="29"/>
  <c r="F49" i="29"/>
  <c r="G49" i="29"/>
  <c r="H49" i="29"/>
  <c r="I49" i="29"/>
  <c r="B50" i="29"/>
  <c r="C50" i="29"/>
  <c r="E50" i="29"/>
  <c r="F50" i="29"/>
  <c r="G50" i="29"/>
  <c r="H50" i="29"/>
  <c r="I50" i="29"/>
  <c r="E23" i="29"/>
  <c r="J17" i="29" s="1"/>
  <c r="J18" i="29"/>
  <c r="E22" i="29"/>
  <c r="J16" i="29" s="1"/>
  <c r="L10" i="29" l="1"/>
  <c r="M10" i="29" s="1"/>
  <c r="N10" i="29" s="1"/>
  <c r="O10" i="29" s="1"/>
  <c r="P10" i="29" s="1"/>
  <c r="Q10" i="29" s="1"/>
  <c r="R10" i="29" s="1"/>
  <c r="J23" i="29" l="1"/>
  <c r="J49" i="29" s="1"/>
  <c r="J24" i="29"/>
  <c r="J50" i="29" s="1"/>
  <c r="A30" i="27"/>
  <c r="B30" i="27"/>
  <c r="C30" i="27"/>
  <c r="B22" i="29" s="1"/>
  <c r="D48" i="29" s="1"/>
  <c r="D30" i="27"/>
  <c r="C22" i="29" s="1"/>
  <c r="E30" i="27"/>
  <c r="F30" i="27"/>
  <c r="A31" i="27"/>
  <c r="B31" i="27"/>
  <c r="C31" i="27"/>
  <c r="B23" i="29" s="1"/>
  <c r="D49" i="29" s="1"/>
  <c r="D31" i="27"/>
  <c r="C23" i="29" s="1"/>
  <c r="E31" i="27"/>
  <c r="F31" i="27"/>
  <c r="A32" i="27"/>
  <c r="B32" i="27"/>
  <c r="C32" i="27"/>
  <c r="B24" i="29" s="1"/>
  <c r="D50" i="29" s="1"/>
  <c r="D32" i="27"/>
  <c r="C24" i="29" s="1"/>
  <c r="E32" i="27"/>
  <c r="F32" i="27"/>
  <c r="A33" i="27"/>
  <c r="B33" i="27"/>
  <c r="C33" i="27"/>
  <c r="D33" i="27"/>
  <c r="E33" i="27"/>
  <c r="F33" i="27"/>
  <c r="E84" i="47" l="1"/>
  <c r="E85" i="47"/>
  <c r="AN44" i="29" l="1"/>
  <c r="AN43" i="29"/>
  <c r="I51" i="29" l="1"/>
  <c r="H51" i="29"/>
  <c r="G51" i="29"/>
  <c r="F51" i="29"/>
  <c r="E51" i="29"/>
  <c r="C51" i="29"/>
  <c r="B51" i="29"/>
  <c r="I48" i="29"/>
  <c r="H48" i="29"/>
  <c r="G48" i="29"/>
  <c r="F48" i="29"/>
  <c r="E48" i="29"/>
  <c r="C48" i="29"/>
  <c r="B48" i="29"/>
  <c r="I47" i="29"/>
  <c r="H47" i="29"/>
  <c r="G47" i="29"/>
  <c r="F47" i="29"/>
  <c r="E47" i="29"/>
  <c r="C47" i="29"/>
  <c r="B47" i="29"/>
  <c r="AP44" i="29"/>
  <c r="AO44" i="29"/>
  <c r="AM44" i="29"/>
  <c r="AL44" i="29"/>
  <c r="AK44" i="29"/>
  <c r="AJ44" i="29"/>
  <c r="AI44" i="29"/>
  <c r="AH44" i="29"/>
  <c r="AG44" i="29"/>
  <c r="AF44" i="29"/>
  <c r="AE44" i="29"/>
  <c r="AD44" i="29"/>
  <c r="AC44" i="29"/>
  <c r="AB44" i="29"/>
  <c r="AA44" i="29"/>
  <c r="Z44" i="29"/>
  <c r="Y44" i="29"/>
  <c r="X44" i="29"/>
  <c r="W44" i="29"/>
  <c r="V44" i="29"/>
  <c r="U44" i="29"/>
  <c r="T44" i="29"/>
  <c r="S44" i="29"/>
  <c r="R44" i="29"/>
  <c r="Q44" i="29"/>
  <c r="P44" i="29"/>
  <c r="O44" i="29"/>
  <c r="N44" i="29"/>
  <c r="M44" i="29"/>
  <c r="L44" i="29"/>
  <c r="K44" i="29"/>
  <c r="J44" i="29"/>
  <c r="AN45" i="29"/>
  <c r="AN46" i="29" s="1"/>
  <c r="AP43" i="29"/>
  <c r="AO43" i="29"/>
  <c r="AM43" i="29"/>
  <c r="AL43" i="29"/>
  <c r="AK43" i="29"/>
  <c r="AJ43" i="29"/>
  <c r="AI43" i="29"/>
  <c r="AH43" i="29"/>
  <c r="AG43" i="29"/>
  <c r="AF43" i="29"/>
  <c r="AE43" i="29"/>
  <c r="AD43" i="29"/>
  <c r="AC43" i="29"/>
  <c r="AB43" i="29"/>
  <c r="AA43" i="29"/>
  <c r="Z43" i="29"/>
  <c r="Y43" i="29"/>
  <c r="X43" i="29"/>
  <c r="W43" i="29"/>
  <c r="V43" i="29"/>
  <c r="U43" i="29"/>
  <c r="T43" i="29"/>
  <c r="S43" i="29"/>
  <c r="R43" i="29"/>
  <c r="Q43" i="29"/>
  <c r="P43" i="29"/>
  <c r="O43" i="29"/>
  <c r="N43" i="29"/>
  <c r="M43" i="29"/>
  <c r="L43" i="29"/>
  <c r="K43" i="29"/>
  <c r="J43" i="29"/>
  <c r="J3" i="29"/>
  <c r="F81" i="47"/>
  <c r="E81" i="47" s="1"/>
  <c r="F135" i="47"/>
  <c r="E135" i="47" s="1"/>
  <c r="S35" i="52"/>
  <c r="R35" i="52"/>
  <c r="Q35" i="52"/>
  <c r="P35" i="52"/>
  <c r="O35" i="52"/>
  <c r="N35" i="52"/>
  <c r="M35" i="52"/>
  <c r="L35" i="52"/>
  <c r="K35" i="52"/>
  <c r="J35" i="52"/>
  <c r="I35" i="52"/>
  <c r="H35" i="52"/>
  <c r="G35" i="52"/>
  <c r="F35" i="52"/>
  <c r="E35" i="52"/>
  <c r="D35" i="52"/>
  <c r="S34" i="52"/>
  <c r="R34" i="52"/>
  <c r="Q34" i="52"/>
  <c r="P34" i="52"/>
  <c r="O34" i="52"/>
  <c r="N34" i="52"/>
  <c r="M34" i="52"/>
  <c r="L34" i="52"/>
  <c r="K34" i="52"/>
  <c r="J34" i="52"/>
  <c r="I34" i="52"/>
  <c r="H34" i="52"/>
  <c r="G34" i="52"/>
  <c r="F34" i="52"/>
  <c r="E34" i="52"/>
  <c r="D34" i="52"/>
  <c r="S33" i="52"/>
  <c r="R33" i="52"/>
  <c r="Q33" i="52"/>
  <c r="P33" i="52"/>
  <c r="O33" i="52"/>
  <c r="N33" i="52"/>
  <c r="M33" i="52"/>
  <c r="L33" i="52"/>
  <c r="K33" i="52"/>
  <c r="J33" i="52"/>
  <c r="I33" i="52"/>
  <c r="H33" i="52"/>
  <c r="G33" i="52"/>
  <c r="F33" i="52"/>
  <c r="E33" i="52"/>
  <c r="D33" i="52"/>
  <c r="S32" i="52"/>
  <c r="R32" i="52"/>
  <c r="Q32" i="52"/>
  <c r="P32" i="52"/>
  <c r="O32" i="52"/>
  <c r="N32" i="52"/>
  <c r="M32" i="52"/>
  <c r="L32" i="52"/>
  <c r="K32" i="52"/>
  <c r="J32" i="52"/>
  <c r="I32" i="52"/>
  <c r="H32" i="52"/>
  <c r="G32" i="52"/>
  <c r="F32" i="52"/>
  <c r="E32" i="52"/>
  <c r="D32" i="52"/>
  <c r="S31" i="52"/>
  <c r="R31" i="52"/>
  <c r="Q31" i="52"/>
  <c r="P31" i="52"/>
  <c r="O31" i="52"/>
  <c r="N31" i="52"/>
  <c r="M31" i="52"/>
  <c r="L31" i="52"/>
  <c r="K31" i="52"/>
  <c r="J31" i="52"/>
  <c r="I31" i="52"/>
  <c r="H31" i="52"/>
  <c r="G31" i="52"/>
  <c r="F31" i="52"/>
  <c r="E31" i="52"/>
  <c r="D31" i="52"/>
  <c r="S30" i="52"/>
  <c r="R30" i="52"/>
  <c r="Q30" i="52"/>
  <c r="P30" i="52"/>
  <c r="O30" i="52"/>
  <c r="N30" i="52"/>
  <c r="M30" i="52"/>
  <c r="L30" i="52"/>
  <c r="K30" i="52"/>
  <c r="J30" i="52"/>
  <c r="I30" i="52"/>
  <c r="H30" i="52"/>
  <c r="G30" i="52"/>
  <c r="F30" i="52"/>
  <c r="E30" i="52"/>
  <c r="D30" i="52"/>
  <c r="S29" i="52"/>
  <c r="R29" i="52"/>
  <c r="Q29" i="52"/>
  <c r="P29" i="52"/>
  <c r="O29" i="52"/>
  <c r="N29" i="52"/>
  <c r="M29" i="52"/>
  <c r="L29" i="52"/>
  <c r="K29" i="52"/>
  <c r="J29" i="52"/>
  <c r="I29" i="52"/>
  <c r="H29" i="52"/>
  <c r="G29" i="52"/>
  <c r="F29" i="52"/>
  <c r="E29" i="52"/>
  <c r="D29" i="52"/>
  <c r="S28" i="52"/>
  <c r="R28" i="52"/>
  <c r="Q28" i="52"/>
  <c r="P28" i="52"/>
  <c r="O28" i="52"/>
  <c r="N28" i="52"/>
  <c r="M28" i="52"/>
  <c r="L28" i="52"/>
  <c r="K28" i="52"/>
  <c r="J28" i="52"/>
  <c r="I28" i="52"/>
  <c r="H28" i="52"/>
  <c r="G28" i="52"/>
  <c r="F28" i="52"/>
  <c r="E28" i="52"/>
  <c r="D28" i="52"/>
  <c r="S27" i="52"/>
  <c r="R27" i="52"/>
  <c r="Q27" i="52"/>
  <c r="P27" i="52"/>
  <c r="O27" i="52"/>
  <c r="N27" i="52"/>
  <c r="M27" i="52"/>
  <c r="L27" i="52"/>
  <c r="K27" i="52"/>
  <c r="J27" i="52"/>
  <c r="I27" i="52"/>
  <c r="H27" i="52"/>
  <c r="G27" i="52"/>
  <c r="F27" i="52"/>
  <c r="E27" i="52"/>
  <c r="D27" i="52"/>
  <c r="S26" i="52"/>
  <c r="R26" i="52"/>
  <c r="Q26" i="52"/>
  <c r="P26" i="52"/>
  <c r="O26" i="52"/>
  <c r="N26" i="52"/>
  <c r="M26" i="52"/>
  <c r="L26" i="52"/>
  <c r="K26" i="52"/>
  <c r="J26" i="52"/>
  <c r="I26" i="52"/>
  <c r="H26" i="52"/>
  <c r="G26" i="52"/>
  <c r="F26" i="52"/>
  <c r="E26" i="52"/>
  <c r="D26" i="52"/>
  <c r="S25" i="52"/>
  <c r="R25" i="52"/>
  <c r="Q25" i="52"/>
  <c r="P25" i="52"/>
  <c r="O25" i="52"/>
  <c r="N25" i="52"/>
  <c r="M25" i="52"/>
  <c r="L25" i="52"/>
  <c r="K25" i="52"/>
  <c r="J25" i="52"/>
  <c r="I25" i="52"/>
  <c r="H25" i="52"/>
  <c r="G25" i="52"/>
  <c r="F25" i="52"/>
  <c r="E25" i="52"/>
  <c r="D25" i="52"/>
  <c r="S24" i="52"/>
  <c r="R24" i="52"/>
  <c r="Q24" i="52"/>
  <c r="P24" i="52"/>
  <c r="O24" i="52"/>
  <c r="N24" i="52"/>
  <c r="M24" i="52"/>
  <c r="L24" i="52"/>
  <c r="K24" i="52"/>
  <c r="J24" i="52"/>
  <c r="I24" i="52"/>
  <c r="H24" i="52"/>
  <c r="G24" i="52"/>
  <c r="F24" i="52"/>
  <c r="E24" i="52"/>
  <c r="D24" i="52"/>
  <c r="S23" i="52"/>
  <c r="R23" i="52"/>
  <c r="Q23" i="52"/>
  <c r="P23" i="52"/>
  <c r="O23" i="52"/>
  <c r="N23" i="52"/>
  <c r="M23" i="52"/>
  <c r="L23" i="52"/>
  <c r="K23" i="52"/>
  <c r="J23" i="52"/>
  <c r="I23" i="52"/>
  <c r="H23" i="52"/>
  <c r="G23" i="52"/>
  <c r="F23" i="52"/>
  <c r="E23" i="52"/>
  <c r="D23" i="52"/>
  <c r="S22" i="52"/>
  <c r="R22" i="52"/>
  <c r="Q22" i="52"/>
  <c r="P22" i="52"/>
  <c r="O22" i="52"/>
  <c r="N22" i="52"/>
  <c r="M22" i="52"/>
  <c r="L22" i="52"/>
  <c r="K22" i="52"/>
  <c r="J22" i="52"/>
  <c r="I22" i="52"/>
  <c r="H22" i="52"/>
  <c r="G22" i="52"/>
  <c r="F22" i="52"/>
  <c r="E22" i="52"/>
  <c r="D22" i="52"/>
  <c r="S21" i="52"/>
  <c r="R21" i="52"/>
  <c r="Q21" i="52"/>
  <c r="P21" i="52"/>
  <c r="O21" i="52"/>
  <c r="N21" i="52"/>
  <c r="M21" i="52"/>
  <c r="L21" i="52"/>
  <c r="K21" i="52"/>
  <c r="J21" i="52"/>
  <c r="I21" i="52"/>
  <c r="H21" i="52"/>
  <c r="G21" i="52"/>
  <c r="F21" i="52"/>
  <c r="E21" i="52"/>
  <c r="D21" i="52"/>
  <c r="S20" i="52"/>
  <c r="R20" i="52"/>
  <c r="Q20" i="52"/>
  <c r="P20" i="52"/>
  <c r="O20" i="52"/>
  <c r="N20" i="52"/>
  <c r="M20" i="52"/>
  <c r="L20" i="52"/>
  <c r="K20" i="52"/>
  <c r="J20" i="52"/>
  <c r="I20" i="52"/>
  <c r="H20" i="52"/>
  <c r="G20" i="52"/>
  <c r="F20" i="52"/>
  <c r="E20" i="52"/>
  <c r="D20" i="52"/>
  <c r="S19" i="52"/>
  <c r="R19" i="52"/>
  <c r="Q19" i="52"/>
  <c r="P19" i="52"/>
  <c r="O19" i="52"/>
  <c r="N19" i="52"/>
  <c r="M19" i="52"/>
  <c r="L19" i="52"/>
  <c r="K19" i="52"/>
  <c r="J19" i="52"/>
  <c r="I19" i="52"/>
  <c r="H19" i="52"/>
  <c r="G19" i="52"/>
  <c r="F19" i="52"/>
  <c r="E19" i="52"/>
  <c r="D19" i="52"/>
  <c r="S18" i="52"/>
  <c r="R18" i="52"/>
  <c r="Q18" i="52"/>
  <c r="P18" i="52"/>
  <c r="O18" i="52"/>
  <c r="N18" i="52"/>
  <c r="M18" i="52"/>
  <c r="L18" i="52"/>
  <c r="L52" i="52" s="1"/>
  <c r="K18" i="52"/>
  <c r="J18" i="52"/>
  <c r="I18" i="52"/>
  <c r="I52" i="52" s="1"/>
  <c r="H18" i="52"/>
  <c r="H52" i="52" s="1"/>
  <c r="G18" i="52"/>
  <c r="F18" i="52"/>
  <c r="E18" i="52"/>
  <c r="D18" i="52"/>
  <c r="S17" i="52"/>
  <c r="R17" i="52"/>
  <c r="Q17" i="52"/>
  <c r="P17" i="52"/>
  <c r="P51" i="52" s="1"/>
  <c r="O17" i="52"/>
  <c r="N17" i="52"/>
  <c r="M17" i="52"/>
  <c r="M51" i="52" s="1"/>
  <c r="L17" i="52"/>
  <c r="L51" i="52" s="1"/>
  <c r="K17" i="52"/>
  <c r="J17" i="52"/>
  <c r="I17" i="52"/>
  <c r="H17" i="52"/>
  <c r="G17" i="52"/>
  <c r="F17" i="52"/>
  <c r="E17" i="52"/>
  <c r="D17" i="52"/>
  <c r="D51" i="52" s="1"/>
  <c r="S16" i="52"/>
  <c r="R16" i="52"/>
  <c r="Q16" i="52"/>
  <c r="Q50" i="52" s="1"/>
  <c r="P16" i="52"/>
  <c r="O16" i="52"/>
  <c r="N16" i="52"/>
  <c r="M16" i="52"/>
  <c r="L16" i="52"/>
  <c r="K16" i="52"/>
  <c r="J16" i="52"/>
  <c r="I16" i="52"/>
  <c r="H16" i="52"/>
  <c r="H50" i="52" s="1"/>
  <c r="G16" i="52"/>
  <c r="F16" i="52"/>
  <c r="E16" i="52"/>
  <c r="E50" i="52" s="1"/>
  <c r="D16" i="52"/>
  <c r="D50" i="52" s="1"/>
  <c r="S15" i="52"/>
  <c r="R15" i="52"/>
  <c r="Q15" i="52"/>
  <c r="P15" i="52"/>
  <c r="O15" i="52"/>
  <c r="N15" i="52"/>
  <c r="M15" i="52"/>
  <c r="L15" i="52"/>
  <c r="L49" i="52" s="1"/>
  <c r="K15" i="52"/>
  <c r="K49" i="52" s="1"/>
  <c r="J15" i="52"/>
  <c r="I15" i="52"/>
  <c r="I49" i="52" s="1"/>
  <c r="H15" i="52"/>
  <c r="G15" i="52"/>
  <c r="F15" i="52"/>
  <c r="E15" i="52"/>
  <c r="D15" i="52"/>
  <c r="S14" i="52"/>
  <c r="R14" i="52"/>
  <c r="Q14" i="52"/>
  <c r="P14" i="52"/>
  <c r="P48" i="52" s="1"/>
  <c r="O14" i="52"/>
  <c r="O48" i="52" s="1"/>
  <c r="N14" i="52"/>
  <c r="M14" i="52"/>
  <c r="M48" i="52" s="1"/>
  <c r="L14" i="52"/>
  <c r="L48" i="52" s="1"/>
  <c r="K14" i="52"/>
  <c r="J14" i="52"/>
  <c r="I14" i="52"/>
  <c r="H14" i="52"/>
  <c r="G14" i="52"/>
  <c r="F14" i="52"/>
  <c r="E14" i="52"/>
  <c r="D14" i="52"/>
  <c r="D48" i="52" s="1"/>
  <c r="S13" i="52"/>
  <c r="R13" i="52"/>
  <c r="Q13" i="52"/>
  <c r="Q47" i="52" s="1"/>
  <c r="P13" i="52"/>
  <c r="P47" i="52" s="1"/>
  <c r="O13" i="52"/>
  <c r="N13" i="52"/>
  <c r="M13" i="52"/>
  <c r="L13" i="52"/>
  <c r="K13" i="52"/>
  <c r="J13" i="52"/>
  <c r="I13" i="52"/>
  <c r="H13" i="52"/>
  <c r="H47" i="52" s="1"/>
  <c r="G13" i="52"/>
  <c r="F13" i="52"/>
  <c r="E13" i="52"/>
  <c r="E47" i="52" s="1"/>
  <c r="D13" i="52"/>
  <c r="D47" i="52" s="1"/>
  <c r="S12" i="52"/>
  <c r="R12" i="52"/>
  <c r="Q12" i="52"/>
  <c r="P12" i="52"/>
  <c r="O12" i="52"/>
  <c r="N12" i="52"/>
  <c r="M12" i="52"/>
  <c r="L12" i="52"/>
  <c r="L46" i="52" s="1"/>
  <c r="K12" i="52"/>
  <c r="J12" i="52"/>
  <c r="I12" i="52"/>
  <c r="I46" i="52" s="1"/>
  <c r="H12" i="52"/>
  <c r="H46" i="52" s="1"/>
  <c r="G12" i="52"/>
  <c r="F12" i="52"/>
  <c r="E12" i="52"/>
  <c r="D12" i="52"/>
  <c r="S11" i="52"/>
  <c r="R11" i="52"/>
  <c r="Q11" i="52"/>
  <c r="P11" i="52"/>
  <c r="P45" i="52" s="1"/>
  <c r="O11" i="52"/>
  <c r="N11" i="52"/>
  <c r="M11" i="52"/>
  <c r="M45" i="52" s="1"/>
  <c r="L11" i="52"/>
  <c r="K11" i="52"/>
  <c r="J11" i="52"/>
  <c r="I11" i="52"/>
  <c r="H11" i="52"/>
  <c r="G11" i="52"/>
  <c r="F11" i="52"/>
  <c r="E11" i="52"/>
  <c r="D11" i="52"/>
  <c r="D45" i="52" s="1"/>
  <c r="S10" i="52"/>
  <c r="R10" i="52"/>
  <c r="Q10" i="52"/>
  <c r="Q44" i="52" s="1"/>
  <c r="P10" i="52"/>
  <c r="P44" i="52" s="1"/>
  <c r="O10" i="52"/>
  <c r="N10" i="52"/>
  <c r="M10" i="52"/>
  <c r="L10" i="52"/>
  <c r="K10" i="52"/>
  <c r="J10" i="52"/>
  <c r="I10" i="52"/>
  <c r="H10" i="52"/>
  <c r="H44" i="52" s="1"/>
  <c r="G10" i="52"/>
  <c r="F10" i="52"/>
  <c r="E10" i="52"/>
  <c r="E44" i="52" s="1"/>
  <c r="D10" i="52"/>
  <c r="D44" i="52" s="1"/>
  <c r="S9" i="52"/>
  <c r="R9" i="52"/>
  <c r="Q9" i="52"/>
  <c r="P9" i="52"/>
  <c r="O9" i="52"/>
  <c r="N9" i="52"/>
  <c r="M9" i="52"/>
  <c r="L9" i="52"/>
  <c r="L43" i="52" s="1"/>
  <c r="K9" i="52"/>
  <c r="J9" i="52"/>
  <c r="I9" i="52"/>
  <c r="I43" i="52" s="1"/>
  <c r="H9" i="52"/>
  <c r="H43" i="52" s="1"/>
  <c r="G9" i="52"/>
  <c r="F9" i="52"/>
  <c r="E9" i="52"/>
  <c r="D9" i="52"/>
  <c r="S8" i="52"/>
  <c r="R8" i="52"/>
  <c r="Q8" i="52"/>
  <c r="P8" i="52"/>
  <c r="P42" i="52" s="1"/>
  <c r="O8" i="52"/>
  <c r="N8" i="52"/>
  <c r="M8" i="52"/>
  <c r="M42" i="52" s="1"/>
  <c r="L8" i="52"/>
  <c r="L42" i="52" s="1"/>
  <c r="K8" i="52"/>
  <c r="J8" i="52"/>
  <c r="I8" i="52"/>
  <c r="H8" i="52"/>
  <c r="G8" i="52"/>
  <c r="F8" i="52"/>
  <c r="E8" i="52"/>
  <c r="D8" i="52"/>
  <c r="D42" i="52" s="1"/>
  <c r="S7" i="52"/>
  <c r="R7" i="52"/>
  <c r="Q7" i="52"/>
  <c r="Q41" i="52" s="1"/>
  <c r="P7" i="52"/>
  <c r="P41" i="52" s="1"/>
  <c r="O7" i="52"/>
  <c r="N7" i="52"/>
  <c r="M7" i="52"/>
  <c r="L7" i="52"/>
  <c r="K7" i="52"/>
  <c r="J7" i="52"/>
  <c r="I7" i="52"/>
  <c r="H7" i="52"/>
  <c r="H41" i="52" s="1"/>
  <c r="G7" i="52"/>
  <c r="F7" i="52"/>
  <c r="E7" i="52"/>
  <c r="E41" i="52" s="1"/>
  <c r="D7" i="52"/>
  <c r="D41" i="52" s="1"/>
  <c r="S6" i="52"/>
  <c r="R6" i="52"/>
  <c r="Q6" i="52"/>
  <c r="P6" i="52"/>
  <c r="O6" i="52"/>
  <c r="N6" i="52"/>
  <c r="M6" i="52"/>
  <c r="L6" i="52"/>
  <c r="L40" i="52" s="1"/>
  <c r="K6" i="52"/>
  <c r="K40" i="52" s="1"/>
  <c r="J6" i="52"/>
  <c r="I6" i="52"/>
  <c r="I40" i="52" s="1"/>
  <c r="H6" i="52"/>
  <c r="H40" i="52" s="1"/>
  <c r="G6" i="52"/>
  <c r="F6" i="52"/>
  <c r="E6" i="52"/>
  <c r="D6" i="52"/>
  <c r="S5" i="52"/>
  <c r="R5" i="52"/>
  <c r="Q5" i="52"/>
  <c r="P5" i="52"/>
  <c r="P39" i="52" s="1"/>
  <c r="O5" i="52"/>
  <c r="O39" i="52" s="1"/>
  <c r="N5" i="52"/>
  <c r="M5" i="52"/>
  <c r="M39" i="52" s="1"/>
  <c r="L5" i="52"/>
  <c r="L39" i="52" s="1"/>
  <c r="K5" i="52"/>
  <c r="J5" i="52"/>
  <c r="I5" i="52"/>
  <c r="H5" i="52"/>
  <c r="G5" i="52"/>
  <c r="F5" i="52"/>
  <c r="E5" i="52"/>
  <c r="D5" i="52"/>
  <c r="D39" i="52" s="1"/>
  <c r="S4" i="52"/>
  <c r="R4" i="52"/>
  <c r="Q4" i="52"/>
  <c r="Q38" i="52" s="1"/>
  <c r="P4" i="52"/>
  <c r="P38" i="52" s="1"/>
  <c r="O4" i="52"/>
  <c r="N4" i="52"/>
  <c r="M4" i="52"/>
  <c r="L4" i="52"/>
  <c r="K4" i="52"/>
  <c r="J4" i="52"/>
  <c r="I4" i="52"/>
  <c r="H4" i="52"/>
  <c r="H38" i="52" s="1"/>
  <c r="G4" i="52"/>
  <c r="F4" i="52"/>
  <c r="E4" i="52"/>
  <c r="E38" i="52" s="1"/>
  <c r="D4" i="52"/>
  <c r="S3" i="52"/>
  <c r="R3" i="52"/>
  <c r="Q3" i="52"/>
  <c r="P3" i="52"/>
  <c r="O3" i="52"/>
  <c r="N3" i="52"/>
  <c r="M3" i="52"/>
  <c r="L3" i="52"/>
  <c r="K3" i="52"/>
  <c r="J3" i="52"/>
  <c r="I3" i="52"/>
  <c r="I37" i="52" s="1"/>
  <c r="H3" i="52"/>
  <c r="H37" i="52" s="1"/>
  <c r="G3" i="52"/>
  <c r="F3" i="52"/>
  <c r="E3" i="52"/>
  <c r="D3" i="52"/>
  <c r="S2" i="52"/>
  <c r="R2" i="52"/>
  <c r="Q2" i="52"/>
  <c r="P2" i="52"/>
  <c r="O2" i="52"/>
  <c r="N2" i="52"/>
  <c r="M2" i="52"/>
  <c r="M36" i="52" s="1"/>
  <c r="L2" i="52"/>
  <c r="L36" i="52" s="1"/>
  <c r="K2" i="52"/>
  <c r="J2" i="52"/>
  <c r="I2" i="52"/>
  <c r="H2" i="52"/>
  <c r="G2" i="52"/>
  <c r="F2" i="52"/>
  <c r="E2" i="52"/>
  <c r="D2" i="52"/>
  <c r="D8" i="29"/>
  <c r="D14" i="29" s="1"/>
  <c r="E8" i="29"/>
  <c r="E14" i="29" s="1"/>
  <c r="F8" i="29"/>
  <c r="F14" i="29" s="1"/>
  <c r="G8" i="29"/>
  <c r="G14" i="29" s="1"/>
  <c r="H8" i="29"/>
  <c r="H14" i="29" s="1"/>
  <c r="G4" i="47"/>
  <c r="H4" i="47"/>
  <c r="I4" i="47"/>
  <c r="J4" i="47"/>
  <c r="K4" i="47"/>
  <c r="L4" i="47"/>
  <c r="M4" i="47"/>
  <c r="N4" i="47"/>
  <c r="O4" i="47"/>
  <c r="P4" i="47"/>
  <c r="Q4" i="47"/>
  <c r="R4" i="47"/>
  <c r="S4" i="47"/>
  <c r="T4" i="47"/>
  <c r="U4" i="47"/>
  <c r="V4" i="47"/>
  <c r="W4" i="47"/>
  <c r="X4" i="47"/>
  <c r="Y4" i="47"/>
  <c r="Z4" i="47"/>
  <c r="AA4" i="47"/>
  <c r="AB4" i="47"/>
  <c r="AC4" i="47"/>
  <c r="AD4" i="47"/>
  <c r="AE4" i="47"/>
  <c r="AF4" i="47"/>
  <c r="AG4" i="47"/>
  <c r="AH4" i="47"/>
  <c r="AI4" i="47"/>
  <c r="AJ4" i="47"/>
  <c r="AK4" i="47"/>
  <c r="AL4" i="47"/>
  <c r="AM4" i="47"/>
  <c r="F29" i="27"/>
  <c r="E29" i="27"/>
  <c r="D29" i="27"/>
  <c r="C29" i="27"/>
  <c r="B29" i="27"/>
  <c r="A29" i="27"/>
  <c r="A28" i="27"/>
  <c r="F27" i="27"/>
  <c r="E27" i="27"/>
  <c r="D27" i="27"/>
  <c r="C25" i="56" s="1"/>
  <c r="C104" i="56" s="1"/>
  <c r="C88" i="56" s="1"/>
  <c r="C27" i="27"/>
  <c r="B27" i="27"/>
  <c r="A27" i="27"/>
  <c r="F26" i="27"/>
  <c r="E26" i="27"/>
  <c r="D26" i="27"/>
  <c r="C24" i="56" s="1"/>
  <c r="C26" i="27"/>
  <c r="B26" i="27"/>
  <c r="A26" i="27"/>
  <c r="F25" i="27"/>
  <c r="E25" i="27"/>
  <c r="D25" i="27"/>
  <c r="C23" i="56" s="1"/>
  <c r="C25" i="27"/>
  <c r="B25" i="27"/>
  <c r="A25" i="27"/>
  <c r="F24" i="27"/>
  <c r="E24" i="27"/>
  <c r="D24" i="27"/>
  <c r="C22" i="56" s="1"/>
  <c r="C24" i="27"/>
  <c r="B24" i="27"/>
  <c r="F23" i="27"/>
  <c r="E23" i="27"/>
  <c r="D23" i="27"/>
  <c r="C21" i="56" s="1"/>
  <c r="C23" i="27"/>
  <c r="B23" i="27"/>
  <c r="F22" i="27"/>
  <c r="E22" i="27"/>
  <c r="D22" i="27"/>
  <c r="C20" i="56" s="1"/>
  <c r="C22" i="27"/>
  <c r="B22" i="27"/>
  <c r="F21" i="27"/>
  <c r="E21" i="27"/>
  <c r="D21" i="27"/>
  <c r="C19" i="56" s="1"/>
  <c r="C21" i="27"/>
  <c r="B21" i="27"/>
  <c r="F20" i="27"/>
  <c r="E20" i="27"/>
  <c r="D20" i="27"/>
  <c r="C18" i="56" s="1"/>
  <c r="C20" i="27"/>
  <c r="B20" i="27"/>
  <c r="F19" i="27"/>
  <c r="E19" i="27"/>
  <c r="D19" i="27"/>
  <c r="C17" i="56" s="1"/>
  <c r="C19" i="27"/>
  <c r="B19" i="27"/>
  <c r="F18" i="27"/>
  <c r="E18" i="27"/>
  <c r="D18" i="27"/>
  <c r="C16" i="56" s="1"/>
  <c r="C18" i="27"/>
  <c r="B18" i="27"/>
  <c r="F17" i="27"/>
  <c r="E17" i="27"/>
  <c r="D17" i="27"/>
  <c r="C15" i="56" s="1"/>
  <c r="C17" i="27"/>
  <c r="B17" i="27"/>
  <c r="F16" i="27"/>
  <c r="E16" i="27"/>
  <c r="D16" i="27"/>
  <c r="C14" i="56" s="1"/>
  <c r="C16" i="27"/>
  <c r="B16" i="27"/>
  <c r="F15" i="27"/>
  <c r="E15" i="27"/>
  <c r="D15" i="27"/>
  <c r="C13" i="56" s="1"/>
  <c r="C92" i="56" s="1"/>
  <c r="C76" i="56" s="1"/>
  <c r="C15" i="27"/>
  <c r="B15" i="27"/>
  <c r="A14" i="27"/>
  <c r="F13" i="27"/>
  <c r="E13" i="27"/>
  <c r="D13" i="27"/>
  <c r="C13" i="27"/>
  <c r="B13" i="27"/>
  <c r="A13" i="27"/>
  <c r="F12" i="27"/>
  <c r="E12" i="27"/>
  <c r="D12" i="27"/>
  <c r="C12" i="27"/>
  <c r="B12" i="27"/>
  <c r="A12" i="27"/>
  <c r="F11" i="27"/>
  <c r="E11" i="27"/>
  <c r="D11" i="27"/>
  <c r="C11" i="27"/>
  <c r="B11" i="27"/>
  <c r="A11" i="27"/>
  <c r="F10" i="27"/>
  <c r="E10" i="27"/>
  <c r="D10" i="27"/>
  <c r="C10" i="27"/>
  <c r="B10" i="27"/>
  <c r="A10" i="27"/>
  <c r="F9" i="27"/>
  <c r="E9" i="27"/>
  <c r="D9" i="27"/>
  <c r="C9" i="27"/>
  <c r="B9" i="27"/>
  <c r="A9" i="27"/>
  <c r="F8" i="27"/>
  <c r="E8" i="27"/>
  <c r="D8" i="27"/>
  <c r="C8" i="27"/>
  <c r="B8" i="27"/>
  <c r="A8" i="27"/>
  <c r="F7" i="27"/>
  <c r="E7" i="27"/>
  <c r="D7" i="27"/>
  <c r="C7" i="27"/>
  <c r="B7" i="27"/>
  <c r="A7" i="27"/>
  <c r="F6" i="27"/>
  <c r="E6" i="27"/>
  <c r="D6" i="27"/>
  <c r="C6" i="27"/>
  <c r="B6" i="27"/>
  <c r="A6" i="27"/>
  <c r="B8" i="44"/>
  <c r="B9" i="44" s="1"/>
  <c r="B10" i="44" s="1"/>
  <c r="B11" i="44" s="1"/>
  <c r="B12" i="44" s="1"/>
  <c r="B13" i="44" s="1"/>
  <c r="B14" i="44" s="1"/>
  <c r="B15" i="44" s="1"/>
  <c r="B16" i="44" s="1"/>
  <c r="B17" i="44" s="1"/>
  <c r="B18" i="44" s="1"/>
  <c r="B19" i="44" s="1"/>
  <c r="B20" i="44" s="1"/>
  <c r="B21" i="44" s="1"/>
  <c r="B22" i="44" s="1"/>
  <c r="B23" i="44" s="1"/>
  <c r="B24" i="44" s="1"/>
  <c r="B25" i="44" s="1"/>
  <c r="B26" i="44" s="1"/>
  <c r="B27" i="44" s="1"/>
  <c r="B28" i="44" s="1"/>
  <c r="B29" i="44" s="1"/>
  <c r="B30" i="44" s="1"/>
  <c r="B31" i="44" s="1"/>
  <c r="B32" i="44" s="1"/>
  <c r="B33" i="44" s="1"/>
  <c r="B34" i="44" s="1"/>
  <c r="F89" i="47"/>
  <c r="F90" i="47"/>
  <c r="F91" i="47"/>
  <c r="F92" i="47"/>
  <c r="F93" i="47"/>
  <c r="F94" i="47"/>
  <c r="F95" i="47"/>
  <c r="F96" i="47"/>
  <c r="J26" i="35"/>
  <c r="J25" i="35"/>
  <c r="J24" i="35"/>
  <c r="J23" i="35"/>
  <c r="J22" i="35"/>
  <c r="A26" i="35"/>
  <c r="H26" i="35" s="1"/>
  <c r="A25" i="35"/>
  <c r="C25" i="35" s="1"/>
  <c r="A24" i="35"/>
  <c r="H24" i="35" s="1"/>
  <c r="A23" i="35"/>
  <c r="C23" i="35" s="1"/>
  <c r="A22" i="35"/>
  <c r="E22" i="35" s="1"/>
  <c r="C13" i="35"/>
  <c r="B13" i="35"/>
  <c r="D26" i="35" s="1"/>
  <c r="C12" i="35"/>
  <c r="B12" i="35"/>
  <c r="D25" i="35" s="1"/>
  <c r="C11" i="35"/>
  <c r="B11" i="35"/>
  <c r="D24" i="35" s="1"/>
  <c r="C10" i="35"/>
  <c r="B10" i="35"/>
  <c r="D23" i="35" s="1"/>
  <c r="C9" i="35"/>
  <c r="B9" i="35"/>
  <c r="D22" i="35" s="1"/>
  <c r="D13" i="34"/>
  <c r="C13" i="34"/>
  <c r="D12" i="34"/>
  <c r="C12" i="34"/>
  <c r="D11" i="34"/>
  <c r="C11" i="34"/>
  <c r="D10" i="34"/>
  <c r="C10" i="34"/>
  <c r="D9" i="34"/>
  <c r="C9" i="34"/>
  <c r="AO8" i="44"/>
  <c r="AO9" i="44" s="1"/>
  <c r="AO10" i="44" s="1"/>
  <c r="AO11" i="44" s="1"/>
  <c r="AO12" i="44" s="1"/>
  <c r="AO13" i="44" s="1"/>
  <c r="AO14" i="44" s="1"/>
  <c r="AO15" i="44" s="1"/>
  <c r="AO16" i="44" s="1"/>
  <c r="AO17" i="44" s="1"/>
  <c r="AO18" i="44" s="1"/>
  <c r="AO19" i="44" s="1"/>
  <c r="AO20" i="44" s="1"/>
  <c r="AO21" i="44" s="1"/>
  <c r="AO22" i="44" s="1"/>
  <c r="D6" i="44"/>
  <c r="E6" i="44" s="1"/>
  <c r="F6" i="44" s="1"/>
  <c r="G6" i="44" s="1"/>
  <c r="H6" i="44" s="1"/>
  <c r="I6" i="44" s="1"/>
  <c r="J6" i="44" s="1"/>
  <c r="K6" i="44" s="1"/>
  <c r="L6" i="44" s="1"/>
  <c r="M6" i="44" s="1"/>
  <c r="N6" i="44" s="1"/>
  <c r="O6" i="44" s="1"/>
  <c r="P6" i="44" s="1"/>
  <c r="Q6" i="44" s="1"/>
  <c r="R6" i="44" s="1"/>
  <c r="S6" i="44" s="1"/>
  <c r="T6" i="44" s="1"/>
  <c r="U6" i="44" s="1"/>
  <c r="V6" i="44" s="1"/>
  <c r="W6" i="44" s="1"/>
  <c r="X6" i="44" s="1"/>
  <c r="Y6" i="44" s="1"/>
  <c r="Z6" i="44" s="1"/>
  <c r="AA6" i="44" s="1"/>
  <c r="AB6" i="44" s="1"/>
  <c r="AC6" i="44" s="1"/>
  <c r="AD6" i="44" s="1"/>
  <c r="AE6" i="44" s="1"/>
  <c r="AF6" i="44" s="1"/>
  <c r="AG6" i="44" s="1"/>
  <c r="F6" i="47"/>
  <c r="F7" i="47"/>
  <c r="F8" i="47"/>
  <c r="F9" i="47"/>
  <c r="F10" i="47"/>
  <c r="E10" i="47" s="1"/>
  <c r="F11" i="47"/>
  <c r="E11" i="47" s="1"/>
  <c r="F12" i="47"/>
  <c r="E12" i="47" s="1"/>
  <c r="F13" i="47"/>
  <c r="E13" i="47" s="1"/>
  <c r="F14" i="47"/>
  <c r="E14" i="47" s="1"/>
  <c r="F15" i="47"/>
  <c r="E15" i="47" s="1"/>
  <c r="F16" i="47"/>
  <c r="E16" i="47" s="1"/>
  <c r="F17" i="47"/>
  <c r="E17" i="47" s="1"/>
  <c r="F18" i="47"/>
  <c r="E18" i="47" s="1"/>
  <c r="F19" i="47"/>
  <c r="E19" i="47" s="1"/>
  <c r="F20" i="47"/>
  <c r="E20" i="47" s="1"/>
  <c r="F21" i="47"/>
  <c r="E21" i="47" s="1"/>
  <c r="F22" i="47"/>
  <c r="E22" i="47" s="1"/>
  <c r="F23" i="47"/>
  <c r="E23" i="47" s="1"/>
  <c r="F24" i="47"/>
  <c r="E24" i="47" s="1"/>
  <c r="F25" i="47"/>
  <c r="E25" i="47" s="1"/>
  <c r="F26" i="47"/>
  <c r="E26" i="47" s="1"/>
  <c r="F27" i="47"/>
  <c r="E27" i="47" s="1"/>
  <c r="F28" i="47"/>
  <c r="E28" i="47" s="1"/>
  <c r="F29" i="47"/>
  <c r="E29" i="47" s="1"/>
  <c r="F30" i="47"/>
  <c r="E30" i="47" s="1"/>
  <c r="F31" i="47"/>
  <c r="E31" i="47" s="1"/>
  <c r="F32" i="47"/>
  <c r="E32" i="47" s="1"/>
  <c r="F33" i="47"/>
  <c r="E33" i="47" s="1"/>
  <c r="F34" i="47"/>
  <c r="E34" i="47" s="1"/>
  <c r="F35" i="47"/>
  <c r="E35" i="47" s="1"/>
  <c r="F36" i="47"/>
  <c r="E36" i="47" s="1"/>
  <c r="F37" i="47"/>
  <c r="E37" i="47" s="1"/>
  <c r="F38" i="47"/>
  <c r="E38" i="47" s="1"/>
  <c r="F39" i="47"/>
  <c r="E39" i="47" s="1"/>
  <c r="F40" i="47"/>
  <c r="E40" i="47" s="1"/>
  <c r="F41" i="47"/>
  <c r="E41" i="47" s="1"/>
  <c r="F42" i="47"/>
  <c r="E42" i="47" s="1"/>
  <c r="F43" i="47"/>
  <c r="E43" i="47" s="1"/>
  <c r="F44" i="47"/>
  <c r="E44" i="47" s="1"/>
  <c r="F45" i="47"/>
  <c r="E45" i="47" s="1"/>
  <c r="F46" i="47"/>
  <c r="E46" i="47" s="1"/>
  <c r="F47" i="47"/>
  <c r="E47" i="47" s="1"/>
  <c r="F48" i="47"/>
  <c r="E48" i="47" s="1"/>
  <c r="F49" i="47"/>
  <c r="E49" i="47" s="1"/>
  <c r="F50" i="47"/>
  <c r="E50" i="47" s="1"/>
  <c r="F51" i="47"/>
  <c r="E51" i="47" s="1"/>
  <c r="F52" i="47"/>
  <c r="E52" i="47" s="1"/>
  <c r="F53" i="47"/>
  <c r="E53" i="47" s="1"/>
  <c r="F54" i="47"/>
  <c r="E54" i="47" s="1"/>
  <c r="F55" i="47"/>
  <c r="E55" i="47" s="1"/>
  <c r="F56" i="47"/>
  <c r="E56" i="47" s="1"/>
  <c r="F57" i="47"/>
  <c r="E57" i="47" s="1"/>
  <c r="F58" i="47"/>
  <c r="E58" i="47" s="1"/>
  <c r="F59" i="47"/>
  <c r="E59" i="47" s="1"/>
  <c r="F60" i="47"/>
  <c r="E60" i="47" s="1"/>
  <c r="F61" i="47"/>
  <c r="E61" i="47" s="1"/>
  <c r="F62" i="47"/>
  <c r="F63" i="47"/>
  <c r="F64" i="47"/>
  <c r="F65" i="47"/>
  <c r="F66" i="47"/>
  <c r="F67" i="47"/>
  <c r="F68" i="47"/>
  <c r="F69" i="47"/>
  <c r="F70" i="47"/>
  <c r="F71" i="47"/>
  <c r="F72" i="47"/>
  <c r="F73" i="47"/>
  <c r="F74" i="47"/>
  <c r="F75" i="47"/>
  <c r="F76" i="47"/>
  <c r="F77" i="47"/>
  <c r="F78" i="47"/>
  <c r="F79" i="47"/>
  <c r="F80" i="47"/>
  <c r="F82" i="47"/>
  <c r="F86" i="47"/>
  <c r="F88" i="47"/>
  <c r="F87" i="47"/>
  <c r="F83" i="47"/>
  <c r="E83" i="47" s="1"/>
  <c r="F97" i="47"/>
  <c r="F99" i="47"/>
  <c r="F98" i="47"/>
  <c r="F100" i="47"/>
  <c r="E100" i="47" s="1"/>
  <c r="F101" i="47"/>
  <c r="E101" i="47" s="1"/>
  <c r="F102" i="47"/>
  <c r="E102" i="47" s="1"/>
  <c r="F103" i="47"/>
  <c r="E103" i="47" s="1"/>
  <c r="G103" i="47" s="1"/>
  <c r="F104" i="47"/>
  <c r="E104" i="47" s="1"/>
  <c r="F105" i="47"/>
  <c r="E105" i="47" s="1"/>
  <c r="G105" i="47" s="1"/>
  <c r="F106" i="47"/>
  <c r="E106" i="47" s="1"/>
  <c r="F107" i="47"/>
  <c r="E107" i="47" s="1"/>
  <c r="G107" i="47" s="1"/>
  <c r="F108" i="47"/>
  <c r="F109" i="47"/>
  <c r="F110" i="47"/>
  <c r="F111" i="47"/>
  <c r="F112" i="47"/>
  <c r="F113" i="47"/>
  <c r="F114" i="47"/>
  <c r="F115" i="47"/>
  <c r="F116" i="47"/>
  <c r="F117" i="47"/>
  <c r="F118" i="47"/>
  <c r="F119" i="47"/>
  <c r="F120" i="47"/>
  <c r="F121" i="47"/>
  <c r="F122" i="47"/>
  <c r="F123" i="47"/>
  <c r="F124" i="47"/>
  <c r="F125" i="47"/>
  <c r="F126" i="47"/>
  <c r="F127" i="47"/>
  <c r="E127" i="47" s="1"/>
  <c r="F128" i="47"/>
  <c r="E128" i="47" s="1"/>
  <c r="F129" i="47"/>
  <c r="E129" i="47" s="1"/>
  <c r="F130" i="47"/>
  <c r="E130" i="47" s="1"/>
  <c r="F131" i="47"/>
  <c r="E131" i="47" s="1"/>
  <c r="F132" i="47"/>
  <c r="E132" i="47" s="1"/>
  <c r="F133" i="47"/>
  <c r="E133" i="47" s="1"/>
  <c r="F134" i="47"/>
  <c r="E134" i="47" s="1"/>
  <c r="F5" i="47"/>
  <c r="A1" i="35"/>
  <c r="E9" i="29"/>
  <c r="F9" i="29" s="1"/>
  <c r="G9" i="29" s="1"/>
  <c r="H9" i="29" s="1"/>
  <c r="J9" i="29"/>
  <c r="K9" i="29" s="1"/>
  <c r="E11" i="29"/>
  <c r="F11" i="29" s="1"/>
  <c r="G11" i="29" s="1"/>
  <c r="H11" i="29" s="1"/>
  <c r="J11" i="29"/>
  <c r="K11" i="29" s="1"/>
  <c r="D16" i="29"/>
  <c r="E16" i="29" s="1"/>
  <c r="F16" i="29" s="1"/>
  <c r="G16" i="29" s="1"/>
  <c r="H16" i="29" s="1"/>
  <c r="B17" i="35"/>
  <c r="C17" i="35"/>
  <c r="J17" i="35"/>
  <c r="K17" i="35" s="1"/>
  <c r="L17" i="35" s="1"/>
  <c r="M17" i="35" s="1"/>
  <c r="N17" i="35" s="1"/>
  <c r="O17" i="35" s="1"/>
  <c r="P17" i="35" s="1"/>
  <c r="Q17" i="35" s="1"/>
  <c r="R17" i="35" s="1"/>
  <c r="S17" i="35" s="1"/>
  <c r="T17" i="35" s="1"/>
  <c r="U17" i="35" s="1"/>
  <c r="V17" i="35" s="1"/>
  <c r="W17" i="35" s="1"/>
  <c r="X17" i="35" s="1"/>
  <c r="Y17" i="35" s="1"/>
  <c r="Z17" i="35" s="1"/>
  <c r="AA17" i="35" s="1"/>
  <c r="AB17" i="35" s="1"/>
  <c r="AC17" i="35" s="1"/>
  <c r="AD17" i="35" s="1"/>
  <c r="AE17" i="35" s="1"/>
  <c r="AF17" i="35" s="1"/>
  <c r="AG17" i="35" s="1"/>
  <c r="AH17" i="35" s="1"/>
  <c r="AI17" i="35" s="1"/>
  <c r="AJ17" i="35" s="1"/>
  <c r="AK17" i="35" s="1"/>
  <c r="AL17" i="35" s="1"/>
  <c r="AM17" i="35" s="1"/>
  <c r="AN17" i="35" s="1"/>
  <c r="AO17" i="35" s="1"/>
  <c r="AP17" i="35" s="1"/>
  <c r="A1" i="29"/>
  <c r="L45" i="52"/>
  <c r="O38" i="52"/>
  <c r="Q52" i="52"/>
  <c r="M41" i="52"/>
  <c r="E108" i="47"/>
  <c r="D38" i="52"/>
  <c r="H49" i="52"/>
  <c r="P50" i="52"/>
  <c r="E33" i="29"/>
  <c r="J33" i="29" s="1"/>
  <c r="M33" i="29" s="1"/>
  <c r="N33" i="29" s="1"/>
  <c r="O33" i="29" s="1"/>
  <c r="P33" i="29" s="1"/>
  <c r="Q33" i="29" s="1"/>
  <c r="R33" i="29" s="1"/>
  <c r="J36" i="29"/>
  <c r="D36" i="52" l="1"/>
  <c r="P36" i="52"/>
  <c r="L37" i="52"/>
  <c r="Q37" i="52"/>
  <c r="I42" i="52"/>
  <c r="E46" i="52"/>
  <c r="E49" i="52"/>
  <c r="Q49" i="52"/>
  <c r="I36" i="52"/>
  <c r="E37" i="52"/>
  <c r="M38" i="52"/>
  <c r="I39" i="52"/>
  <c r="E40" i="52"/>
  <c r="Q40" i="52"/>
  <c r="E43" i="52"/>
  <c r="Q43" i="52"/>
  <c r="M44" i="52"/>
  <c r="I45" i="52"/>
  <c r="Q46" i="52"/>
  <c r="M47" i="52"/>
  <c r="I48" i="52"/>
  <c r="M50" i="52"/>
  <c r="I51" i="52"/>
  <c r="E52" i="52"/>
  <c r="L44" i="52"/>
  <c r="P49" i="52"/>
  <c r="J36" i="52"/>
  <c r="F37" i="52"/>
  <c r="R37" i="52"/>
  <c r="N38" i="52"/>
  <c r="J39" i="52"/>
  <c r="F40" i="52"/>
  <c r="R40" i="52"/>
  <c r="N41" i="52"/>
  <c r="J42" i="52"/>
  <c r="F43" i="52"/>
  <c r="R43" i="52"/>
  <c r="N44" i="52"/>
  <c r="J45" i="52"/>
  <c r="F46" i="52"/>
  <c r="R46" i="52"/>
  <c r="N47" i="52"/>
  <c r="J48" i="52"/>
  <c r="F49" i="52"/>
  <c r="R49" i="52"/>
  <c r="N50" i="52"/>
  <c r="J51" i="52"/>
  <c r="F52" i="52"/>
  <c r="R52" i="52"/>
  <c r="R39" i="52"/>
  <c r="H36" i="52"/>
  <c r="D37" i="52"/>
  <c r="P37" i="52"/>
  <c r="L38" i="52"/>
  <c r="H39" i="52"/>
  <c r="D40" i="52"/>
  <c r="P40" i="52"/>
  <c r="L41" i="52"/>
  <c r="H42" i="52"/>
  <c r="D43" i="52"/>
  <c r="P43" i="52"/>
  <c r="H45" i="52"/>
  <c r="D46" i="52"/>
  <c r="P46" i="52"/>
  <c r="L47" i="52"/>
  <c r="H48" i="52"/>
  <c r="D49" i="52"/>
  <c r="L50" i="52"/>
  <c r="H51" i="52"/>
  <c r="D52" i="52"/>
  <c r="P52" i="52"/>
  <c r="J19" i="57"/>
  <c r="J20" i="57"/>
  <c r="G106" i="47"/>
  <c r="G104" i="47"/>
  <c r="J51" i="29"/>
  <c r="G108" i="47" s="1"/>
  <c r="J47" i="29"/>
  <c r="G83" i="47" s="1"/>
  <c r="S36" i="52"/>
  <c r="K44" i="52"/>
  <c r="S48" i="52"/>
  <c r="G36" i="52"/>
  <c r="O37" i="52"/>
  <c r="K38" i="52"/>
  <c r="G39" i="52"/>
  <c r="S39" i="52"/>
  <c r="O40" i="52"/>
  <c r="K41" i="52"/>
  <c r="G42" i="52"/>
  <c r="S42" i="52"/>
  <c r="O43" i="52"/>
  <c r="G45" i="52"/>
  <c r="S45" i="52"/>
  <c r="O46" i="52"/>
  <c r="K47" i="52"/>
  <c r="G48" i="52"/>
  <c r="O49" i="52"/>
  <c r="K50" i="52"/>
  <c r="G51" i="52"/>
  <c r="S51" i="52"/>
  <c r="O52" i="52"/>
  <c r="J52" i="52"/>
  <c r="O50" i="52"/>
  <c r="O36" i="52"/>
  <c r="K37" i="52"/>
  <c r="G38" i="52"/>
  <c r="S38" i="52"/>
  <c r="G41" i="52"/>
  <c r="S41" i="52"/>
  <c r="O42" i="52"/>
  <c r="K43" i="52"/>
  <c r="G44" i="52"/>
  <c r="S44" i="52"/>
  <c r="O45" i="52"/>
  <c r="K46" i="52"/>
  <c r="G47" i="52"/>
  <c r="S47" i="52"/>
  <c r="G50" i="52"/>
  <c r="S50" i="52"/>
  <c r="O51" i="52"/>
  <c r="K52" i="52"/>
  <c r="N36" i="52"/>
  <c r="J37" i="52"/>
  <c r="F38" i="52"/>
  <c r="R38" i="52"/>
  <c r="N39" i="52"/>
  <c r="J40" i="52"/>
  <c r="F41" i="52"/>
  <c r="R41" i="52"/>
  <c r="N42" i="52"/>
  <c r="J43" i="52"/>
  <c r="F44" i="52"/>
  <c r="R44" i="52"/>
  <c r="N45" i="52"/>
  <c r="J46" i="52"/>
  <c r="F47" i="52"/>
  <c r="R47" i="52"/>
  <c r="N48" i="52"/>
  <c r="J49" i="52"/>
  <c r="F50" i="52"/>
  <c r="R50" i="52"/>
  <c r="N51" i="52"/>
  <c r="G19" i="57"/>
  <c r="G20" i="57"/>
  <c r="D35" i="44"/>
  <c r="K9" i="55"/>
  <c r="G3" i="56"/>
  <c r="L9" i="55"/>
  <c r="M9" i="55"/>
  <c r="F11" i="57"/>
  <c r="E45" i="52"/>
  <c r="Q45" i="52"/>
  <c r="I50" i="52"/>
  <c r="E51" i="52"/>
  <c r="D7" i="56"/>
  <c r="D9" i="56"/>
  <c r="D8" i="56"/>
  <c r="G15" i="55"/>
  <c r="G19" i="55"/>
  <c r="G10" i="55"/>
  <c r="G22" i="55"/>
  <c r="G14" i="55"/>
  <c r="G13" i="55"/>
  <c r="G20" i="55"/>
  <c r="G12" i="55"/>
  <c r="G21" i="55"/>
  <c r="G16" i="55"/>
  <c r="G17" i="55"/>
  <c r="G18" i="55"/>
  <c r="C97" i="56"/>
  <c r="C81" i="56" s="1"/>
  <c r="C31" i="56"/>
  <c r="C54" i="56" s="1"/>
  <c r="D114" i="56"/>
  <c r="M114" i="56" s="1"/>
  <c r="N114" i="56" s="1" a="1"/>
  <c r="N114" i="56" s="1"/>
  <c r="O114" i="56" s="1" a="1"/>
  <c r="O114" i="56" s="1"/>
  <c r="D140" i="56"/>
  <c r="B16" i="56"/>
  <c r="D147" i="56"/>
  <c r="D121" i="56"/>
  <c r="M121" i="56" s="1"/>
  <c r="B23" i="56"/>
  <c r="D149" i="56"/>
  <c r="D123" i="56"/>
  <c r="M123" i="56" s="1"/>
  <c r="N123" i="56" s="1" a="1"/>
  <c r="N123" i="56" s="1"/>
  <c r="O123" i="56" s="1" a="1"/>
  <c r="O123" i="56" s="1"/>
  <c r="B25" i="56"/>
  <c r="C29" i="56"/>
  <c r="C52" i="56" s="1"/>
  <c r="C95" i="56"/>
  <c r="C79" i="56" s="1"/>
  <c r="B21" i="56"/>
  <c r="D145" i="56"/>
  <c r="D119" i="56"/>
  <c r="M119" i="56" s="1"/>
  <c r="N119" i="56" s="1" a="1"/>
  <c r="N119" i="56" s="1"/>
  <c r="O119" i="56" s="1" a="1"/>
  <c r="O119" i="56" s="1"/>
  <c r="C102" i="56"/>
  <c r="C86" i="56" s="1"/>
  <c r="C36" i="56"/>
  <c r="C59" i="56" s="1"/>
  <c r="D138" i="56"/>
  <c r="D112" i="56"/>
  <c r="M112" i="56" s="1"/>
  <c r="N112" i="56" s="1" a="1"/>
  <c r="N112" i="56" s="1"/>
  <c r="O112" i="56" s="1" a="1"/>
  <c r="O112" i="56" s="1"/>
  <c r="B14" i="56"/>
  <c r="B39" i="56" s="1"/>
  <c r="B46" i="56" s="1"/>
  <c r="C100" i="56"/>
  <c r="C84" i="56" s="1"/>
  <c r="C34" i="56"/>
  <c r="C57" i="56" s="1"/>
  <c r="C39" i="56"/>
  <c r="C46" i="56" s="1"/>
  <c r="C93" i="56"/>
  <c r="C77" i="56" s="1"/>
  <c r="B19" i="56"/>
  <c r="D143" i="56"/>
  <c r="D117" i="56"/>
  <c r="M117" i="56" s="1"/>
  <c r="C98" i="56"/>
  <c r="C82" i="56" s="1"/>
  <c r="C32" i="56"/>
  <c r="C55" i="56" s="1"/>
  <c r="B17" i="56"/>
  <c r="D141" i="56"/>
  <c r="D115" i="56"/>
  <c r="M115" i="56" s="1"/>
  <c r="N115" i="56" s="1" a="1"/>
  <c r="N115" i="56" s="1"/>
  <c r="O115" i="56" s="1" a="1"/>
  <c r="O115" i="56" s="1"/>
  <c r="C96" i="56"/>
  <c r="C80" i="56" s="1"/>
  <c r="C30" i="56"/>
  <c r="C53" i="56" s="1"/>
  <c r="D146" i="56"/>
  <c r="D120" i="56"/>
  <c r="M120" i="56" s="1"/>
  <c r="N120" i="56" s="1" a="1"/>
  <c r="N120" i="56" s="1"/>
  <c r="O120" i="56" s="1" a="1"/>
  <c r="O120" i="56" s="1"/>
  <c r="B22" i="56"/>
  <c r="D148" i="56"/>
  <c r="D122" i="56"/>
  <c r="M122" i="56" s="1"/>
  <c r="B24" i="56"/>
  <c r="B40" i="56" s="1"/>
  <c r="B47" i="56" s="1"/>
  <c r="D139" i="56"/>
  <c r="D113" i="56"/>
  <c r="M113" i="56" s="1"/>
  <c r="B15" i="56"/>
  <c r="C101" i="56"/>
  <c r="C85" i="56" s="1"/>
  <c r="C35" i="56"/>
  <c r="C58" i="56" s="1"/>
  <c r="C103" i="56"/>
  <c r="C87" i="56" s="1"/>
  <c r="C40" i="56"/>
  <c r="C47" i="56" s="1"/>
  <c r="B18" i="56"/>
  <c r="D142" i="56"/>
  <c r="D116" i="56"/>
  <c r="M116" i="56" s="1"/>
  <c r="N116" i="56" s="1" a="1"/>
  <c r="N116" i="56" s="1"/>
  <c r="O116" i="56" s="1" a="1"/>
  <c r="O116" i="56" s="1"/>
  <c r="C94" i="56"/>
  <c r="C78" i="56" s="1"/>
  <c r="C28" i="56"/>
  <c r="C51" i="56" s="1"/>
  <c r="B20" i="56"/>
  <c r="D144" i="56"/>
  <c r="D118" i="56"/>
  <c r="M118" i="56" s="1"/>
  <c r="D137" i="56"/>
  <c r="D111" i="56"/>
  <c r="M111" i="56" s="1"/>
  <c r="N111" i="56" s="1" a="1"/>
  <c r="N111" i="56" s="1"/>
  <c r="O111" i="56" s="1" a="1"/>
  <c r="O111" i="56" s="1"/>
  <c r="B13" i="56"/>
  <c r="C99" i="56"/>
  <c r="C83" i="56" s="1"/>
  <c r="C33" i="56"/>
  <c r="C56" i="56" s="1"/>
  <c r="J41" i="52"/>
  <c r="J44" i="52"/>
  <c r="N46" i="52"/>
  <c r="J50" i="52"/>
  <c r="N52" i="52"/>
  <c r="F36" i="52"/>
  <c r="R36" i="52"/>
  <c r="N37" i="52"/>
  <c r="J38" i="52"/>
  <c r="F39" i="52"/>
  <c r="N40" i="52"/>
  <c r="F42" i="52"/>
  <c r="R42" i="52"/>
  <c r="N43" i="52"/>
  <c r="F45" i="52"/>
  <c r="R45" i="52"/>
  <c r="J47" i="52"/>
  <c r="F48" i="52"/>
  <c r="R48" i="52"/>
  <c r="N49" i="52"/>
  <c r="F51" i="52"/>
  <c r="R51" i="52"/>
  <c r="G128" i="47"/>
  <c r="H128" i="47"/>
  <c r="I128" i="47"/>
  <c r="J128" i="47"/>
  <c r="K128" i="47"/>
  <c r="L128" i="47"/>
  <c r="G129" i="47"/>
  <c r="H129" i="47"/>
  <c r="I129" i="47"/>
  <c r="J129" i="47"/>
  <c r="K129" i="47"/>
  <c r="L129" i="47"/>
  <c r="E36" i="52"/>
  <c r="Q36" i="52"/>
  <c r="M37" i="52"/>
  <c r="I38" i="52"/>
  <c r="E39" i="52"/>
  <c r="Q39" i="52"/>
  <c r="M40" i="52"/>
  <c r="I41" i="52"/>
  <c r="E42" i="52"/>
  <c r="Q42" i="52"/>
  <c r="M43" i="52"/>
  <c r="I44" i="52"/>
  <c r="M46" i="52"/>
  <c r="I47" i="52"/>
  <c r="E48" i="52"/>
  <c r="Q48" i="52"/>
  <c r="M49" i="52"/>
  <c r="Q51" i="52"/>
  <c r="M52" i="52"/>
  <c r="E86" i="47"/>
  <c r="G86" i="47" s="1"/>
  <c r="K3" i="29"/>
  <c r="L11" i="29"/>
  <c r="M11" i="29" s="1"/>
  <c r="N11" i="29" s="1"/>
  <c r="O11" i="29" s="1"/>
  <c r="P11" i="29" s="1"/>
  <c r="Q11" i="29" s="1"/>
  <c r="R11" i="29" s="1"/>
  <c r="L9" i="29"/>
  <c r="M9" i="29" s="1"/>
  <c r="N9" i="29" s="1"/>
  <c r="O9" i="29" s="1"/>
  <c r="P9" i="29" s="1"/>
  <c r="Q9" i="29" s="1"/>
  <c r="R9" i="29" s="1"/>
  <c r="U45" i="29"/>
  <c r="U46" i="29" s="1"/>
  <c r="AF45" i="29"/>
  <c r="AF46" i="29" s="1"/>
  <c r="S45" i="29"/>
  <c r="S46" i="29" s="1"/>
  <c r="Q45" i="29"/>
  <c r="Q46" i="29" s="1"/>
  <c r="AO45" i="29"/>
  <c r="AO46" i="29" s="1"/>
  <c r="V45" i="29"/>
  <c r="V46" i="29" s="1"/>
  <c r="G25" i="35"/>
  <c r="E25" i="35"/>
  <c r="H25" i="35"/>
  <c r="F25" i="35"/>
  <c r="B25" i="35"/>
  <c r="I25" i="35"/>
  <c r="B22" i="35"/>
  <c r="I23" i="35"/>
  <c r="G24" i="35"/>
  <c r="E23" i="35"/>
  <c r="E5" i="47"/>
  <c r="G5" i="47" s="1"/>
  <c r="AA45" i="29"/>
  <c r="AA46" i="29" s="1"/>
  <c r="Z45" i="29"/>
  <c r="Z46" i="29" s="1"/>
  <c r="M45" i="29"/>
  <c r="M46" i="29" s="1"/>
  <c r="AD45" i="29"/>
  <c r="AD46" i="29" s="1"/>
  <c r="AB45" i="29"/>
  <c r="AB46" i="29" s="1"/>
  <c r="O45" i="29"/>
  <c r="O46" i="29" s="1"/>
  <c r="N45" i="29"/>
  <c r="N46" i="29" s="1"/>
  <c r="L45" i="29"/>
  <c r="L46" i="29" s="1"/>
  <c r="AI45" i="29"/>
  <c r="AI46" i="29" s="1"/>
  <c r="W45" i="29"/>
  <c r="W46" i="29" s="1"/>
  <c r="J45" i="29"/>
  <c r="J46" i="29" s="1"/>
  <c r="AE45" i="29"/>
  <c r="AE46" i="29" s="1"/>
  <c r="AC45" i="29"/>
  <c r="AC46" i="29" s="1"/>
  <c r="P45" i="29"/>
  <c r="P46" i="29" s="1"/>
  <c r="X45" i="29"/>
  <c r="X46" i="29" s="1"/>
  <c r="AK45" i="29"/>
  <c r="AK46" i="29" s="1"/>
  <c r="T45" i="29"/>
  <c r="T46" i="29" s="1"/>
  <c r="K45" i="29"/>
  <c r="K46" i="29" s="1"/>
  <c r="AM45" i="29"/>
  <c r="AM46" i="29" s="1"/>
  <c r="AL45" i="29"/>
  <c r="AL46" i="29" s="1"/>
  <c r="Y45" i="29"/>
  <c r="Y46" i="29" s="1"/>
  <c r="R45" i="29"/>
  <c r="R46" i="29" s="1"/>
  <c r="AH45" i="29"/>
  <c r="AH46" i="29" s="1"/>
  <c r="AG45" i="29"/>
  <c r="AG46" i="29" s="1"/>
  <c r="AP45" i="29"/>
  <c r="AP46" i="29" s="1"/>
  <c r="AJ45" i="29"/>
  <c r="AJ46" i="29" s="1"/>
  <c r="I26" i="35"/>
  <c r="K36" i="52"/>
  <c r="G37" i="52"/>
  <c r="S37" i="52"/>
  <c r="K39" i="52"/>
  <c r="G40" i="52"/>
  <c r="S40" i="52"/>
  <c r="O41" i="52"/>
  <c r="K42" i="52"/>
  <c r="G43" i="52"/>
  <c r="S43" i="52"/>
  <c r="O44" i="52"/>
  <c r="K45" i="52"/>
  <c r="G46" i="52"/>
  <c r="S46" i="52"/>
  <c r="O47" i="52"/>
  <c r="K48" i="52"/>
  <c r="G49" i="52"/>
  <c r="S49" i="52"/>
  <c r="K51" i="52"/>
  <c r="G52" i="52"/>
  <c r="S52" i="52"/>
  <c r="J22" i="29"/>
  <c r="C26" i="35"/>
  <c r="F26" i="35"/>
  <c r="B26" i="35"/>
  <c r="E26" i="35"/>
  <c r="G26" i="35"/>
  <c r="D28" i="29"/>
  <c r="D5" i="29"/>
  <c r="D6" i="35"/>
  <c r="L53" i="52"/>
  <c r="G22" i="35"/>
  <c r="H22" i="35"/>
  <c r="F22" i="35"/>
  <c r="B23" i="35"/>
  <c r="G23" i="35"/>
  <c r="I22" i="35"/>
  <c r="H23" i="35"/>
  <c r="F23" i="35"/>
  <c r="C22" i="35"/>
  <c r="B24" i="35"/>
  <c r="I24" i="35"/>
  <c r="C24" i="35"/>
  <c r="F24" i="35"/>
  <c r="E24" i="35"/>
  <c r="E9" i="47"/>
  <c r="E8" i="47"/>
  <c r="E7" i="47"/>
  <c r="E6" i="47"/>
  <c r="O6" i="35" l="1" a="1"/>
  <c r="O6" i="35" s="1"/>
  <c r="L6" i="35" a="1"/>
  <c r="L6" i="35" s="1"/>
  <c r="N6" i="35" a="1"/>
  <c r="N6" i="35" s="1"/>
  <c r="M6" i="35" a="1"/>
  <c r="M6" i="35" s="1"/>
  <c r="K6" i="35" a="1"/>
  <c r="K6" i="35" s="1"/>
  <c r="Q6" i="35" a="1"/>
  <c r="Q6" i="35" s="1"/>
  <c r="S6" i="35" a="1"/>
  <c r="S6" i="35" s="1"/>
  <c r="R6" i="35" a="1"/>
  <c r="R6" i="35" s="1"/>
  <c r="P6" i="35" a="1"/>
  <c r="P6" i="35" s="1"/>
  <c r="T6" i="35" a="1"/>
  <c r="T6" i="35" s="1"/>
  <c r="AD6" i="35" a="1"/>
  <c r="AD6" i="35" s="1"/>
  <c r="AN6" i="35" a="1"/>
  <c r="AN6" i="35" s="1"/>
  <c r="AH6" i="35" a="1"/>
  <c r="AH6" i="35" s="1"/>
  <c r="AB6" i="35" a="1"/>
  <c r="AB6" i="35" s="1"/>
  <c r="AJ6" i="35" a="1"/>
  <c r="AJ6" i="35" s="1"/>
  <c r="AM6" i="35" a="1"/>
  <c r="AM6" i="35" s="1"/>
  <c r="V6" i="35" a="1"/>
  <c r="V6" i="35" s="1"/>
  <c r="AA6" i="35" a="1"/>
  <c r="AA6" i="35" s="1"/>
  <c r="X6" i="35" a="1"/>
  <c r="X6" i="35" s="1"/>
  <c r="AK6" i="35" a="1"/>
  <c r="AK6" i="35" s="1"/>
  <c r="AC6" i="35" a="1"/>
  <c r="AC6" i="35" s="1"/>
  <c r="AF6" i="35" a="1"/>
  <c r="AF6" i="35" s="1"/>
  <c r="AL6" i="35" a="1"/>
  <c r="AL6" i="35" s="1"/>
  <c r="AE6" i="35" a="1"/>
  <c r="AE6" i="35" s="1"/>
  <c r="U6" i="35" a="1"/>
  <c r="U6" i="35" s="1"/>
  <c r="Z6" i="35" a="1"/>
  <c r="Z6" i="35" s="1"/>
  <c r="AI6" i="35" a="1"/>
  <c r="AI6" i="35" s="1"/>
  <c r="AG6" i="35" a="1"/>
  <c r="AG6" i="35" s="1"/>
  <c r="W6" i="35" a="1"/>
  <c r="W6" i="35" s="1"/>
  <c r="AO6" i="35" a="1"/>
  <c r="AO6" i="35" s="1"/>
  <c r="Y6" i="35" a="1"/>
  <c r="Y6" i="35" s="1"/>
  <c r="I8" i="56" a="1"/>
  <c r="I8" i="56" s="1"/>
  <c r="Q8" i="56" s="1"/>
  <c r="Y8" i="56" s="1"/>
  <c r="F8" i="56" a="1"/>
  <c r="F8" i="56" s="1"/>
  <c r="J8" i="56" a="1"/>
  <c r="J8" i="56" s="1"/>
  <c r="G8" i="56" a="1"/>
  <c r="G8" i="56" s="1"/>
  <c r="K8" i="56" a="1"/>
  <c r="K8" i="56" s="1"/>
  <c r="S8" i="56" s="1"/>
  <c r="AA8" i="56" s="1"/>
  <c r="F9" i="56" a="1"/>
  <c r="F9" i="56" s="1"/>
  <c r="J9" i="56" a="1"/>
  <c r="J9" i="56" s="1"/>
  <c r="I9" i="56" a="1"/>
  <c r="I9" i="56" s="1"/>
  <c r="Q9" i="56" s="1"/>
  <c r="Y9" i="56" s="1"/>
  <c r="G9" i="56" a="1"/>
  <c r="G9" i="56" s="1"/>
  <c r="K9" i="56" a="1"/>
  <c r="K9" i="56" s="1"/>
  <c r="S9" i="56" s="1"/>
  <c r="AA9" i="56" s="1"/>
  <c r="F7" i="56" a="1"/>
  <c r="F7" i="56" s="1"/>
  <c r="J7" i="56" a="1"/>
  <c r="J7" i="56" s="1"/>
  <c r="I7" i="56" a="1"/>
  <c r="I7" i="56" s="1"/>
  <c r="G7" i="56" a="1"/>
  <c r="G7" i="56" s="1"/>
  <c r="K7" i="56" a="1"/>
  <c r="K7" i="56" s="1"/>
  <c r="F13" i="57" a="1"/>
  <c r="F13" i="57" s="1"/>
  <c r="X13" i="57" s="1"/>
  <c r="F15" i="57" a="1"/>
  <c r="F15" i="57" s="1"/>
  <c r="F14" i="57" a="1"/>
  <c r="F14" i="57" s="1"/>
  <c r="N10" i="55" a="1"/>
  <c r="N10" i="55" s="1"/>
  <c r="M10" i="55" a="1"/>
  <c r="M10" i="55" s="1"/>
  <c r="L10" i="55" a="1"/>
  <c r="L10" i="55" s="1"/>
  <c r="K10" i="55" a="1"/>
  <c r="K10" i="55" s="1"/>
  <c r="J10" i="55" a="1"/>
  <c r="J10" i="55" s="1"/>
  <c r="M15" i="55" a="1"/>
  <c r="M15" i="55" s="1"/>
  <c r="L15" i="55" a="1"/>
  <c r="L15" i="55" s="1"/>
  <c r="K15" i="55" a="1"/>
  <c r="K15" i="55" s="1"/>
  <c r="J15" i="55" a="1"/>
  <c r="J15" i="55" s="1"/>
  <c r="J18" i="55" a="1"/>
  <c r="J18" i="55" s="1"/>
  <c r="L18" i="55" a="1"/>
  <c r="L18" i="55" s="1"/>
  <c r="M18" i="55" a="1"/>
  <c r="M18" i="55" s="1"/>
  <c r="K18" i="55" a="1"/>
  <c r="K18" i="55" s="1"/>
  <c r="M17" i="55" a="1"/>
  <c r="M17" i="55" s="1"/>
  <c r="L17" i="55" a="1"/>
  <c r="L17" i="55" s="1"/>
  <c r="K17" i="55" a="1"/>
  <c r="K17" i="55" s="1"/>
  <c r="J17" i="55" a="1"/>
  <c r="J17" i="55" s="1"/>
  <c r="L19" i="55" a="1"/>
  <c r="L19" i="55" s="1"/>
  <c r="K19" i="55" a="1"/>
  <c r="K19" i="55" s="1"/>
  <c r="J19" i="55" a="1"/>
  <c r="J19" i="55" s="1"/>
  <c r="M19" i="55" a="1"/>
  <c r="M19" i="55" s="1"/>
  <c r="L16" i="55" a="1"/>
  <c r="L16" i="55" s="1"/>
  <c r="K16" i="55" a="1"/>
  <c r="K16" i="55" s="1"/>
  <c r="M16" i="55" a="1"/>
  <c r="M16" i="55" s="1"/>
  <c r="J16" i="55" a="1"/>
  <c r="J16" i="55" s="1"/>
  <c r="J21" i="55" a="1"/>
  <c r="J21" i="55" s="1"/>
  <c r="L21" i="55" a="1"/>
  <c r="L21" i="55" s="1"/>
  <c r="M21" i="55" a="1"/>
  <c r="M21" i="55" s="1"/>
  <c r="K21" i="55" a="1"/>
  <c r="K21" i="55" s="1"/>
  <c r="M12" i="55" a="1"/>
  <c r="M12" i="55" s="1"/>
  <c r="K12" i="55" a="1"/>
  <c r="K12" i="55" s="1"/>
  <c r="J12" i="55" a="1"/>
  <c r="J12" i="55" s="1"/>
  <c r="L12" i="55" a="1"/>
  <c r="L12" i="55" s="1"/>
  <c r="K20" i="55" a="1"/>
  <c r="K20" i="55" s="1"/>
  <c r="J20" i="55" a="1"/>
  <c r="J20" i="55" s="1"/>
  <c r="M20" i="55" a="1"/>
  <c r="M20" i="55" s="1"/>
  <c r="L20" i="55" a="1"/>
  <c r="L20" i="55" s="1"/>
  <c r="L13" i="55" a="1"/>
  <c r="L13" i="55" s="1"/>
  <c r="K13" i="55" a="1"/>
  <c r="K13" i="55" s="1"/>
  <c r="J13" i="55" a="1"/>
  <c r="J13" i="55" s="1"/>
  <c r="M13" i="55" a="1"/>
  <c r="M13" i="55" s="1"/>
  <c r="J14" i="55" a="1"/>
  <c r="J14" i="55" s="1"/>
  <c r="L14" i="55" a="1"/>
  <c r="L14" i="55" s="1"/>
  <c r="M14" i="55" a="1"/>
  <c r="M14" i="55" s="1"/>
  <c r="K14" i="55" a="1"/>
  <c r="K14" i="55" s="1"/>
  <c r="M22" i="55" a="1"/>
  <c r="M22" i="55" s="1"/>
  <c r="K22" i="55" a="1"/>
  <c r="K22" i="55" s="1"/>
  <c r="L22" i="55" a="1"/>
  <c r="L22" i="55" s="1"/>
  <c r="J22" i="55" a="1"/>
  <c r="J22" i="55" s="1"/>
  <c r="O5" i="29" a="1"/>
  <c r="O5" i="29" s="1"/>
  <c r="M5" i="29" a="1"/>
  <c r="M5" i="29" s="1"/>
  <c r="J5" i="29" a="1"/>
  <c r="J5" i="29" s="1"/>
  <c r="K5" i="29" a="1"/>
  <c r="K5" i="29" s="1"/>
  <c r="M28" i="29" a="1"/>
  <c r="M28" i="29" s="1"/>
  <c r="J28" i="29" a="1"/>
  <c r="J28" i="29" s="1"/>
  <c r="O28" i="29" a="1"/>
  <c r="O28" i="29" s="1"/>
  <c r="K28" i="29" a="1"/>
  <c r="K28" i="29" s="1"/>
  <c r="R47" i="29" a="1"/>
  <c r="R47" i="29" s="1"/>
  <c r="S47" i="29" s="1" a="1"/>
  <c r="S47" i="29" s="1"/>
  <c r="T47" i="29" s="1" a="1"/>
  <c r="T47" i="29" s="1"/>
  <c r="U47" i="29" s="1" a="1"/>
  <c r="U47" i="29" s="1"/>
  <c r="V47" i="29" s="1" a="1"/>
  <c r="V47" i="29" s="1"/>
  <c r="W47" i="29" s="1" a="1"/>
  <c r="W47" i="29" s="1"/>
  <c r="X47" i="29" s="1" a="1"/>
  <c r="X47" i="29" s="1"/>
  <c r="Y47" i="29" s="1" a="1"/>
  <c r="Y47" i="29" s="1"/>
  <c r="Z47" i="29" s="1" a="1"/>
  <c r="Z47" i="29" s="1"/>
  <c r="AA47" i="29" s="1" a="1"/>
  <c r="AA47" i="29" s="1"/>
  <c r="AL47" i="29" a="1"/>
  <c r="AL47" i="29" s="1"/>
  <c r="O51" i="29" a="1"/>
  <c r="O51" i="29" s="1"/>
  <c r="O48" i="29" a="1"/>
  <c r="O48" i="29" s="1"/>
  <c r="O47" i="29" a="1"/>
  <c r="O47" i="29" s="1"/>
  <c r="P47" i="29" s="1" a="1"/>
  <c r="P47" i="29" s="1"/>
  <c r="Q47" i="29" s="1" a="1"/>
  <c r="Q47" i="29" s="1"/>
  <c r="O49" i="29" a="1"/>
  <c r="O49" i="29" s="1"/>
  <c r="AB47" i="29" a="1"/>
  <c r="AB47" i="29" s="1"/>
  <c r="AC47" i="29" s="1" a="1"/>
  <c r="AC47" i="29" s="1"/>
  <c r="AD47" i="29" s="1" a="1"/>
  <c r="AD47" i="29" s="1"/>
  <c r="AE47" i="29" s="1" a="1"/>
  <c r="AE47" i="29" s="1"/>
  <c r="AF47" i="29" s="1" a="1"/>
  <c r="AF47" i="29" s="1"/>
  <c r="AG47" i="29" s="1" a="1"/>
  <c r="AG47" i="29" s="1"/>
  <c r="AH47" i="29" s="1" a="1"/>
  <c r="AH47" i="29" s="1"/>
  <c r="AI47" i="29" s="1" a="1"/>
  <c r="AI47" i="29" s="1"/>
  <c r="AJ47" i="29" s="1" a="1"/>
  <c r="AJ47" i="29" s="1"/>
  <c r="AK47" i="29" s="1" a="1"/>
  <c r="AK47" i="29" s="1"/>
  <c r="K47" i="29" a="1"/>
  <c r="K47" i="29" s="1"/>
  <c r="L47" i="29" s="1" a="1"/>
  <c r="L47" i="29" s="1"/>
  <c r="M47" i="29" a="1"/>
  <c r="M47" i="29" s="1"/>
  <c r="N47" i="29" s="1" a="1"/>
  <c r="N47" i="29" s="1"/>
  <c r="P53" i="52"/>
  <c r="H53" i="52"/>
  <c r="D53" i="52"/>
  <c r="H20" i="57"/>
  <c r="H19" i="57"/>
  <c r="N53" i="52"/>
  <c r="E97" i="47"/>
  <c r="G35" i="44"/>
  <c r="N9" i="55"/>
  <c r="N18" i="55" s="1" a="1"/>
  <c r="N18" i="55" s="1"/>
  <c r="E35" i="44"/>
  <c r="F35" i="44"/>
  <c r="E89" i="47"/>
  <c r="F53" i="52"/>
  <c r="E98" i="47"/>
  <c r="E92" i="47"/>
  <c r="G11" i="55"/>
  <c r="J148" i="56"/>
  <c r="J137" i="56"/>
  <c r="B54" i="56"/>
  <c r="B31" i="56"/>
  <c r="J138" i="56"/>
  <c r="J149" i="56"/>
  <c r="E99" i="47"/>
  <c r="B35" i="56"/>
  <c r="B58" i="56"/>
  <c r="E94" i="47"/>
  <c r="J146" i="56"/>
  <c r="J143" i="56"/>
  <c r="E96" i="47"/>
  <c r="B36" i="56"/>
  <c r="B59" i="56"/>
  <c r="J147" i="56"/>
  <c r="J144" i="56"/>
  <c r="B32" i="56"/>
  <c r="B55" i="56"/>
  <c r="J145" i="56"/>
  <c r="B52" i="56"/>
  <c r="B29" i="56"/>
  <c r="B56" i="56"/>
  <c r="B33" i="56"/>
  <c r="B51" i="56"/>
  <c r="B28" i="56"/>
  <c r="J139" i="56"/>
  <c r="J141" i="56"/>
  <c r="E95" i="47"/>
  <c r="B57" i="56"/>
  <c r="B34" i="56"/>
  <c r="J140" i="56"/>
  <c r="E88" i="47"/>
  <c r="E90" i="47"/>
  <c r="E91" i="47"/>
  <c r="B53" i="56"/>
  <c r="B30" i="56"/>
  <c r="J142" i="56"/>
  <c r="E93" i="47"/>
  <c r="E87" i="47"/>
  <c r="E53" i="52"/>
  <c r="J53" i="52"/>
  <c r="Q53" i="52"/>
  <c r="I53" i="52"/>
  <c r="R53" i="52"/>
  <c r="M53" i="52"/>
  <c r="G131" i="47"/>
  <c r="H131" i="47"/>
  <c r="I131" i="47"/>
  <c r="J131" i="47"/>
  <c r="K131" i="47"/>
  <c r="L131" i="47"/>
  <c r="G133" i="47"/>
  <c r="H133" i="47"/>
  <c r="I133" i="47"/>
  <c r="J133" i="47"/>
  <c r="K133" i="47"/>
  <c r="L133" i="47"/>
  <c r="L127" i="47"/>
  <c r="K127" i="47"/>
  <c r="J127" i="47"/>
  <c r="I127" i="47"/>
  <c r="H127" i="47"/>
  <c r="G127" i="47"/>
  <c r="G130" i="47"/>
  <c r="H130" i="47"/>
  <c r="I130" i="47"/>
  <c r="J130" i="47"/>
  <c r="K130" i="47"/>
  <c r="L130" i="47"/>
  <c r="G134" i="47"/>
  <c r="H134" i="47"/>
  <c r="I134" i="47"/>
  <c r="J134" i="47"/>
  <c r="K134" i="47"/>
  <c r="L134" i="47"/>
  <c r="G135" i="47"/>
  <c r="H135" i="47"/>
  <c r="I135" i="47"/>
  <c r="J135" i="47"/>
  <c r="K135" i="47"/>
  <c r="L135" i="47"/>
  <c r="G37" i="47"/>
  <c r="J37" i="47"/>
  <c r="K37" i="47"/>
  <c r="L37" i="47"/>
  <c r="G35" i="47"/>
  <c r="J35" i="47"/>
  <c r="K35" i="47"/>
  <c r="L35" i="47"/>
  <c r="J38" i="47"/>
  <c r="K38" i="47"/>
  <c r="L38" i="47"/>
  <c r="G38" i="47"/>
  <c r="G36" i="47"/>
  <c r="J36" i="47"/>
  <c r="K36" i="47"/>
  <c r="L36" i="47"/>
  <c r="G32" i="47"/>
  <c r="J32" i="47"/>
  <c r="K32" i="47"/>
  <c r="L32" i="47"/>
  <c r="G39" i="47"/>
  <c r="J39" i="47"/>
  <c r="K39" i="47"/>
  <c r="L39" i="47"/>
  <c r="J34" i="47"/>
  <c r="K34" i="47"/>
  <c r="L34" i="47"/>
  <c r="G34" i="47"/>
  <c r="G33" i="47"/>
  <c r="J33" i="47"/>
  <c r="K33" i="47"/>
  <c r="L33" i="47"/>
  <c r="G40" i="47"/>
  <c r="J40" i="47"/>
  <c r="K40" i="47"/>
  <c r="L40" i="47"/>
  <c r="G41" i="47"/>
  <c r="J41" i="47"/>
  <c r="K41" i="47"/>
  <c r="L41" i="47"/>
  <c r="G31" i="47"/>
  <c r="J31" i="47"/>
  <c r="K31" i="47"/>
  <c r="L31" i="47"/>
  <c r="K53" i="52"/>
  <c r="G85" i="47"/>
  <c r="G53" i="52"/>
  <c r="J48" i="29"/>
  <c r="G84" i="47" s="1"/>
  <c r="S53" i="52"/>
  <c r="O53" i="52"/>
  <c r="G6" i="47"/>
  <c r="G8" i="47"/>
  <c r="G9" i="47"/>
  <c r="G7" i="47"/>
  <c r="N20" i="55" l="1" a="1"/>
  <c r="N20" i="55" s="1"/>
  <c r="N19" i="55" a="1"/>
  <c r="N19" i="55" s="1"/>
  <c r="N14" i="55" a="1"/>
  <c r="N14" i="55" s="1"/>
  <c r="N13" i="55" a="1"/>
  <c r="N13" i="55" s="1"/>
  <c r="N17" i="55" a="1"/>
  <c r="N17" i="55" s="1"/>
  <c r="N12" i="55" a="1"/>
  <c r="N12" i="55" s="1"/>
  <c r="N21" i="55" a="1"/>
  <c r="N21" i="55" s="1"/>
  <c r="N16" i="55" a="1"/>
  <c r="N16" i="55" s="1"/>
  <c r="N15" i="55" a="1"/>
  <c r="N15" i="55" s="1"/>
  <c r="N22" i="55" a="1"/>
  <c r="N22" i="55" s="1"/>
  <c r="J11" i="55" a="1"/>
  <c r="J11" i="55" s="1"/>
  <c r="L11" i="55" a="1"/>
  <c r="L11" i="55" s="1"/>
  <c r="N11" i="55" a="1"/>
  <c r="N11" i="55" s="1"/>
  <c r="M11" i="55" a="1"/>
  <c r="M11" i="55" s="1"/>
  <c r="K11" i="55" a="1"/>
  <c r="K11" i="55" s="1"/>
  <c r="Q7" i="56"/>
  <c r="Y7" i="56" s="1"/>
  <c r="Z47" i="57"/>
  <c r="Q47" i="57"/>
  <c r="S7" i="56"/>
  <c r="AA7" i="56" s="1"/>
  <c r="AB47" i="57"/>
  <c r="S47" i="57"/>
  <c r="X14" i="57"/>
  <c r="O14" i="57"/>
  <c r="O13" i="57"/>
  <c r="X15" i="57"/>
  <c r="O15" i="57"/>
  <c r="O86" i="57" s="1"/>
  <c r="G92" i="47"/>
  <c r="F16" i="57"/>
  <c r="G89" i="47"/>
  <c r="G94" i="47"/>
  <c r="G88" i="47"/>
  <c r="G90" i="47"/>
  <c r="G93" i="47"/>
  <c r="G95" i="47"/>
  <c r="G96" i="47"/>
  <c r="G87" i="47"/>
  <c r="G91" i="47"/>
  <c r="K186" i="56"/>
  <c r="G97" i="47"/>
  <c r="K188" i="56"/>
  <c r="G99" i="47"/>
  <c r="K187" i="56"/>
  <c r="G98" i="47"/>
  <c r="P83" i="47"/>
  <c r="O9" i="55"/>
  <c r="O11" i="55" s="1" a="1"/>
  <c r="O11" i="55" s="1"/>
  <c r="H35" i="44"/>
  <c r="O23" i="58"/>
  <c r="G11" i="57"/>
  <c r="H3" i="56"/>
  <c r="K140" i="56"/>
  <c r="H90" i="47" s="1"/>
  <c r="K138" i="56"/>
  <c r="H88" i="47" s="1"/>
  <c r="K145" i="56"/>
  <c r="H95" i="47" s="1"/>
  <c r="K146" i="56"/>
  <c r="H96" i="47" s="1"/>
  <c r="K137" i="56"/>
  <c r="H87" i="47" s="1"/>
  <c r="K142" i="56"/>
  <c r="H92" i="47" s="1"/>
  <c r="K141" i="56"/>
  <c r="H91" i="47" s="1"/>
  <c r="K149" i="56"/>
  <c r="L3" i="29"/>
  <c r="E47" i="57"/>
  <c r="K83" i="47"/>
  <c r="H83" i="47"/>
  <c r="I83" i="47"/>
  <c r="H7" i="56" l="1" a="1"/>
  <c r="H7" i="56" s="1"/>
  <c r="H8" i="56" a="1"/>
  <c r="H8" i="56" s="1"/>
  <c r="H9" i="56" a="1"/>
  <c r="H9" i="56" s="1"/>
  <c r="O15" i="55" a="1"/>
  <c r="O15" i="55" s="1"/>
  <c r="O16" i="55" a="1"/>
  <c r="O16" i="55" s="1"/>
  <c r="O19" i="55" a="1"/>
  <c r="O19" i="55" s="1"/>
  <c r="O21" i="55" a="1"/>
  <c r="O21" i="55" s="1"/>
  <c r="O10" i="55" a="1"/>
  <c r="O10" i="55" s="1"/>
  <c r="O17" i="55" a="1"/>
  <c r="O17" i="55" s="1"/>
  <c r="O14" i="55" a="1"/>
  <c r="O14" i="55" s="1"/>
  <c r="O18" i="55" a="1"/>
  <c r="O18" i="55" s="1"/>
  <c r="O13" i="55" a="1"/>
  <c r="O13" i="55" s="1"/>
  <c r="O22" i="55" a="1"/>
  <c r="O22" i="55" s="1"/>
  <c r="O12" i="55" a="1"/>
  <c r="O12" i="55" s="1"/>
  <c r="O20" i="55" a="1"/>
  <c r="O20" i="55" s="1"/>
  <c r="G15" i="57" a="1"/>
  <c r="G15" i="57" s="1"/>
  <c r="G14" i="57" a="1"/>
  <c r="G14" i="57" s="1"/>
  <c r="G13" i="57" a="1"/>
  <c r="G13" i="57" s="1"/>
  <c r="H47" i="57"/>
  <c r="J47" i="57"/>
  <c r="L5" i="29" a="1"/>
  <c r="L5" i="29" s="1"/>
  <c r="L28" i="29" a="1"/>
  <c r="L28" i="29" s="1"/>
  <c r="O36" i="29" s="1"/>
  <c r="J36" i="60"/>
  <c r="E24" i="60"/>
  <c r="X86" i="57"/>
  <c r="F86" i="57" s="1"/>
  <c r="O16" i="57"/>
  <c r="O75" i="57"/>
  <c r="L142" i="56"/>
  <c r="I92" i="47" s="1"/>
  <c r="L146" i="56"/>
  <c r="I96" i="47" s="1"/>
  <c r="L137" i="56"/>
  <c r="I87" i="47" s="1"/>
  <c r="L145" i="56"/>
  <c r="I95" i="47" s="1"/>
  <c r="L140" i="56"/>
  <c r="I90" i="47" s="1"/>
  <c r="L149" i="56"/>
  <c r="M188" i="56" s="1"/>
  <c r="L141" i="56"/>
  <c r="I91" i="47" s="1"/>
  <c r="L138" i="56"/>
  <c r="I88" i="47" s="1"/>
  <c r="L188" i="56"/>
  <c r="H99" i="47"/>
  <c r="O30" i="58"/>
  <c r="N24" i="58"/>
  <c r="M24" i="58" s="1"/>
  <c r="L24" i="58" s="1"/>
  <c r="K24" i="58" s="1"/>
  <c r="J24" i="58" s="1"/>
  <c r="P30" i="58"/>
  <c r="Q30" i="58"/>
  <c r="R30" i="58"/>
  <c r="S30" i="58"/>
  <c r="T30" i="58"/>
  <c r="U30" i="58"/>
  <c r="V30" i="58"/>
  <c r="W30" i="58"/>
  <c r="X30" i="58"/>
  <c r="Y30" i="58"/>
  <c r="Z30" i="58"/>
  <c r="AA30" i="58"/>
  <c r="AB30" i="58"/>
  <c r="AC30" i="58"/>
  <c r="AD30" i="58"/>
  <c r="AE30" i="58"/>
  <c r="AF30" i="58"/>
  <c r="AG30" i="58"/>
  <c r="AH30" i="58"/>
  <c r="AI30" i="58"/>
  <c r="AJ30" i="58"/>
  <c r="AK30" i="58"/>
  <c r="AL30" i="58"/>
  <c r="AM30" i="58"/>
  <c r="AN30" i="58"/>
  <c r="AO30" i="58"/>
  <c r="AP30" i="58"/>
  <c r="AQ30" i="58"/>
  <c r="AR30" i="58"/>
  <c r="AS30" i="58"/>
  <c r="AT30" i="58"/>
  <c r="AU30" i="58"/>
  <c r="AV30" i="58"/>
  <c r="J83" i="47"/>
  <c r="I35" i="44"/>
  <c r="P9" i="55"/>
  <c r="I104" i="56"/>
  <c r="G19" i="47"/>
  <c r="K19" i="47"/>
  <c r="J19" i="47"/>
  <c r="L19" i="47"/>
  <c r="M36" i="29"/>
  <c r="Q83" i="47"/>
  <c r="Z83" i="47"/>
  <c r="P13" i="55" l="1" a="1"/>
  <c r="P13" i="55" s="1"/>
  <c r="P18" i="55" a="1"/>
  <c r="P18" i="55" s="1"/>
  <c r="P14" i="55" a="1"/>
  <c r="P14" i="55" s="1"/>
  <c r="P12" i="55" a="1"/>
  <c r="P12" i="55" s="1"/>
  <c r="P20" i="55" a="1"/>
  <c r="P20" i="55" s="1"/>
  <c r="P10" i="55" a="1"/>
  <c r="P10" i="55" s="1"/>
  <c r="P15" i="55" a="1"/>
  <c r="P15" i="55" s="1"/>
  <c r="P21" i="55" a="1"/>
  <c r="P21" i="55" s="1"/>
  <c r="P19" i="55" a="1"/>
  <c r="P19" i="55" s="1"/>
  <c r="P22" i="55" a="1"/>
  <c r="P22" i="55" s="1"/>
  <c r="P16" i="55" a="1"/>
  <c r="P16" i="55" s="1"/>
  <c r="P17" i="55" a="1"/>
  <c r="P17" i="55" s="1"/>
  <c r="P11" i="55" a="1"/>
  <c r="P11" i="55" s="1"/>
  <c r="S88" i="56"/>
  <c r="AA88" i="56" s="1"/>
  <c r="S123" i="56" a="1"/>
  <c r="S123" i="56" s="1"/>
  <c r="T123" i="56" a="1"/>
  <c r="T123" i="56" s="1"/>
  <c r="P51" i="29" a="1"/>
  <c r="P51" i="29" s="1"/>
  <c r="Q51" i="29" s="1" a="1"/>
  <c r="Q51" i="29" s="1"/>
  <c r="K18" i="29"/>
  <c r="K24" i="29" s="1"/>
  <c r="E36" i="60"/>
  <c r="P8" i="56"/>
  <c r="X8" i="56" s="1"/>
  <c r="P7" i="56"/>
  <c r="X7" i="56" s="1"/>
  <c r="X47" i="57"/>
  <c r="O47" i="57"/>
  <c r="P9" i="56"/>
  <c r="X9" i="56" s="1"/>
  <c r="X75" i="57"/>
  <c r="F75" i="57" s="1"/>
  <c r="Y14" i="57"/>
  <c r="Y55" i="57" s="1"/>
  <c r="P14" i="57"/>
  <c r="Y15" i="57"/>
  <c r="Y56" i="57" s="1"/>
  <c r="P15" i="57"/>
  <c r="Y13" i="57"/>
  <c r="Y54" i="57" s="1"/>
  <c r="P13" i="57"/>
  <c r="I99" i="47"/>
  <c r="G16" i="57"/>
  <c r="I88" i="56"/>
  <c r="K104" i="56"/>
  <c r="V123" i="56" s="1" a="1"/>
  <c r="V123" i="56" s="1"/>
  <c r="M149" i="56"/>
  <c r="M138" i="56"/>
  <c r="J88" i="47" s="1"/>
  <c r="M140" i="56"/>
  <c r="J90" i="47" s="1"/>
  <c r="M146" i="56"/>
  <c r="J96" i="47" s="1"/>
  <c r="M141" i="56"/>
  <c r="J91" i="47" s="1"/>
  <c r="M145" i="56"/>
  <c r="J95" i="47" s="1"/>
  <c r="M142" i="56"/>
  <c r="J92" i="47" s="1"/>
  <c r="M137" i="56"/>
  <c r="J87" i="47" s="1"/>
  <c r="G48" i="56"/>
  <c r="P48" i="56" s="1"/>
  <c r="X48" i="56" s="1"/>
  <c r="P23" i="58"/>
  <c r="P14" i="58"/>
  <c r="O31" i="58"/>
  <c r="O34" i="58" s="1"/>
  <c r="G60" i="56"/>
  <c r="J35" i="44"/>
  <c r="E81" i="57"/>
  <c r="E108" i="57"/>
  <c r="E55" i="57"/>
  <c r="E97" i="57"/>
  <c r="E56" i="57"/>
  <c r="E109" i="57"/>
  <c r="E101" i="57"/>
  <c r="E86" i="57"/>
  <c r="E93" i="57"/>
  <c r="E16" i="57"/>
  <c r="E54" i="57"/>
  <c r="E107" i="57"/>
  <c r="E75" i="57"/>
  <c r="K38" i="55"/>
  <c r="K35" i="55"/>
  <c r="K29" i="55"/>
  <c r="G14" i="47"/>
  <c r="L14" i="47"/>
  <c r="K14" i="47"/>
  <c r="J14" i="47"/>
  <c r="G18" i="47"/>
  <c r="L18" i="47"/>
  <c r="K18" i="47"/>
  <c r="J18" i="47"/>
  <c r="G16" i="47"/>
  <c r="K16" i="47"/>
  <c r="J16" i="47"/>
  <c r="L16" i="47"/>
  <c r="G15" i="47"/>
  <c r="L15" i="47"/>
  <c r="K15" i="47"/>
  <c r="J15" i="47"/>
  <c r="G10" i="47"/>
  <c r="K10" i="47"/>
  <c r="J10" i="47"/>
  <c r="L10" i="47"/>
  <c r="G13" i="47"/>
  <c r="K13" i="47"/>
  <c r="J13" i="47"/>
  <c r="L13" i="47"/>
  <c r="G20" i="47"/>
  <c r="L20" i="47"/>
  <c r="K20" i="47"/>
  <c r="J20" i="47"/>
  <c r="G17" i="47"/>
  <c r="L17" i="47"/>
  <c r="K17" i="47"/>
  <c r="J17" i="47"/>
  <c r="G11" i="47"/>
  <c r="L11" i="47"/>
  <c r="K11" i="47"/>
  <c r="J11" i="47"/>
  <c r="G12" i="47"/>
  <c r="L12" i="47"/>
  <c r="K12" i="47"/>
  <c r="J12" i="47"/>
  <c r="K36" i="29"/>
  <c r="K17" i="29"/>
  <c r="K16" i="29"/>
  <c r="L83" i="47"/>
  <c r="AA83" i="47"/>
  <c r="M83" i="47"/>
  <c r="P43" i="56" l="1"/>
  <c r="P76" i="56" s="1"/>
  <c r="P92" i="56" s="1"/>
  <c r="X92" i="56" s="1"/>
  <c r="N176" i="56" a="1"/>
  <c r="N176" i="56" s="1"/>
  <c r="L176" i="56" a="1"/>
  <c r="L176" i="56" s="1"/>
  <c r="M176" i="56" s="1" a="1"/>
  <c r="M176" i="56" s="1"/>
  <c r="M50" i="29" a="1"/>
  <c r="M50" i="29" s="1"/>
  <c r="K50" i="29" a="1"/>
  <c r="K50" i="29" s="1"/>
  <c r="L50" i="29" s="1" a="1"/>
  <c r="L50" i="29" s="1"/>
  <c r="M51" i="29" a="1"/>
  <c r="M51" i="29" s="1"/>
  <c r="N51" i="29" s="1" a="1"/>
  <c r="N51" i="29" s="1"/>
  <c r="K51" i="29" a="1"/>
  <c r="K51" i="29" s="1"/>
  <c r="L51" i="29" s="1" a="1"/>
  <c r="L51" i="29" s="1"/>
  <c r="E23" i="60"/>
  <c r="J35" i="60"/>
  <c r="J38" i="60" s="1"/>
  <c r="J25" i="60"/>
  <c r="J34" i="60"/>
  <c r="J37" i="60" s="1"/>
  <c r="E22" i="60"/>
  <c r="F47" i="57"/>
  <c r="O49" i="57"/>
  <c r="Y47" i="57"/>
  <c r="P47" i="57"/>
  <c r="G51" i="56"/>
  <c r="P60" i="56"/>
  <c r="P59" i="56" s="1"/>
  <c r="K88" i="56"/>
  <c r="U88" i="56"/>
  <c r="AC88" i="56" s="1"/>
  <c r="E161" i="57"/>
  <c r="Y16" i="57"/>
  <c r="P16" i="57"/>
  <c r="P107" i="57"/>
  <c r="P93" i="57"/>
  <c r="P75" i="57"/>
  <c r="P54" i="57"/>
  <c r="G54" i="57" s="1"/>
  <c r="P56" i="57"/>
  <c r="G56" i="57" s="1"/>
  <c r="P86" i="57"/>
  <c r="P101" i="57"/>
  <c r="P109" i="57"/>
  <c r="P81" i="57"/>
  <c r="P108" i="57"/>
  <c r="P55" i="57"/>
  <c r="G55" i="57" s="1"/>
  <c r="P97" i="57"/>
  <c r="N142" i="56"/>
  <c r="K92" i="47" s="1"/>
  <c r="O142" i="56"/>
  <c r="L92" i="47" s="1"/>
  <c r="N137" i="56"/>
  <c r="K87" i="47" s="1"/>
  <c r="O137" i="56"/>
  <c r="L87" i="47" s="1"/>
  <c r="N145" i="56"/>
  <c r="K95" i="47" s="1"/>
  <c r="O145" i="56"/>
  <c r="L95" i="47" s="1"/>
  <c r="N140" i="56"/>
  <c r="K90" i="47" s="1"/>
  <c r="O140" i="56"/>
  <c r="L90" i="47" s="1"/>
  <c r="N141" i="56"/>
  <c r="K91" i="47" s="1"/>
  <c r="O141" i="56"/>
  <c r="L91" i="47" s="1"/>
  <c r="N149" i="56"/>
  <c r="O149" i="56"/>
  <c r="N188" i="56"/>
  <c r="J99" i="47"/>
  <c r="N138" i="56"/>
  <c r="K88" i="47" s="1"/>
  <c r="O138" i="56"/>
  <c r="L88" i="47" s="1"/>
  <c r="N146" i="56"/>
  <c r="K96" i="47" s="1"/>
  <c r="O146" i="56"/>
  <c r="L96" i="47" s="1"/>
  <c r="K22" i="29"/>
  <c r="G59" i="56"/>
  <c r="G86" i="56" s="1"/>
  <c r="G53" i="56"/>
  <c r="P31" i="58"/>
  <c r="P34" i="58" s="1"/>
  <c r="P35" i="58" s="1"/>
  <c r="P36" i="58" s="1"/>
  <c r="P24" i="58"/>
  <c r="Q23" i="58"/>
  <c r="Q31" i="58" s="1"/>
  <c r="Q34" i="58" s="1"/>
  <c r="Q35" i="58" s="1"/>
  <c r="Q14" i="58"/>
  <c r="O35" i="58"/>
  <c r="G52" i="56"/>
  <c r="G56" i="56"/>
  <c r="G58" i="56"/>
  <c r="G54" i="56"/>
  <c r="G57" i="56"/>
  <c r="G55" i="56"/>
  <c r="N83" i="47"/>
  <c r="O83" i="47"/>
  <c r="E123" i="57"/>
  <c r="N3" i="29"/>
  <c r="K35" i="44"/>
  <c r="E120" i="57"/>
  <c r="X16" i="57"/>
  <c r="O93" i="57"/>
  <c r="E58" i="57"/>
  <c r="E61" i="57" s="1"/>
  <c r="E163" i="57"/>
  <c r="E162" i="57"/>
  <c r="J234" i="57" s="1"/>
  <c r="E45" i="57"/>
  <c r="E117" i="57"/>
  <c r="E116" i="57"/>
  <c r="E115" i="57"/>
  <c r="O55" i="57"/>
  <c r="O108" i="57"/>
  <c r="O97" i="57"/>
  <c r="O81" i="57"/>
  <c r="E111" i="57"/>
  <c r="E151" i="57" s="1"/>
  <c r="X55" i="57"/>
  <c r="X56" i="57"/>
  <c r="O56" i="57"/>
  <c r="O101" i="57"/>
  <c r="O109" i="57"/>
  <c r="E124" i="57"/>
  <c r="E125" i="57"/>
  <c r="E121" i="57"/>
  <c r="E119" i="57"/>
  <c r="L18" i="29"/>
  <c r="L38" i="55"/>
  <c r="M38" i="55" s="1"/>
  <c r="N38" i="55" s="1"/>
  <c r="K26" i="55"/>
  <c r="L35" i="55"/>
  <c r="M35" i="55" s="1"/>
  <c r="N35" i="55" s="1"/>
  <c r="O35" i="55" s="1"/>
  <c r="H60" i="56"/>
  <c r="I60" i="56" s="1"/>
  <c r="I55" i="56" s="1"/>
  <c r="H48" i="56"/>
  <c r="K30" i="55"/>
  <c r="G43" i="47"/>
  <c r="J43" i="47"/>
  <c r="K43" i="47"/>
  <c r="L43" i="47"/>
  <c r="J54" i="47"/>
  <c r="K54" i="47"/>
  <c r="L54" i="47"/>
  <c r="G54" i="47"/>
  <c r="G45" i="47"/>
  <c r="J45" i="47"/>
  <c r="K45" i="47"/>
  <c r="L45" i="47"/>
  <c r="J46" i="47"/>
  <c r="K46" i="47"/>
  <c r="L46" i="47"/>
  <c r="G46" i="47"/>
  <c r="G51" i="47"/>
  <c r="J51" i="47"/>
  <c r="K51" i="47"/>
  <c r="L51" i="47"/>
  <c r="G44" i="47"/>
  <c r="J44" i="47"/>
  <c r="K44" i="47"/>
  <c r="L44" i="47"/>
  <c r="G49" i="47"/>
  <c r="J49" i="47"/>
  <c r="K49" i="47"/>
  <c r="L49" i="47"/>
  <c r="G47" i="47"/>
  <c r="J47" i="47"/>
  <c r="K47" i="47"/>
  <c r="L47" i="47"/>
  <c r="J42" i="47"/>
  <c r="K42" i="47"/>
  <c r="L42" i="47"/>
  <c r="G42" i="47"/>
  <c r="J50" i="47"/>
  <c r="K50" i="47"/>
  <c r="L50" i="47"/>
  <c r="G50" i="47"/>
  <c r="G48" i="47"/>
  <c r="J48" i="47"/>
  <c r="K48" i="47"/>
  <c r="L48" i="47"/>
  <c r="K23" i="29"/>
  <c r="K23" i="35"/>
  <c r="H8" i="47" s="1"/>
  <c r="K25" i="35"/>
  <c r="H6" i="47" s="1"/>
  <c r="K26" i="35"/>
  <c r="H7" i="47" s="1"/>
  <c r="K24" i="35"/>
  <c r="H9" i="47" s="1"/>
  <c r="K22" i="35"/>
  <c r="H5" i="47" s="1"/>
  <c r="R83" i="47"/>
  <c r="S83" i="47"/>
  <c r="X43" i="56" l="1"/>
  <c r="X76" i="56" s="1"/>
  <c r="G83" i="56"/>
  <c r="P118" i="56" a="1"/>
  <c r="P118" i="56" s="1"/>
  <c r="M144" i="56" s="1"/>
  <c r="J94" i="47" s="1"/>
  <c r="N118" i="56" a="1"/>
  <c r="N118" i="56" s="1"/>
  <c r="G78" i="56"/>
  <c r="P113" i="56" a="1"/>
  <c r="P113" i="56" s="1"/>
  <c r="M139" i="56" s="1"/>
  <c r="J89" i="47" s="1"/>
  <c r="N113" i="56" a="1"/>
  <c r="N113" i="56" s="1"/>
  <c r="G82" i="56"/>
  <c r="P117" i="56" a="1"/>
  <c r="P117" i="56" s="1"/>
  <c r="M143" i="56" s="1"/>
  <c r="J93" i="47" s="1"/>
  <c r="N117" i="56" a="1"/>
  <c r="N117" i="56" s="1"/>
  <c r="F56" i="57"/>
  <c r="F55" i="57"/>
  <c r="G47" i="57"/>
  <c r="N5" i="29" a="1"/>
  <c r="N5" i="29" s="1"/>
  <c r="N28" i="29" a="1"/>
  <c r="N28" i="29" s="1"/>
  <c r="N36" i="29" s="1"/>
  <c r="R51" i="29" s="1" a="1"/>
  <c r="R51" i="29" s="1"/>
  <c r="R182" i="56" a="1"/>
  <c r="R182" i="56" s="1"/>
  <c r="L182" i="56" a="1"/>
  <c r="L182" i="56" s="1"/>
  <c r="M182" i="56" s="1" a="1"/>
  <c r="M182" i="56" s="1"/>
  <c r="N182" i="56" a="1"/>
  <c r="N182" i="56" s="1"/>
  <c r="N180" i="56" a="1"/>
  <c r="N180" i="56" s="1"/>
  <c r="L180" i="56" a="1"/>
  <c r="L180" i="56" s="1"/>
  <c r="M180" i="56" s="1" a="1"/>
  <c r="M180" i="56" s="1"/>
  <c r="I43" i="56"/>
  <c r="I92" i="56" s="1"/>
  <c r="O176" i="56" a="1"/>
  <c r="O176" i="56" s="1"/>
  <c r="P176" i="56" a="1"/>
  <c r="P176" i="56" s="1"/>
  <c r="N184" i="56" a="1"/>
  <c r="N184" i="56" s="1"/>
  <c r="L184" i="56" a="1"/>
  <c r="L184" i="56" s="1"/>
  <c r="M184" i="56" s="1" a="1"/>
  <c r="M184" i="56" s="1"/>
  <c r="L181" i="56" a="1"/>
  <c r="L181" i="56" s="1"/>
  <c r="M181" i="56" s="1" a="1"/>
  <c r="M181" i="56" s="1"/>
  <c r="N181" i="56" a="1"/>
  <c r="N181" i="56" s="1"/>
  <c r="L185" i="56" a="1"/>
  <c r="L185" i="56" s="1"/>
  <c r="M185" i="56" s="1" a="1"/>
  <c r="M185" i="56" s="1"/>
  <c r="N185" i="56" a="1"/>
  <c r="N185" i="56" s="1"/>
  <c r="N183" i="56" a="1"/>
  <c r="N183" i="56" s="1"/>
  <c r="L183" i="56" a="1"/>
  <c r="L183" i="56" s="1"/>
  <c r="M183" i="56" s="1" a="1"/>
  <c r="M183" i="56" s="1"/>
  <c r="N178" i="56" a="1"/>
  <c r="N178" i="56" s="1"/>
  <c r="L178" i="56" a="1"/>
  <c r="L178" i="56" s="1"/>
  <c r="M178" i="56" s="1" a="1"/>
  <c r="M178" i="56" s="1"/>
  <c r="L179" i="56" a="1"/>
  <c r="L179" i="56" s="1"/>
  <c r="M179" i="56" s="1" a="1"/>
  <c r="M179" i="56" s="1"/>
  <c r="N179" i="56" a="1"/>
  <c r="N179" i="56" s="1"/>
  <c r="K49" i="29" a="1"/>
  <c r="K49" i="29" s="1"/>
  <c r="L49" i="29" s="1" a="1"/>
  <c r="L49" i="29" s="1"/>
  <c r="M49" i="29" a="1"/>
  <c r="M49" i="29" s="1"/>
  <c r="N49" i="29" s="1" a="1"/>
  <c r="N49" i="29" s="1"/>
  <c r="M48" i="29" a="1"/>
  <c r="M48" i="29" s="1"/>
  <c r="N48" i="29" s="1" a="1"/>
  <c r="N48" i="29" s="1"/>
  <c r="K48" i="29" a="1"/>
  <c r="K48" i="29" s="1"/>
  <c r="L48" i="29" s="1" a="1"/>
  <c r="L48" i="29" s="1"/>
  <c r="L16" i="29"/>
  <c r="M16" i="29" s="1"/>
  <c r="M22" i="29" s="1"/>
  <c r="E34" i="60"/>
  <c r="E37" i="60" s="1"/>
  <c r="E25" i="60"/>
  <c r="E17" i="60" s="1"/>
  <c r="E35" i="60"/>
  <c r="E38" i="60" s="1"/>
  <c r="K43" i="56"/>
  <c r="O50" i="57"/>
  <c r="O110" i="57" s="1"/>
  <c r="X49" i="57"/>
  <c r="X57" i="57" s="1"/>
  <c r="Y107" i="57"/>
  <c r="G107" i="57" s="1"/>
  <c r="P86" i="56"/>
  <c r="AJ78" i="56" s="1"/>
  <c r="X59" i="56"/>
  <c r="X86" i="56" s="1"/>
  <c r="X60" i="56"/>
  <c r="Q60" i="56"/>
  <c r="P51" i="56"/>
  <c r="X51" i="56" s="1"/>
  <c r="X78" i="56" s="1"/>
  <c r="Y101" i="57"/>
  <c r="G101" i="57" s="1"/>
  <c r="Y86" i="57"/>
  <c r="G86" i="57" s="1"/>
  <c r="X101" i="57"/>
  <c r="F101" i="57" s="1"/>
  <c r="Y75" i="57"/>
  <c r="G75" i="57" s="1"/>
  <c r="Y93" i="57"/>
  <c r="G93" i="57" s="1"/>
  <c r="X109" i="57"/>
  <c r="F109" i="57" s="1"/>
  <c r="Y109" i="57"/>
  <c r="G109" i="57" s="1"/>
  <c r="X93" i="57"/>
  <c r="F93" i="57" s="1"/>
  <c r="Y97" i="57"/>
  <c r="G97" i="57" s="1"/>
  <c r="Y81" i="57"/>
  <c r="G81" i="57" s="1"/>
  <c r="X81" i="57"/>
  <c r="F81" i="57" s="1"/>
  <c r="X108" i="57"/>
  <c r="F108" i="57" s="1"/>
  <c r="X97" i="57"/>
  <c r="F97" i="57" s="1"/>
  <c r="Y108" i="57"/>
  <c r="G108" i="57" s="1"/>
  <c r="G102" i="56"/>
  <c r="K60" i="56"/>
  <c r="I48" i="56"/>
  <c r="Q48" i="56" s="1"/>
  <c r="K48" i="56"/>
  <c r="P188" i="56"/>
  <c r="L99" i="47"/>
  <c r="O188" i="56"/>
  <c r="K99" i="47"/>
  <c r="L24" i="29"/>
  <c r="M18" i="29"/>
  <c r="P54" i="56"/>
  <c r="X54" i="56" s="1"/>
  <c r="X81" i="56" s="1"/>
  <c r="P57" i="56"/>
  <c r="P52" i="56"/>
  <c r="X52" i="56" s="1"/>
  <c r="P53" i="56"/>
  <c r="X53" i="56" s="1"/>
  <c r="P56" i="56"/>
  <c r="X56" i="56" s="1"/>
  <c r="P58" i="56"/>
  <c r="P55" i="56"/>
  <c r="Q24" i="58"/>
  <c r="O168" i="58"/>
  <c r="O169" i="58"/>
  <c r="O36" i="58"/>
  <c r="O41" i="58" s="1"/>
  <c r="P168" i="58"/>
  <c r="P169" i="58"/>
  <c r="Q36" i="58"/>
  <c r="Q41" i="58" s="1"/>
  <c r="Q168" i="58"/>
  <c r="Q169" i="58"/>
  <c r="R14" i="58"/>
  <c r="R23" i="58"/>
  <c r="O57" i="57"/>
  <c r="D255" i="57"/>
  <c r="J262" i="57" s="1"/>
  <c r="E149" i="57"/>
  <c r="E188" i="57"/>
  <c r="E150" i="57"/>
  <c r="E187" i="57" s="1"/>
  <c r="O38" i="55"/>
  <c r="D254" i="57"/>
  <c r="J261" i="57" s="1"/>
  <c r="L30" i="55"/>
  <c r="M30" i="55" s="1"/>
  <c r="N30" i="55" s="1"/>
  <c r="O30" i="55" s="1"/>
  <c r="D253" i="57"/>
  <c r="J260" i="57" s="1"/>
  <c r="E129" i="57"/>
  <c r="E155" i="57" s="1"/>
  <c r="E128" i="57"/>
  <c r="E156" i="57" s="1"/>
  <c r="E193" i="57" s="1"/>
  <c r="W193" i="57" s="1"/>
  <c r="E59" i="57"/>
  <c r="E60" i="57" s="1"/>
  <c r="E127" i="57"/>
  <c r="E154" i="57" s="1"/>
  <c r="J233" i="57"/>
  <c r="L17" i="29"/>
  <c r="M17" i="29" s="1"/>
  <c r="L26" i="55"/>
  <c r="M26" i="55" s="1"/>
  <c r="N26" i="55" s="1"/>
  <c r="O26" i="55" s="1"/>
  <c r="L29" i="55"/>
  <c r="M29" i="55" s="1"/>
  <c r="N29" i="55" s="1"/>
  <c r="O29" i="55" s="1"/>
  <c r="P29" i="55" s="1"/>
  <c r="J235" i="57"/>
  <c r="H51" i="56"/>
  <c r="H59" i="56"/>
  <c r="H56" i="56"/>
  <c r="H55" i="56"/>
  <c r="I98" i="56" s="1"/>
  <c r="H58" i="56"/>
  <c r="H57" i="56"/>
  <c r="H54" i="56"/>
  <c r="H53" i="56"/>
  <c r="H52" i="56"/>
  <c r="P37" i="55"/>
  <c r="P32" i="55"/>
  <c r="P33" i="55"/>
  <c r="P34" i="55"/>
  <c r="P35" i="55"/>
  <c r="G132" i="47"/>
  <c r="J132" i="47"/>
  <c r="K132" i="47"/>
  <c r="L132" i="47"/>
  <c r="G23" i="47"/>
  <c r="J23" i="47"/>
  <c r="K23" i="47"/>
  <c r="L23" i="47"/>
  <c r="G29" i="47"/>
  <c r="J29" i="47"/>
  <c r="K29" i="47"/>
  <c r="L29" i="47"/>
  <c r="J26" i="47"/>
  <c r="K26" i="47"/>
  <c r="L26" i="47"/>
  <c r="G26" i="47"/>
  <c r="J22" i="47"/>
  <c r="K22" i="47"/>
  <c r="L22" i="47"/>
  <c r="G22" i="47"/>
  <c r="J30" i="47"/>
  <c r="K30" i="47"/>
  <c r="L30" i="47"/>
  <c r="G30" i="47"/>
  <c r="G57" i="47"/>
  <c r="J57" i="47"/>
  <c r="K57" i="47"/>
  <c r="L57" i="47"/>
  <c r="G21" i="47"/>
  <c r="J21" i="47"/>
  <c r="K21" i="47"/>
  <c r="L21" i="47"/>
  <c r="G56" i="47"/>
  <c r="J56" i="47"/>
  <c r="K56" i="47"/>
  <c r="L56" i="47"/>
  <c r="G25" i="47"/>
  <c r="J25" i="47"/>
  <c r="K25" i="47"/>
  <c r="L25" i="47"/>
  <c r="G55" i="47"/>
  <c r="L55" i="47"/>
  <c r="J55" i="47"/>
  <c r="K55" i="47"/>
  <c r="G28" i="47"/>
  <c r="J28" i="47"/>
  <c r="K28" i="47"/>
  <c r="L28" i="47"/>
  <c r="G53" i="47"/>
  <c r="J53" i="47"/>
  <c r="K53" i="47"/>
  <c r="L53" i="47"/>
  <c r="G52" i="47"/>
  <c r="J52" i="47"/>
  <c r="K52" i="47"/>
  <c r="L52" i="47"/>
  <c r="G60" i="47"/>
  <c r="J60" i="47"/>
  <c r="K60" i="47"/>
  <c r="L60" i="47"/>
  <c r="G27" i="47"/>
  <c r="J27" i="47"/>
  <c r="K27" i="47"/>
  <c r="L27" i="47"/>
  <c r="L59" i="47"/>
  <c r="G59" i="47"/>
  <c r="K59" i="47"/>
  <c r="J59" i="47"/>
  <c r="J58" i="47"/>
  <c r="K58" i="47"/>
  <c r="L58" i="47"/>
  <c r="G58" i="47"/>
  <c r="G61" i="47"/>
  <c r="J61" i="47"/>
  <c r="K61" i="47"/>
  <c r="L61" i="47"/>
  <c r="G24" i="47"/>
  <c r="J24" i="47"/>
  <c r="K24" i="47"/>
  <c r="L24" i="47"/>
  <c r="R32" i="57"/>
  <c r="H108" i="47"/>
  <c r="L25" i="35"/>
  <c r="I6" i="47" s="1"/>
  <c r="L23" i="35"/>
  <c r="L24" i="35"/>
  <c r="L22" i="35"/>
  <c r="L26" i="35"/>
  <c r="AB83" i="47"/>
  <c r="T83" i="47"/>
  <c r="O117" i="56" l="1" a="1"/>
  <c r="O117" i="56" s="1"/>
  <c r="L143" i="56" s="1"/>
  <c r="I93" i="47" s="1"/>
  <c r="K143" i="56"/>
  <c r="H93" i="47" s="1"/>
  <c r="H82" i="56"/>
  <c r="Q117" i="56" a="1"/>
  <c r="Q117" i="56" s="1"/>
  <c r="N143" i="56" s="1"/>
  <c r="K93" i="47" s="1"/>
  <c r="R117" i="56" a="1"/>
  <c r="R117" i="56" s="1"/>
  <c r="O143" i="56" s="1"/>
  <c r="L93" i="47" s="1"/>
  <c r="H83" i="56"/>
  <c r="Q118" i="56" a="1"/>
  <c r="Q118" i="56" s="1"/>
  <c r="N144" i="56" s="1"/>
  <c r="K94" i="47" s="1"/>
  <c r="R118" i="56" a="1"/>
  <c r="R118" i="56" s="1"/>
  <c r="O144" i="56" s="1"/>
  <c r="L94" i="47" s="1"/>
  <c r="O113" i="56" a="1"/>
  <c r="O113" i="56" s="1"/>
  <c r="L139" i="56" s="1"/>
  <c r="I89" i="47" s="1"/>
  <c r="K139" i="56"/>
  <c r="H89" i="47" s="1"/>
  <c r="H78" i="56"/>
  <c r="Q113" i="56" a="1"/>
  <c r="Q113" i="56" s="1"/>
  <c r="N139" i="56" s="1"/>
  <c r="K89" i="47" s="1"/>
  <c r="R113" i="56" a="1"/>
  <c r="R113" i="56" s="1"/>
  <c r="O139" i="56" s="1"/>
  <c r="L89" i="47" s="1"/>
  <c r="AP77" i="56"/>
  <c r="E89" i="56"/>
  <c r="O118" i="56" a="1"/>
  <c r="O118" i="56" s="1"/>
  <c r="L144" i="56" s="1"/>
  <c r="I94" i="47" s="1"/>
  <c r="K144" i="56"/>
  <c r="H94" i="47" s="1"/>
  <c r="H84" i="47"/>
  <c r="N16" i="29"/>
  <c r="O16" i="29" s="1"/>
  <c r="O22" i="29" s="1"/>
  <c r="Q43" i="56"/>
  <c r="Q76" i="56" s="1"/>
  <c r="Q92" i="56" s="1"/>
  <c r="Y92" i="56" s="1"/>
  <c r="F57" i="57"/>
  <c r="F49" i="57"/>
  <c r="P49" i="57" s="1"/>
  <c r="P50" i="57" s="1"/>
  <c r="R176" i="56" a="1"/>
  <c r="R176" i="56" s="1"/>
  <c r="Q176" i="56" a="1"/>
  <c r="Q176" i="56" s="1"/>
  <c r="P182" i="56" a="1"/>
  <c r="P182" i="56" s="1"/>
  <c r="Q182" i="56" s="1" a="1"/>
  <c r="Q182" i="56" s="1"/>
  <c r="O182" i="56" a="1"/>
  <c r="O182" i="56" s="1"/>
  <c r="P178" i="56" a="1"/>
  <c r="P178" i="56" s="1"/>
  <c r="O178" i="56" a="1"/>
  <c r="O178" i="56" s="1"/>
  <c r="P183" i="56" a="1"/>
  <c r="P183" i="56" s="1"/>
  <c r="O183" i="56" a="1"/>
  <c r="O183" i="56" s="1"/>
  <c r="K92" i="56"/>
  <c r="T176" i="56" a="1"/>
  <c r="T176" i="56" s="1"/>
  <c r="P179" i="56" a="1"/>
  <c r="P179" i="56" s="1"/>
  <c r="O179" i="56" a="1"/>
  <c r="O179" i="56" s="1"/>
  <c r="I76" i="56"/>
  <c r="S111" i="56" a="1"/>
  <c r="S111" i="56" s="1"/>
  <c r="T111" i="56" a="1"/>
  <c r="T111" i="56" s="1"/>
  <c r="O180" i="56" a="1"/>
  <c r="O180" i="56" s="1"/>
  <c r="P180" i="56" a="1"/>
  <c r="P180" i="56" s="1"/>
  <c r="O181" i="56" a="1"/>
  <c r="O181" i="56" s="1"/>
  <c r="P181" i="56" a="1"/>
  <c r="P181" i="56" s="1"/>
  <c r="O184" i="56" a="1"/>
  <c r="O184" i="56" s="1"/>
  <c r="P184" i="56" a="1"/>
  <c r="P184" i="56" s="1"/>
  <c r="N121" i="56" a="1"/>
  <c r="N121" i="56" s="1"/>
  <c r="O121" i="56" s="1" a="1"/>
  <c r="O121" i="56" s="1"/>
  <c r="P121" i="56" a="1"/>
  <c r="P121" i="56" s="1"/>
  <c r="P185" i="56" a="1"/>
  <c r="P185" i="56" s="1"/>
  <c r="O185" i="56" a="1"/>
  <c r="O185" i="56" s="1"/>
  <c r="I82" i="56"/>
  <c r="T117" i="56" a="1"/>
  <c r="T117" i="56" s="1"/>
  <c r="W187" i="57"/>
  <c r="M201" i="57" a="1"/>
  <c r="M201" i="57" s="1"/>
  <c r="J220" i="57" a="1"/>
  <c r="J220" i="57" s="1"/>
  <c r="G102" i="47" s="1"/>
  <c r="W188" i="57"/>
  <c r="J221" i="57" a="1"/>
  <c r="J221" i="57" s="1"/>
  <c r="G101" i="47" s="1"/>
  <c r="M202" i="57" a="1"/>
  <c r="M202" i="57" s="1"/>
  <c r="P48" i="29" a="1"/>
  <c r="P48" i="29" s="1"/>
  <c r="Q48" i="29" s="1" a="1"/>
  <c r="Q48" i="29" s="1"/>
  <c r="O50" i="29" a="1"/>
  <c r="O50" i="29" s="1"/>
  <c r="N50" i="29" a="1"/>
  <c r="N50" i="29" s="1"/>
  <c r="S51" i="29" a="1"/>
  <c r="S51" i="29" s="1"/>
  <c r="E18" i="60"/>
  <c r="S43" i="56"/>
  <c r="S76" i="56" s="1"/>
  <c r="S92" i="56" s="1"/>
  <c r="AA92" i="56" s="1"/>
  <c r="E31" i="60"/>
  <c r="E19" i="60"/>
  <c r="X50" i="57"/>
  <c r="F50" i="57" s="1"/>
  <c r="O51" i="57"/>
  <c r="P78" i="56"/>
  <c r="P94" i="56" s="1"/>
  <c r="X94" i="56" s="1"/>
  <c r="P84" i="56"/>
  <c r="P100" i="56" s="1"/>
  <c r="X100" i="56" s="1"/>
  <c r="X57" i="56"/>
  <c r="X84" i="56" s="1"/>
  <c r="Q59" i="56"/>
  <c r="S60" i="56"/>
  <c r="Y60" i="56"/>
  <c r="Q56" i="56"/>
  <c r="Q51" i="56"/>
  <c r="Q54" i="56"/>
  <c r="Q57" i="56"/>
  <c r="Q58" i="56"/>
  <c r="Q52" i="56"/>
  <c r="Q53" i="56"/>
  <c r="Q55" i="56"/>
  <c r="AA32" i="57"/>
  <c r="AA56" i="57" s="1"/>
  <c r="X55" i="56"/>
  <c r="X82" i="56" s="1"/>
  <c r="P82" i="56"/>
  <c r="P98" i="56" s="1"/>
  <c r="X98" i="56" s="1"/>
  <c r="P85" i="56"/>
  <c r="P101" i="56" s="1"/>
  <c r="X101" i="56" s="1"/>
  <c r="X58" i="56"/>
  <c r="X85" i="56" s="1"/>
  <c r="S48" i="56"/>
  <c r="Y48" i="56"/>
  <c r="P79" i="56"/>
  <c r="P95" i="56" s="1"/>
  <c r="X95" i="56" s="1"/>
  <c r="X110" i="57"/>
  <c r="F110" i="57" s="1"/>
  <c r="P81" i="56"/>
  <c r="P97" i="56" s="1"/>
  <c r="X97" i="56" s="1"/>
  <c r="R87" i="57"/>
  <c r="R56" i="57"/>
  <c r="R109" i="57"/>
  <c r="X83" i="56"/>
  <c r="I51" i="56"/>
  <c r="I94" i="56" s="1"/>
  <c r="I57" i="56"/>
  <c r="I100" i="56" s="1"/>
  <c r="I54" i="56"/>
  <c r="I97" i="56" s="1"/>
  <c r="I53" i="56"/>
  <c r="I96" i="56" s="1"/>
  <c r="I52" i="56"/>
  <c r="I95" i="56" s="1"/>
  <c r="I56" i="56"/>
  <c r="I99" i="56" s="1"/>
  <c r="I58" i="56"/>
  <c r="I101" i="56" s="1"/>
  <c r="I59" i="56"/>
  <c r="K58" i="56"/>
  <c r="K57" i="56"/>
  <c r="K53" i="56"/>
  <c r="K54" i="56"/>
  <c r="K55" i="56"/>
  <c r="K51" i="56"/>
  <c r="K52" i="56"/>
  <c r="K56" i="56"/>
  <c r="K59" i="56"/>
  <c r="X79" i="56"/>
  <c r="H21" i="57"/>
  <c r="N17" i="29"/>
  <c r="O17" i="29" s="1"/>
  <c r="O23" i="29" s="1"/>
  <c r="M23" i="29"/>
  <c r="M24" i="29"/>
  <c r="N18" i="29"/>
  <c r="O18" i="29" s="1"/>
  <c r="O24" i="29" s="1"/>
  <c r="P80" i="56"/>
  <c r="P96" i="56" s="1"/>
  <c r="X96" i="56" s="1"/>
  <c r="P83" i="56"/>
  <c r="P99" i="56" s="1"/>
  <c r="X99" i="56" s="1"/>
  <c r="X80" i="56"/>
  <c r="R31" i="58"/>
  <c r="R34" i="58" s="1"/>
  <c r="R35" i="58" s="1"/>
  <c r="R36" i="58" s="1"/>
  <c r="R41" i="58" s="1"/>
  <c r="P41" i="58"/>
  <c r="S14" i="58"/>
  <c r="S23" i="58"/>
  <c r="R24" i="58"/>
  <c r="P27" i="55"/>
  <c r="M135" i="47" s="1"/>
  <c r="J108" i="47"/>
  <c r="BH201" i="57"/>
  <c r="BE220" i="57"/>
  <c r="BE221" i="57"/>
  <c r="BH202" i="57"/>
  <c r="E112" i="57"/>
  <c r="E186" i="57"/>
  <c r="P30" i="55"/>
  <c r="E153" i="57"/>
  <c r="E165" i="57" s="1"/>
  <c r="E168" i="57"/>
  <c r="J240" i="57" s="1"/>
  <c r="D257" i="57"/>
  <c r="J264" i="57" s="1"/>
  <c r="P38" i="55"/>
  <c r="D256" i="57"/>
  <c r="J263" i="57" s="1"/>
  <c r="P26" i="55"/>
  <c r="E191" i="57"/>
  <c r="W191" i="57" s="1"/>
  <c r="E166" i="57"/>
  <c r="E192" i="57"/>
  <c r="W192" i="57" s="1"/>
  <c r="E167" i="57"/>
  <c r="BH207" i="57"/>
  <c r="BI207" i="57" s="1"/>
  <c r="BE226" i="57"/>
  <c r="BF226" i="57" s="1"/>
  <c r="D258" i="57"/>
  <c r="J265" i="57" s="1"/>
  <c r="P31" i="55"/>
  <c r="H86" i="56"/>
  <c r="AP78" i="56" s="1"/>
  <c r="AP80" i="56" s="1"/>
  <c r="AP81" i="56" s="1"/>
  <c r="H102" i="56"/>
  <c r="M131" i="47"/>
  <c r="M130" i="47"/>
  <c r="M127" i="47"/>
  <c r="G21" i="57"/>
  <c r="M134" i="47"/>
  <c r="P36" i="55"/>
  <c r="M128" i="47"/>
  <c r="I85" i="47"/>
  <c r="H85" i="47"/>
  <c r="I86" i="47"/>
  <c r="H86" i="47"/>
  <c r="M25" i="35"/>
  <c r="N25" i="35" s="1"/>
  <c r="K108" i="47"/>
  <c r="I84" i="47"/>
  <c r="I8" i="47"/>
  <c r="M23" i="35"/>
  <c r="M26" i="35"/>
  <c r="I7" i="47"/>
  <c r="M22" i="35"/>
  <c r="I5" i="47"/>
  <c r="M24" i="35"/>
  <c r="I9" i="47"/>
  <c r="AC83" i="47"/>
  <c r="U83" i="47"/>
  <c r="S117" i="56" l="1" a="1"/>
  <c r="S117" i="56" s="1"/>
  <c r="I56" i="57"/>
  <c r="Y43" i="56"/>
  <c r="Y76" i="56" s="1"/>
  <c r="N22" i="29"/>
  <c r="R48" i="29" s="1" a="1"/>
  <c r="R48" i="29" s="1"/>
  <c r="Y49" i="57"/>
  <c r="Y57" i="57" s="1"/>
  <c r="N23" i="29"/>
  <c r="R49" i="29" s="1" a="1"/>
  <c r="R49" i="29" s="1"/>
  <c r="S49" i="29" s="1" a="1"/>
  <c r="S49" i="29" s="1"/>
  <c r="P57" i="57"/>
  <c r="I32" i="57"/>
  <c r="K147" i="56"/>
  <c r="H97" i="47" s="1"/>
  <c r="Q179" i="56" a="1"/>
  <c r="Q179" i="56" s="1"/>
  <c r="R179" i="56" a="1"/>
  <c r="R179" i="56" s="1"/>
  <c r="K76" i="56"/>
  <c r="V111" i="56" a="1"/>
  <c r="V111" i="56" s="1"/>
  <c r="T183" i="56" a="1"/>
  <c r="T183" i="56" s="1"/>
  <c r="R180" i="56" a="1"/>
  <c r="R180" i="56" s="1"/>
  <c r="Q180" i="56" a="1"/>
  <c r="Q180" i="56" s="1"/>
  <c r="T179" i="56" a="1"/>
  <c r="T179" i="56" s="1"/>
  <c r="Q181" i="56" a="1"/>
  <c r="Q181" i="56" s="1"/>
  <c r="R181" i="56" a="1"/>
  <c r="R181" i="56" s="1"/>
  <c r="T178" i="56" a="1"/>
  <c r="T178" i="56" s="1"/>
  <c r="Q184" i="56" a="1"/>
  <c r="Q184" i="56" s="1"/>
  <c r="R184" i="56" a="1"/>
  <c r="R184" i="56" s="1"/>
  <c r="AA43" i="56"/>
  <c r="AA76" i="56" s="1"/>
  <c r="T182" i="56" a="1"/>
  <c r="T182" i="56" s="1"/>
  <c r="Q178" i="56" a="1"/>
  <c r="Q178" i="56" s="1"/>
  <c r="R178" i="56" a="1"/>
  <c r="R178" i="56" s="1"/>
  <c r="T181" i="56" a="1"/>
  <c r="T181" i="56" s="1"/>
  <c r="Q185" i="56" a="1"/>
  <c r="Q185" i="56" s="1"/>
  <c r="R185" i="56" a="1"/>
  <c r="R185" i="56" s="1"/>
  <c r="R183" i="56" a="1"/>
  <c r="R183" i="56" s="1"/>
  <c r="Q183" i="56" a="1"/>
  <c r="Q183" i="56" s="1"/>
  <c r="T180" i="56" a="1"/>
  <c r="T180" i="56" s="1"/>
  <c r="Q121" i="56" a="1"/>
  <c r="Q121" i="56" s="1"/>
  <c r="R121" i="56" a="1"/>
  <c r="R121" i="56" s="1"/>
  <c r="T184" i="56" a="1"/>
  <c r="T184" i="56" s="1"/>
  <c r="T185" i="56" a="1"/>
  <c r="T185" i="56" s="1"/>
  <c r="W186" i="57"/>
  <c r="J219" i="57" a="1"/>
  <c r="J219" i="57" s="1"/>
  <c r="G100" i="47" s="1"/>
  <c r="M200" i="57" a="1"/>
  <c r="M200" i="57" s="1"/>
  <c r="P50" i="29" a="1"/>
  <c r="P50" i="29" s="1"/>
  <c r="Q50" i="29" s="1" a="1"/>
  <c r="Q50" i="29" s="1"/>
  <c r="S48" i="29" a="1"/>
  <c r="S48" i="29" s="1"/>
  <c r="P49" i="29" a="1"/>
  <c r="P49" i="29" s="1"/>
  <c r="Q49" i="29" s="1" a="1"/>
  <c r="Q49" i="29" s="1"/>
  <c r="P51" i="57"/>
  <c r="Y51" i="57" s="1"/>
  <c r="G51" i="57" s="1"/>
  <c r="P110" i="57"/>
  <c r="Y50" i="57"/>
  <c r="G50" i="57" s="1"/>
  <c r="X51" i="57"/>
  <c r="F51" i="57" s="1"/>
  <c r="Q79" i="56"/>
  <c r="Q95" i="56" s="1"/>
  <c r="Y95" i="56" s="1"/>
  <c r="Y52" i="56"/>
  <c r="Y79" i="56" s="1"/>
  <c r="Y57" i="56"/>
  <c r="Y84" i="56" s="1"/>
  <c r="Q84" i="56"/>
  <c r="Q100" i="56" s="1"/>
  <c r="Y100" i="56" s="1"/>
  <c r="Q81" i="56"/>
  <c r="Q97" i="56" s="1"/>
  <c r="Y97" i="56" s="1"/>
  <c r="Y54" i="56"/>
  <c r="Y81" i="56" s="1"/>
  <c r="Y53" i="56"/>
  <c r="Y80" i="56" s="1"/>
  <c r="Q80" i="56"/>
  <c r="Q96" i="56" s="1"/>
  <c r="Y96" i="56" s="1"/>
  <c r="Y51" i="56"/>
  <c r="Y78" i="56" s="1"/>
  <c r="Q78" i="56"/>
  <c r="Q94" i="56" s="1"/>
  <c r="Y94" i="56" s="1"/>
  <c r="Y56" i="56"/>
  <c r="Y83" i="56" s="1"/>
  <c r="Q83" i="56"/>
  <c r="Q99" i="56" s="1"/>
  <c r="Y99" i="56" s="1"/>
  <c r="Q85" i="56"/>
  <c r="Q101" i="56" s="1"/>
  <c r="Y101" i="56" s="1"/>
  <c r="Y58" i="56"/>
  <c r="Y85" i="56" s="1"/>
  <c r="AA109" i="57"/>
  <c r="I109" i="57" s="1"/>
  <c r="AA60" i="56"/>
  <c r="S52" i="56"/>
  <c r="S54" i="56"/>
  <c r="S56" i="56"/>
  <c r="S58" i="56"/>
  <c r="S53" i="56"/>
  <c r="S51" i="56"/>
  <c r="S57" i="56"/>
  <c r="S55" i="56"/>
  <c r="S59" i="56"/>
  <c r="Q86" i="56"/>
  <c r="Y59" i="56"/>
  <c r="Y86" i="56" s="1"/>
  <c r="Y55" i="56"/>
  <c r="Y82" i="56" s="1"/>
  <c r="Q82" i="56"/>
  <c r="Q98" i="56" s="1"/>
  <c r="Y98" i="56" s="1"/>
  <c r="S46" i="56"/>
  <c r="S77" i="56" s="1"/>
  <c r="S93" i="56" s="1"/>
  <c r="AA93" i="56" s="1"/>
  <c r="AA48" i="56"/>
  <c r="S47" i="56"/>
  <c r="S87" i="56" s="1"/>
  <c r="P58" i="57"/>
  <c r="AA87" i="57"/>
  <c r="I87" i="57" s="1"/>
  <c r="I90" i="57" s="1"/>
  <c r="K86" i="56"/>
  <c r="K102" i="56"/>
  <c r="V121" i="56" s="1" a="1"/>
  <c r="V121" i="56" s="1"/>
  <c r="I86" i="56"/>
  <c r="I102" i="56"/>
  <c r="L147" i="56"/>
  <c r="I97" i="47" s="1"/>
  <c r="M147" i="56"/>
  <c r="AJ77" i="56"/>
  <c r="AJ80" i="56" s="1"/>
  <c r="AJ81" i="56" s="1"/>
  <c r="S24" i="58"/>
  <c r="S31" i="58"/>
  <c r="S34" i="58" s="1"/>
  <c r="S35" i="58" s="1"/>
  <c r="S36" i="58" s="1"/>
  <c r="S41" i="58" s="1"/>
  <c r="R168" i="58"/>
  <c r="R169" i="58"/>
  <c r="T14" i="58"/>
  <c r="T23" i="58"/>
  <c r="E190" i="57"/>
  <c r="AC32" i="57"/>
  <c r="BI202" i="57"/>
  <c r="BF220" i="57"/>
  <c r="J84" i="47"/>
  <c r="J86" i="47"/>
  <c r="J85" i="47"/>
  <c r="BE219" i="57"/>
  <c r="BH200" i="57"/>
  <c r="BF221" i="57"/>
  <c r="BI201" i="57"/>
  <c r="M25" i="44"/>
  <c r="M26" i="44" s="1"/>
  <c r="J238" i="57"/>
  <c r="J237" i="57"/>
  <c r="E169" i="57"/>
  <c r="E176" i="57" s="1"/>
  <c r="BE224" i="57"/>
  <c r="BF224" i="57" s="1"/>
  <c r="BH205" i="57"/>
  <c r="BI205" i="57" s="1"/>
  <c r="J239" i="57"/>
  <c r="BE225" i="57"/>
  <c r="BF225" i="57" s="1"/>
  <c r="BH206" i="57"/>
  <c r="BI206" i="57" s="1"/>
  <c r="M129" i="47"/>
  <c r="M133" i="47"/>
  <c r="N127" i="47"/>
  <c r="I108" i="47"/>
  <c r="K85" i="47"/>
  <c r="K86" i="47"/>
  <c r="N24" i="29"/>
  <c r="R50" i="29" s="1" a="1"/>
  <c r="R50" i="29" s="1"/>
  <c r="J6" i="47"/>
  <c r="N23" i="35"/>
  <c r="J8" i="47"/>
  <c r="N22" i="35"/>
  <c r="J5" i="47"/>
  <c r="O25" i="35"/>
  <c r="K6" i="47"/>
  <c r="N24" i="35"/>
  <c r="J9" i="47"/>
  <c r="J7" i="47"/>
  <c r="N26" i="35"/>
  <c r="AD83" i="47"/>
  <c r="V83" i="47"/>
  <c r="G57" i="57" l="1"/>
  <c r="Y58" i="57"/>
  <c r="Y59" i="57" s="1"/>
  <c r="Y60" i="57" s="1"/>
  <c r="L186" i="56"/>
  <c r="G49" i="57"/>
  <c r="Q49" i="57" s="1"/>
  <c r="S121" i="56" a="1"/>
  <c r="S121" i="56" s="1"/>
  <c r="T121" i="56" a="1"/>
  <c r="T121" i="56" s="1"/>
  <c r="I78" i="56"/>
  <c r="S113" i="56" a="1"/>
  <c r="S113" i="56" s="1"/>
  <c r="T113" i="56" a="1"/>
  <c r="T113" i="56" s="1"/>
  <c r="I83" i="56"/>
  <c r="S118" i="56" a="1"/>
  <c r="S118" i="56" s="1"/>
  <c r="T118" i="56" a="1"/>
  <c r="T118" i="56" s="1"/>
  <c r="I80" i="56"/>
  <c r="S115" i="56" a="1"/>
  <c r="S115" i="56" s="1"/>
  <c r="T115" i="56" a="1"/>
  <c r="T115" i="56" s="1"/>
  <c r="I85" i="56"/>
  <c r="S120" i="56" a="1"/>
  <c r="S120" i="56" s="1"/>
  <c r="T120" i="56" a="1"/>
  <c r="T120" i="56" s="1"/>
  <c r="I84" i="56"/>
  <c r="S119" i="56" a="1"/>
  <c r="S119" i="56" s="1"/>
  <c r="T119" i="56" a="1"/>
  <c r="T119" i="56" s="1"/>
  <c r="I81" i="56"/>
  <c r="S116" i="56" a="1"/>
  <c r="S116" i="56" s="1"/>
  <c r="T116" i="56" a="1"/>
  <c r="T116" i="56" s="1"/>
  <c r="I79" i="56"/>
  <c r="S114" i="56" a="1"/>
  <c r="S114" i="56" s="1"/>
  <c r="T114" i="56" a="1"/>
  <c r="T114" i="56" s="1"/>
  <c r="S50" i="29" a="1"/>
  <c r="S50" i="29" s="1"/>
  <c r="Y61" i="57"/>
  <c r="Y110" i="57"/>
  <c r="G110" i="57" s="1"/>
  <c r="P111" i="57"/>
  <c r="Y111" i="57" s="1"/>
  <c r="G111" i="57" s="1"/>
  <c r="P61" i="57"/>
  <c r="T24" i="58"/>
  <c r="S80" i="56"/>
  <c r="S96" i="56" s="1"/>
  <c r="AA96" i="56" s="1"/>
  <c r="AA53" i="56"/>
  <c r="AA80" i="56" s="1"/>
  <c r="S85" i="56"/>
  <c r="S101" i="56" s="1"/>
  <c r="AA101" i="56" s="1"/>
  <c r="AA58" i="56"/>
  <c r="AA85" i="56" s="1"/>
  <c r="AA56" i="56"/>
  <c r="AA83" i="56" s="1"/>
  <c r="S83" i="56"/>
  <c r="S99" i="56" s="1"/>
  <c r="AA99" i="56" s="1"/>
  <c r="AA54" i="56"/>
  <c r="AA81" i="56" s="1"/>
  <c r="S81" i="56"/>
  <c r="S97" i="56" s="1"/>
  <c r="AA97" i="56" s="1"/>
  <c r="AA52" i="56"/>
  <c r="AA79" i="56" s="1"/>
  <c r="S79" i="56"/>
  <c r="S95" i="56" s="1"/>
  <c r="AA95" i="56" s="1"/>
  <c r="S84" i="56"/>
  <c r="S100" i="56" s="1"/>
  <c r="AA100" i="56" s="1"/>
  <c r="AA57" i="56"/>
  <c r="AA84" i="56" s="1"/>
  <c r="AA51" i="56"/>
  <c r="AA78" i="56" s="1"/>
  <c r="S78" i="56"/>
  <c r="S94" i="56" s="1"/>
  <c r="AA94" i="56" s="1"/>
  <c r="AA59" i="56"/>
  <c r="AA86" i="56" s="1"/>
  <c r="S86" i="56"/>
  <c r="AA55" i="56"/>
  <c r="AA82" i="56" s="1"/>
  <c r="S82" i="56"/>
  <c r="S98" i="56" s="1"/>
  <c r="AA98" i="56" s="1"/>
  <c r="P59" i="57"/>
  <c r="AD32" i="57"/>
  <c r="BE223" i="57"/>
  <c r="BF223" i="57" s="1"/>
  <c r="W190" i="57"/>
  <c r="N147" i="56"/>
  <c r="K97" i="47" s="1"/>
  <c r="M186" i="56"/>
  <c r="J97" i="47"/>
  <c r="N186" i="56"/>
  <c r="BH204" i="57"/>
  <c r="BI204" i="57" s="1"/>
  <c r="S168" i="58"/>
  <c r="S169" i="58"/>
  <c r="U23" i="58"/>
  <c r="T31" i="58"/>
  <c r="T34" i="58" s="1"/>
  <c r="T35" i="58" s="1"/>
  <c r="T36" i="58" s="1"/>
  <c r="T41" i="58" s="1"/>
  <c r="BI200" i="57"/>
  <c r="BF219" i="57"/>
  <c r="N25" i="44"/>
  <c r="N26" i="44" s="1"/>
  <c r="E177" i="57"/>
  <c r="E178" i="57"/>
  <c r="E173" i="57"/>
  <c r="E175" i="57"/>
  <c r="E174" i="57"/>
  <c r="E172" i="57"/>
  <c r="E179" i="57"/>
  <c r="O147" i="56"/>
  <c r="O127" i="47"/>
  <c r="L85" i="47"/>
  <c r="L86" i="47"/>
  <c r="L108" i="47"/>
  <c r="M108" i="47"/>
  <c r="O108" i="47"/>
  <c r="O23" i="35"/>
  <c r="K8" i="47"/>
  <c r="O26" i="35"/>
  <c r="K7" i="47"/>
  <c r="K9" i="47"/>
  <c r="O24" i="35"/>
  <c r="P25" i="35"/>
  <c r="L6" i="47"/>
  <c r="O22" i="35"/>
  <c r="K5" i="47"/>
  <c r="AE83" i="47"/>
  <c r="W83" i="47"/>
  <c r="G58" i="57" l="1"/>
  <c r="Q57" i="57"/>
  <c r="Q58" i="57" s="1"/>
  <c r="Q59" i="57" s="1"/>
  <c r="Q50" i="57"/>
  <c r="Z49" i="57"/>
  <c r="V23" i="58"/>
  <c r="V31" i="58" s="1"/>
  <c r="V34" i="58" s="1"/>
  <c r="V35" i="58" s="1"/>
  <c r="V36" i="58" s="1"/>
  <c r="S89" i="56"/>
  <c r="P60" i="57"/>
  <c r="G59" i="57"/>
  <c r="G60" i="57" s="1"/>
  <c r="O186" i="56"/>
  <c r="P186" i="56"/>
  <c r="L97" i="47"/>
  <c r="T168" i="58"/>
  <c r="T169" i="58"/>
  <c r="U31" i="58"/>
  <c r="U34" i="58" s="1"/>
  <c r="U35" i="58" s="1"/>
  <c r="U36" i="58" s="1"/>
  <c r="U41" i="58" s="1"/>
  <c r="U24" i="58"/>
  <c r="E181" i="57"/>
  <c r="E182" i="57" s="1"/>
  <c r="AE32" i="57"/>
  <c r="X83" i="47"/>
  <c r="Y83" i="47"/>
  <c r="O25" i="44"/>
  <c r="O26" i="44" s="1"/>
  <c r="M85" i="47"/>
  <c r="O86" i="47"/>
  <c r="M86" i="47"/>
  <c r="K84" i="47"/>
  <c r="P26" i="35"/>
  <c r="L7" i="47"/>
  <c r="Q25" i="35"/>
  <c r="M6" i="47"/>
  <c r="P24" i="35"/>
  <c r="L9" i="47"/>
  <c r="L8" i="47"/>
  <c r="P23" i="35"/>
  <c r="P22" i="35"/>
  <c r="L5" i="47"/>
  <c r="AF83" i="47"/>
  <c r="Q61" i="57" l="1"/>
  <c r="Z57" i="57"/>
  <c r="H49" i="57"/>
  <c r="Q51" i="57"/>
  <c r="Z51" i="57" s="1"/>
  <c r="H51" i="57" s="1"/>
  <c r="Q110" i="57"/>
  <c r="Z50" i="57"/>
  <c r="H50" i="57" s="1"/>
  <c r="V24" i="58"/>
  <c r="W23" i="58"/>
  <c r="Q60" i="57"/>
  <c r="U169" i="58"/>
  <c r="U168" i="58"/>
  <c r="V41" i="58"/>
  <c r="V169" i="58"/>
  <c r="V168" i="58"/>
  <c r="N85" i="47"/>
  <c r="O85" i="47"/>
  <c r="P25" i="44"/>
  <c r="P26" i="44" s="1"/>
  <c r="N86" i="47"/>
  <c r="N108" i="47"/>
  <c r="L84" i="47"/>
  <c r="Q24" i="35"/>
  <c r="M9" i="47"/>
  <c r="R25" i="35"/>
  <c r="N6" i="47"/>
  <c r="Q22" i="35"/>
  <c r="M5" i="47"/>
  <c r="Q23" i="35"/>
  <c r="M8" i="47"/>
  <c r="Q26" i="35"/>
  <c r="M7" i="47"/>
  <c r="AG83" i="47"/>
  <c r="Z110" i="57" l="1"/>
  <c r="H110" i="57" s="1"/>
  <c r="Q111" i="57"/>
  <c r="Z111" i="57" s="1"/>
  <c r="H111" i="57" s="1"/>
  <c r="H57" i="57"/>
  <c r="Z58" i="57"/>
  <c r="Z61" i="57" s="1"/>
  <c r="W24" i="58"/>
  <c r="X23" i="58"/>
  <c r="W31" i="58"/>
  <c r="W34" i="58" s="1"/>
  <c r="W35" i="58" s="1"/>
  <c r="W169" i="58" s="1"/>
  <c r="AH83" i="47"/>
  <c r="AI83" i="47"/>
  <c r="Q25" i="44"/>
  <c r="Q26" i="44" s="1"/>
  <c r="M84" i="47"/>
  <c r="S25" i="35"/>
  <c r="O6" i="47"/>
  <c r="R24" i="35"/>
  <c r="N9" i="47"/>
  <c r="N7" i="47"/>
  <c r="R26" i="35"/>
  <c r="N8" i="47"/>
  <c r="R23" i="35"/>
  <c r="N5" i="47"/>
  <c r="R22" i="35"/>
  <c r="X24" i="58" l="1"/>
  <c r="Y23" i="58"/>
  <c r="Y31" i="58" s="1"/>
  <c r="Y34" i="58" s="1"/>
  <c r="Y35" i="58" s="1"/>
  <c r="Z59" i="57"/>
  <c r="H58" i="57"/>
  <c r="X31" i="58"/>
  <c r="X34" i="58" s="1"/>
  <c r="X35" i="58" s="1"/>
  <c r="X168" i="58" s="1"/>
  <c r="W36" i="58"/>
  <c r="W41" i="58" s="1"/>
  <c r="W168" i="58"/>
  <c r="N84" i="47"/>
  <c r="O84" i="47"/>
  <c r="Z23" i="58"/>
  <c r="R25" i="44"/>
  <c r="R26" i="44" s="1"/>
  <c r="O5" i="47"/>
  <c r="S22" i="35"/>
  <c r="S24" i="35"/>
  <c r="O9" i="47"/>
  <c r="S23" i="35"/>
  <c r="O8" i="47"/>
  <c r="P6" i="47"/>
  <c r="T25" i="35"/>
  <c r="S26" i="35"/>
  <c r="O7" i="47"/>
  <c r="Y24" i="58" l="1"/>
  <c r="Z24" i="58" s="1"/>
  <c r="X36" i="58"/>
  <c r="X41" i="58" s="1"/>
  <c r="X169" i="58"/>
  <c r="Z60" i="57"/>
  <c r="H59" i="57"/>
  <c r="H60" i="57" s="1"/>
  <c r="Y169" i="58"/>
  <c r="Y168" i="58"/>
  <c r="Y36" i="58"/>
  <c r="Z31" i="58"/>
  <c r="Z34" i="58" s="1"/>
  <c r="Z35" i="58" s="1"/>
  <c r="AA23" i="58"/>
  <c r="S25" i="44"/>
  <c r="S26" i="44" s="1"/>
  <c r="P9" i="47"/>
  <c r="T24" i="35"/>
  <c r="T26" i="35"/>
  <c r="P7" i="47"/>
  <c r="T23" i="35"/>
  <c r="P8" i="47"/>
  <c r="T22" i="35"/>
  <c r="P5" i="47"/>
  <c r="U25" i="35"/>
  <c r="Q6" i="47"/>
  <c r="Y41" i="58" l="1"/>
  <c r="Z168" i="58"/>
  <c r="Z169" i="58"/>
  <c r="Z36" i="58"/>
  <c r="Z41" i="58" s="1"/>
  <c r="AA31" i="58"/>
  <c r="AA34" i="58" s="1"/>
  <c r="AA35" i="58" s="1"/>
  <c r="AA36" i="58" s="1"/>
  <c r="AA24" i="58"/>
  <c r="AB23" i="58"/>
  <c r="T25" i="44"/>
  <c r="T26" i="44" s="1"/>
  <c r="U23" i="35"/>
  <c r="Q8" i="47"/>
  <c r="Q9" i="47"/>
  <c r="U24" i="35"/>
  <c r="V25" i="35"/>
  <c r="R6" i="47"/>
  <c r="U22" i="35"/>
  <c r="Q5" i="47"/>
  <c r="U26" i="35"/>
  <c r="Q7" i="47"/>
  <c r="AA41" i="58" l="1"/>
  <c r="AB24" i="58"/>
  <c r="AB31" i="58"/>
  <c r="AB34" i="58" s="1"/>
  <c r="AA168" i="58"/>
  <c r="AA169" i="58"/>
  <c r="AC23" i="58"/>
  <c r="U25" i="44"/>
  <c r="U26" i="44" s="1"/>
  <c r="P3" i="29"/>
  <c r="V26" i="35"/>
  <c r="R7" i="47"/>
  <c r="V24" i="35"/>
  <c r="R9" i="47"/>
  <c r="R5" i="47"/>
  <c r="V22" i="35"/>
  <c r="R8" i="47"/>
  <c r="V23" i="35"/>
  <c r="W25" i="35"/>
  <c r="S6" i="47"/>
  <c r="P28" i="29" l="1" a="1"/>
  <c r="P28" i="29" s="1"/>
  <c r="P36" i="29" s="1"/>
  <c r="P5" i="29" a="1"/>
  <c r="P5" i="29" s="1"/>
  <c r="P18" i="29" s="1"/>
  <c r="AC24" i="58"/>
  <c r="AB35" i="58"/>
  <c r="AG60" i="58"/>
  <c r="AB60" i="58"/>
  <c r="AC31" i="58"/>
  <c r="AC34" i="58" s="1"/>
  <c r="V25" i="44"/>
  <c r="V26" i="44" s="1"/>
  <c r="AD23" i="58"/>
  <c r="W26" i="35"/>
  <c r="S7" i="47"/>
  <c r="W24" i="35"/>
  <c r="S9" i="47"/>
  <c r="X25" i="35"/>
  <c r="T6" i="47"/>
  <c r="S5" i="47"/>
  <c r="W22" i="35"/>
  <c r="W23" i="35"/>
  <c r="S8" i="47"/>
  <c r="AB51" i="29" l="1" a="1"/>
  <c r="AB51" i="29" s="1"/>
  <c r="T51" i="29" a="1"/>
  <c r="T51" i="29" s="1"/>
  <c r="U51" i="29" s="1" a="1"/>
  <c r="U51" i="29" s="1"/>
  <c r="V51" i="29" s="1" a="1"/>
  <c r="V51" i="29" s="1"/>
  <c r="W51" i="29" s="1" a="1"/>
  <c r="W51" i="29" s="1"/>
  <c r="X51" i="29" s="1" a="1"/>
  <c r="X51" i="29" s="1"/>
  <c r="Y51" i="29" s="1" a="1"/>
  <c r="Y51" i="29" s="1"/>
  <c r="Z51" i="29" s="1" a="1"/>
  <c r="Z51" i="29" s="1"/>
  <c r="AA51" i="29" s="1" a="1"/>
  <c r="AA51" i="29" s="1"/>
  <c r="J21" i="57"/>
  <c r="S32" i="57" s="1"/>
  <c r="AC35" i="58"/>
  <c r="AB169" i="58"/>
  <c r="AB168" i="58"/>
  <c r="AB36" i="58"/>
  <c r="AB41" i="58" s="1"/>
  <c r="AD31" i="58"/>
  <c r="AD34" i="58" s="1"/>
  <c r="AD24" i="58"/>
  <c r="AE23" i="58"/>
  <c r="W25" i="44"/>
  <c r="W26" i="44" s="1"/>
  <c r="P24" i="29"/>
  <c r="P17" i="29"/>
  <c r="P23" i="29" s="1"/>
  <c r="P16" i="29"/>
  <c r="P108" i="47"/>
  <c r="Y25" i="35"/>
  <c r="U6" i="47"/>
  <c r="X26" i="35"/>
  <c r="T7" i="47"/>
  <c r="X24" i="35"/>
  <c r="T9" i="47"/>
  <c r="T5" i="47"/>
  <c r="X22" i="35"/>
  <c r="X23" i="35"/>
  <c r="T8" i="47"/>
  <c r="AB49" i="29" l="1" a="1"/>
  <c r="AB49" i="29" s="1"/>
  <c r="Y85" i="47" s="1"/>
  <c r="T49" i="29" a="1"/>
  <c r="T49" i="29" s="1"/>
  <c r="U49" i="29" s="1" a="1"/>
  <c r="U49" i="29" s="1"/>
  <c r="V49" i="29" s="1" a="1"/>
  <c r="V49" i="29" s="1"/>
  <c r="W49" i="29" s="1" a="1"/>
  <c r="W49" i="29" s="1"/>
  <c r="X49" i="29" s="1" a="1"/>
  <c r="X49" i="29" s="1"/>
  <c r="Y49" i="29" s="1" a="1"/>
  <c r="Y49" i="29" s="1"/>
  <c r="Z49" i="29" s="1" a="1"/>
  <c r="Z49" i="29" s="1"/>
  <c r="AA49" i="29" s="1" a="1"/>
  <c r="AA49" i="29" s="1"/>
  <c r="AB50" i="29" a="1"/>
  <c r="AB50" i="29" s="1"/>
  <c r="Y86" i="47" s="1"/>
  <c r="T50" i="29" a="1"/>
  <c r="T50" i="29" s="1"/>
  <c r="U50" i="29" s="1" a="1"/>
  <c r="U50" i="29" s="1"/>
  <c r="V50" i="29" s="1" a="1"/>
  <c r="V50" i="29" s="1"/>
  <c r="W50" i="29" s="1" a="1"/>
  <c r="W50" i="29" s="1"/>
  <c r="X50" i="29" s="1" a="1"/>
  <c r="X50" i="29" s="1"/>
  <c r="Y50" i="29" s="1" a="1"/>
  <c r="Y50" i="29" s="1"/>
  <c r="Z50" i="29" s="1" a="1"/>
  <c r="Z50" i="29" s="1"/>
  <c r="AA50" i="29" s="1" a="1"/>
  <c r="AA50" i="29" s="1"/>
  <c r="AB32" i="57"/>
  <c r="AB56" i="57" s="1"/>
  <c r="T32" i="57"/>
  <c r="K32" i="57" s="1"/>
  <c r="S56" i="57"/>
  <c r="S109" i="57"/>
  <c r="S87" i="57"/>
  <c r="AD35" i="58"/>
  <c r="AC168" i="58"/>
  <c r="AC169" i="58"/>
  <c r="AC36" i="58"/>
  <c r="AC41" i="58" s="1"/>
  <c r="AE24" i="58"/>
  <c r="AE31" i="58"/>
  <c r="AE34" i="58" s="1"/>
  <c r="P86" i="47"/>
  <c r="P85" i="47"/>
  <c r="X25" i="44"/>
  <c r="X26" i="44" s="1"/>
  <c r="AF23" i="58"/>
  <c r="P22" i="29"/>
  <c r="Y26" i="35"/>
  <c r="U7" i="47"/>
  <c r="U5" i="47"/>
  <c r="Y22" i="35"/>
  <c r="Y23" i="35"/>
  <c r="U8" i="47"/>
  <c r="Z25" i="35"/>
  <c r="V6" i="47"/>
  <c r="Y24" i="35"/>
  <c r="U9" i="47"/>
  <c r="J32" i="57" l="1"/>
  <c r="AB48" i="29" a="1"/>
  <c r="AB48" i="29" s="1"/>
  <c r="T48" i="29" a="1"/>
  <c r="T48" i="29" s="1"/>
  <c r="U48" i="29" s="1" a="1"/>
  <c r="U48" i="29" s="1"/>
  <c r="V48" i="29" s="1" a="1"/>
  <c r="V48" i="29" s="1"/>
  <c r="W48" i="29" s="1" a="1"/>
  <c r="W48" i="29" s="1"/>
  <c r="X48" i="29" s="1" a="1"/>
  <c r="X48" i="29" s="1"/>
  <c r="Y48" i="29" s="1" a="1"/>
  <c r="Y48" i="29" s="1"/>
  <c r="Z48" i="29" s="1" a="1"/>
  <c r="Z48" i="29" s="1"/>
  <c r="AA48" i="29" s="1" a="1"/>
  <c r="AA48" i="29" s="1"/>
  <c r="AB109" i="57"/>
  <c r="J109" i="57" s="1"/>
  <c r="J56" i="57"/>
  <c r="AB87" i="57"/>
  <c r="J87" i="57" s="1"/>
  <c r="J90" i="57" s="1"/>
  <c r="T87" i="57"/>
  <c r="AF24" i="58"/>
  <c r="AD168" i="58"/>
  <c r="AD169" i="58"/>
  <c r="AD36" i="58"/>
  <c r="AD41" i="58" s="1"/>
  <c r="AE35" i="58"/>
  <c r="AF31" i="58"/>
  <c r="AF34" i="58" s="1"/>
  <c r="Y25" i="44"/>
  <c r="Y26" i="44" s="1"/>
  <c r="AG23" i="58"/>
  <c r="P84" i="47"/>
  <c r="Q108" i="47"/>
  <c r="Z23" i="35"/>
  <c r="V8" i="47"/>
  <c r="V5" i="47"/>
  <c r="Z22" i="35"/>
  <c r="V7" i="47"/>
  <c r="Z26" i="35"/>
  <c r="Z24" i="35"/>
  <c r="V9" i="47"/>
  <c r="W6" i="47"/>
  <c r="AA25" i="35"/>
  <c r="AG24" i="58" l="1"/>
  <c r="AE168" i="58"/>
  <c r="AE169" i="58"/>
  <c r="AE36" i="58"/>
  <c r="AE41" i="58" s="1"/>
  <c r="AF35" i="58"/>
  <c r="AG31" i="58"/>
  <c r="AG34" i="58" s="1"/>
  <c r="Q86" i="47"/>
  <c r="Q85" i="47"/>
  <c r="AH23" i="58"/>
  <c r="Z25" i="44"/>
  <c r="Z26" i="44" s="1"/>
  <c r="R108" i="47"/>
  <c r="AA24" i="35"/>
  <c r="W9" i="47"/>
  <c r="AA22" i="35"/>
  <c r="W5" i="47"/>
  <c r="AA23" i="35"/>
  <c r="W8" i="47"/>
  <c r="AB25" i="35"/>
  <c r="X6" i="47"/>
  <c r="AA26" i="35"/>
  <c r="W7" i="47"/>
  <c r="AH24" i="58" l="1"/>
  <c r="AF169" i="58"/>
  <c r="AF168" i="58"/>
  <c r="AF36" i="58"/>
  <c r="AF41" i="58" s="1"/>
  <c r="AG35" i="58"/>
  <c r="AH31" i="58"/>
  <c r="AH34" i="58" s="1"/>
  <c r="R86" i="47"/>
  <c r="R85" i="47"/>
  <c r="AA25" i="44"/>
  <c r="AA26" i="44" s="1"/>
  <c r="AI23" i="58"/>
  <c r="Q84" i="47"/>
  <c r="S108" i="47"/>
  <c r="AB23" i="35"/>
  <c r="X8" i="47"/>
  <c r="AB26" i="35"/>
  <c r="X7" i="47"/>
  <c r="AC25" i="35"/>
  <c r="Y6" i="47"/>
  <c r="AB22" i="35"/>
  <c r="X5" i="47"/>
  <c r="X9" i="47"/>
  <c r="AB24" i="35"/>
  <c r="AI24" i="58" l="1"/>
  <c r="AH35" i="58"/>
  <c r="AG169" i="58"/>
  <c r="AG168" i="58"/>
  <c r="AG36" i="58"/>
  <c r="AG41" i="58" s="1"/>
  <c r="AI31" i="58"/>
  <c r="AI34" i="58" s="1"/>
  <c r="S86" i="47"/>
  <c r="S85" i="47"/>
  <c r="AJ23" i="58"/>
  <c r="AB25" i="44"/>
  <c r="AB26" i="44" s="1"/>
  <c r="R84" i="47"/>
  <c r="T108" i="47"/>
  <c r="Y9" i="47"/>
  <c r="AC24" i="35"/>
  <c r="AC26" i="35"/>
  <c r="Y7" i="47"/>
  <c r="AD25" i="35"/>
  <c r="Z6" i="47"/>
  <c r="Y5" i="47"/>
  <c r="AC22" i="35"/>
  <c r="AC23" i="35"/>
  <c r="Y8" i="47"/>
  <c r="AH169" i="58" l="1"/>
  <c r="AH168" i="58"/>
  <c r="AH36" i="58"/>
  <c r="AH41" i="58" s="1"/>
  <c r="AI35" i="58"/>
  <c r="AJ31" i="58"/>
  <c r="AJ34" i="58" s="1"/>
  <c r="AJ24" i="58"/>
  <c r="T86" i="47"/>
  <c r="T85" i="47"/>
  <c r="AC25" i="44"/>
  <c r="AC26" i="44" s="1"/>
  <c r="AK23" i="58"/>
  <c r="S84" i="47"/>
  <c r="U108" i="47"/>
  <c r="AD26" i="35"/>
  <c r="Z7" i="47"/>
  <c r="AD23" i="35"/>
  <c r="Z8" i="47"/>
  <c r="AE25" i="35"/>
  <c r="AA6" i="47"/>
  <c r="Z5" i="47"/>
  <c r="AD22" i="35"/>
  <c r="AD24" i="35"/>
  <c r="Z9" i="47"/>
  <c r="AJ35" i="58" l="1"/>
  <c r="AI169" i="58"/>
  <c r="AI168" i="58"/>
  <c r="AI36" i="58"/>
  <c r="AI41" i="58" s="1"/>
  <c r="AK31" i="58"/>
  <c r="AK34" i="58" s="1"/>
  <c r="AK24" i="58"/>
  <c r="U86" i="47"/>
  <c r="U85" i="47"/>
  <c r="AD25" i="44"/>
  <c r="AD26" i="44" s="1"/>
  <c r="Q9" i="55"/>
  <c r="L11" i="57"/>
  <c r="AN9" i="55"/>
  <c r="AK9" i="55"/>
  <c r="X9" i="55"/>
  <c r="AM9" i="55"/>
  <c r="AJ9" i="55"/>
  <c r="Y9" i="55"/>
  <c r="AE9" i="55"/>
  <c r="S9" i="55"/>
  <c r="Z9" i="55"/>
  <c r="AI9" i="55"/>
  <c r="L3" i="56"/>
  <c r="AA9" i="55"/>
  <c r="AF9" i="55"/>
  <c r="V9" i="55"/>
  <c r="AH9" i="55"/>
  <c r="U9" i="55"/>
  <c r="AC9" i="55"/>
  <c r="AL9" i="55"/>
  <c r="AG9" i="55"/>
  <c r="M3" i="56"/>
  <c r="T9" i="55"/>
  <c r="M11" i="57"/>
  <c r="K11" i="57"/>
  <c r="AD9" i="55"/>
  <c r="R9" i="55"/>
  <c r="W9" i="55"/>
  <c r="AB9" i="55"/>
  <c r="N3" i="56"/>
  <c r="AP6" i="35"/>
  <c r="Q3" i="29"/>
  <c r="R3" i="29"/>
  <c r="V108" i="47"/>
  <c r="T84" i="47"/>
  <c r="AE23" i="35"/>
  <c r="AA8" i="47"/>
  <c r="AE26" i="35"/>
  <c r="AA7" i="47"/>
  <c r="AF25" i="35"/>
  <c r="AB6" i="47"/>
  <c r="AE24" i="35"/>
  <c r="AA9" i="47"/>
  <c r="AE22" i="35"/>
  <c r="AA5" i="47"/>
  <c r="AN18" i="55" l="1" a="1"/>
  <c r="AN18" i="55" s="1"/>
  <c r="AN17" i="55" a="1"/>
  <c r="AN17" i="55" s="1"/>
  <c r="AN14" i="55" a="1"/>
  <c r="AN14" i="55" s="1"/>
  <c r="AN21" i="55" a="1"/>
  <c r="AN21" i="55" s="1"/>
  <c r="AN12" i="55" a="1"/>
  <c r="AN12" i="55" s="1"/>
  <c r="AN22" i="55" a="1"/>
  <c r="AN22" i="55" s="1"/>
  <c r="AN10" i="55" a="1"/>
  <c r="AN10" i="55" s="1"/>
  <c r="AN19" i="55" a="1"/>
  <c r="AN19" i="55" s="1"/>
  <c r="AN16" i="55" a="1"/>
  <c r="AN16" i="55" s="1"/>
  <c r="AN15" i="55" a="1"/>
  <c r="AN15" i="55" s="1"/>
  <c r="AN13" i="55" a="1"/>
  <c r="AN13" i="55" s="1"/>
  <c r="AN20" i="55" a="1"/>
  <c r="AN20" i="55" s="1"/>
  <c r="AN11" i="55" a="1"/>
  <c r="AN11" i="55" s="1"/>
  <c r="AI15" i="55" a="1"/>
  <c r="AI15" i="55" s="1"/>
  <c r="AI20" i="55" a="1"/>
  <c r="AI20" i="55" s="1"/>
  <c r="AI16" i="55" a="1"/>
  <c r="AI16" i="55" s="1"/>
  <c r="AI22" i="55" a="1"/>
  <c r="AI22" i="55" s="1"/>
  <c r="AI10" i="55" a="1"/>
  <c r="AI10" i="55" s="1"/>
  <c r="AI19" i="55" a="1"/>
  <c r="AI19" i="55" s="1"/>
  <c r="AI12" i="55" a="1"/>
  <c r="AI12" i="55" s="1"/>
  <c r="AI21" i="55" a="1"/>
  <c r="AI21" i="55" s="1"/>
  <c r="AI17" i="55" a="1"/>
  <c r="AI17" i="55" s="1"/>
  <c r="AI13" i="55" a="1"/>
  <c r="AI13" i="55" s="1"/>
  <c r="AI18" i="55" a="1"/>
  <c r="AI18" i="55" s="1"/>
  <c r="AI14" i="55" a="1"/>
  <c r="AI14" i="55" s="1"/>
  <c r="AI11" i="55" a="1"/>
  <c r="AI11" i="55" s="1"/>
  <c r="AF15" i="55" a="1"/>
  <c r="AF15" i="55" s="1"/>
  <c r="AF17" i="55" a="1"/>
  <c r="AF17" i="55" s="1"/>
  <c r="AF20" i="55" a="1"/>
  <c r="AF20" i="55" s="1"/>
  <c r="AF10" i="55" a="1"/>
  <c r="AF10" i="55" s="1"/>
  <c r="AF18" i="55" a="1"/>
  <c r="AF18" i="55" s="1"/>
  <c r="AF19" i="55" a="1"/>
  <c r="AF19" i="55" s="1"/>
  <c r="AF16" i="55" a="1"/>
  <c r="AF16" i="55" s="1"/>
  <c r="AF21" i="55" a="1"/>
  <c r="AF21" i="55" s="1"/>
  <c r="AF13" i="55" a="1"/>
  <c r="AF13" i="55" s="1"/>
  <c r="AF22" i="55" a="1"/>
  <c r="AF22" i="55" s="1"/>
  <c r="AF14" i="55" a="1"/>
  <c r="AF14" i="55" s="1"/>
  <c r="AF12" i="55" a="1"/>
  <c r="AF12" i="55" s="1"/>
  <c r="AF11" i="55" a="1"/>
  <c r="AF11" i="55" s="1"/>
  <c r="Z21" i="55" a="1"/>
  <c r="Z21" i="55" s="1"/>
  <c r="Z17" i="55" a="1"/>
  <c r="Z17" i="55" s="1"/>
  <c r="Z18" i="55" a="1"/>
  <c r="Z18" i="55" s="1"/>
  <c r="Z20" i="55" a="1"/>
  <c r="Z20" i="55" s="1"/>
  <c r="Z16" i="55" a="1"/>
  <c r="Z16" i="55" s="1"/>
  <c r="Z12" i="55" a="1"/>
  <c r="Z12" i="55" s="1"/>
  <c r="Z14" i="55" a="1"/>
  <c r="Z14" i="55" s="1"/>
  <c r="Z10" i="55" a="1"/>
  <c r="Z10" i="55" s="1"/>
  <c r="Z19" i="55" a="1"/>
  <c r="Z19" i="55" s="1"/>
  <c r="Z22" i="55" a="1"/>
  <c r="Z22" i="55" s="1"/>
  <c r="Z15" i="55" a="1"/>
  <c r="Z15" i="55" s="1"/>
  <c r="Z13" i="55" a="1"/>
  <c r="Z13" i="55" s="1"/>
  <c r="Z11" i="55" a="1"/>
  <c r="Z11" i="55" s="1"/>
  <c r="S21" i="55" a="1"/>
  <c r="S21" i="55" s="1"/>
  <c r="S10" i="55" a="1"/>
  <c r="S10" i="55" s="1"/>
  <c r="S20" i="55" a="1"/>
  <c r="S20" i="55" s="1"/>
  <c r="S14" i="55" a="1"/>
  <c r="S14" i="55" s="1"/>
  <c r="S19" i="55" a="1"/>
  <c r="S19" i="55" s="1"/>
  <c r="S17" i="55" a="1"/>
  <c r="S17" i="55" s="1"/>
  <c r="S12" i="55" a="1"/>
  <c r="S12" i="55" s="1"/>
  <c r="S15" i="55" a="1"/>
  <c r="S15" i="55" s="1"/>
  <c r="S18" i="55" a="1"/>
  <c r="S18" i="55" s="1"/>
  <c r="S16" i="55" a="1"/>
  <c r="S16" i="55" s="1"/>
  <c r="S22" i="55" a="1"/>
  <c r="S22" i="55" s="1"/>
  <c r="S13" i="55" a="1"/>
  <c r="S13" i="55" s="1"/>
  <c r="S11" i="55" a="1"/>
  <c r="S11" i="55" s="1"/>
  <c r="R22" i="55" a="1"/>
  <c r="R22" i="55" s="1"/>
  <c r="R15" i="55" a="1"/>
  <c r="R15" i="55" s="1"/>
  <c r="R16" i="55" a="1"/>
  <c r="R16" i="55" s="1"/>
  <c r="R19" i="55" a="1"/>
  <c r="R19" i="55" s="1"/>
  <c r="R21" i="55" a="1"/>
  <c r="R21" i="55" s="1"/>
  <c r="R18" i="55" a="1"/>
  <c r="R18" i="55" s="1"/>
  <c r="R10" i="55" a="1"/>
  <c r="R10" i="55" s="1"/>
  <c r="R13" i="55" a="1"/>
  <c r="R13" i="55" s="1"/>
  <c r="R14" i="55" a="1"/>
  <c r="R14" i="55" s="1"/>
  <c r="R17" i="55" a="1"/>
  <c r="R17" i="55" s="1"/>
  <c r="R20" i="55" a="1"/>
  <c r="R20" i="55" s="1"/>
  <c r="R12" i="55" a="1"/>
  <c r="R12" i="55" s="1"/>
  <c r="R11" i="55" a="1"/>
  <c r="R11" i="55" s="1"/>
  <c r="AG10" i="55" a="1"/>
  <c r="AG10" i="55" s="1"/>
  <c r="AG22" i="55" a="1"/>
  <c r="AG22" i="55" s="1"/>
  <c r="AG17" i="55" a="1"/>
  <c r="AG17" i="55" s="1"/>
  <c r="AG19" i="55" a="1"/>
  <c r="AG19" i="55" s="1"/>
  <c r="AG16" i="55" a="1"/>
  <c r="AG16" i="55" s="1"/>
  <c r="AG13" i="55" a="1"/>
  <c r="AG13" i="55" s="1"/>
  <c r="AG21" i="55" a="1"/>
  <c r="AG21" i="55" s="1"/>
  <c r="AG12" i="55" a="1"/>
  <c r="AG12" i="55" s="1"/>
  <c r="AG18" i="55" a="1"/>
  <c r="AG18" i="55" s="1"/>
  <c r="AG14" i="55" a="1"/>
  <c r="AG14" i="55" s="1"/>
  <c r="AG20" i="55" a="1"/>
  <c r="AG20" i="55" s="1"/>
  <c r="AG15" i="55" a="1"/>
  <c r="AG15" i="55" s="1"/>
  <c r="AG11" i="55" a="1"/>
  <c r="AG11" i="55" s="1"/>
  <c r="AE16" i="55" a="1"/>
  <c r="AE16" i="55" s="1"/>
  <c r="AE21" i="55" a="1"/>
  <c r="AE21" i="55" s="1"/>
  <c r="AE20" i="55" a="1"/>
  <c r="AE20" i="55" s="1"/>
  <c r="AE14" i="55" a="1"/>
  <c r="AE14" i="55" s="1"/>
  <c r="AE18" i="55" a="1"/>
  <c r="AE18" i="55" s="1"/>
  <c r="AE17" i="55" a="1"/>
  <c r="AE17" i="55" s="1"/>
  <c r="AE13" i="55" a="1"/>
  <c r="AE13" i="55" s="1"/>
  <c r="AE15" i="55" a="1"/>
  <c r="AE15" i="55" s="1"/>
  <c r="AE10" i="55" a="1"/>
  <c r="AE10" i="55" s="1"/>
  <c r="AE22" i="55" a="1"/>
  <c r="AE22" i="55" s="1"/>
  <c r="AE19" i="55" a="1"/>
  <c r="AE19" i="55" s="1"/>
  <c r="AE12" i="55" a="1"/>
  <c r="AE12" i="55" s="1"/>
  <c r="AE11" i="55" a="1"/>
  <c r="AE11" i="55" s="1"/>
  <c r="AD21" i="55" a="1"/>
  <c r="AD21" i="55" s="1"/>
  <c r="AD14" i="55" a="1"/>
  <c r="AD14" i="55" s="1"/>
  <c r="AD19" i="55" a="1"/>
  <c r="AD19" i="55" s="1"/>
  <c r="AD12" i="55" a="1"/>
  <c r="AD12" i="55" s="1"/>
  <c r="AD10" i="55" a="1"/>
  <c r="AD10" i="55" s="1"/>
  <c r="AD13" i="55" a="1"/>
  <c r="AD13" i="55" s="1"/>
  <c r="AD17" i="55" a="1"/>
  <c r="AD17" i="55" s="1"/>
  <c r="AD18" i="55" a="1"/>
  <c r="AD18" i="55" s="1"/>
  <c r="AD15" i="55" a="1"/>
  <c r="AD15" i="55" s="1"/>
  <c r="AD16" i="55" a="1"/>
  <c r="AD16" i="55" s="1"/>
  <c r="AD20" i="55" a="1"/>
  <c r="AD20" i="55" s="1"/>
  <c r="AD22" i="55" a="1"/>
  <c r="AD22" i="55" s="1"/>
  <c r="AD11" i="55" a="1"/>
  <c r="AD11" i="55" s="1"/>
  <c r="Q12" i="55" a="1"/>
  <c r="Q12" i="55" s="1"/>
  <c r="Q20" i="55" a="1"/>
  <c r="Q20" i="55" s="1"/>
  <c r="Q10" i="55" a="1"/>
  <c r="Q10" i="55" s="1"/>
  <c r="Q15" i="55" a="1"/>
  <c r="Q15" i="55" s="1"/>
  <c r="Q17" i="55" a="1"/>
  <c r="Q17" i="55" s="1"/>
  <c r="Q33" i="55" s="1"/>
  <c r="Q22" i="55" a="1"/>
  <c r="Q22" i="55" s="1"/>
  <c r="Q19" i="55" a="1"/>
  <c r="Q19" i="55" s="1"/>
  <c r="Q16" i="55" a="1"/>
  <c r="Q16" i="55" s="1"/>
  <c r="Q32" i="55" s="1"/>
  <c r="Q21" i="55" a="1"/>
  <c r="Q21" i="55" s="1"/>
  <c r="Q37" i="55" s="1"/>
  <c r="Q18" i="55" a="1"/>
  <c r="Q18" i="55" s="1"/>
  <c r="Q34" i="55" s="1"/>
  <c r="Q13" i="55" a="1"/>
  <c r="Q13" i="55" s="1"/>
  <c r="Q14" i="55" a="1"/>
  <c r="Q14" i="55" s="1"/>
  <c r="Q11" i="55" a="1"/>
  <c r="Q11" i="55" s="1"/>
  <c r="AL12" i="55" a="1"/>
  <c r="AL12" i="55" s="1"/>
  <c r="AL19" i="55" a="1"/>
  <c r="AL19" i="55" s="1"/>
  <c r="AL13" i="55" a="1"/>
  <c r="AL13" i="55" s="1"/>
  <c r="AL15" i="55" a="1"/>
  <c r="AL15" i="55" s="1"/>
  <c r="AL16" i="55" a="1"/>
  <c r="AL16" i="55" s="1"/>
  <c r="AL20" i="55" a="1"/>
  <c r="AL20" i="55" s="1"/>
  <c r="AL18" i="55" a="1"/>
  <c r="AL18" i="55" s="1"/>
  <c r="AL10" i="55" a="1"/>
  <c r="AL10" i="55" s="1"/>
  <c r="AL21" i="55" a="1"/>
  <c r="AL21" i="55" s="1"/>
  <c r="AL17" i="55" a="1"/>
  <c r="AL17" i="55" s="1"/>
  <c r="AL22" i="55" a="1"/>
  <c r="AL22" i="55" s="1"/>
  <c r="AL14" i="55" a="1"/>
  <c r="AL14" i="55" s="1"/>
  <c r="AL11" i="55" a="1"/>
  <c r="AL11" i="55" s="1"/>
  <c r="Y20" i="55" a="1"/>
  <c r="Y20" i="55" s="1"/>
  <c r="Y14" i="55" a="1"/>
  <c r="Y14" i="55" s="1"/>
  <c r="Y15" i="55" a="1"/>
  <c r="Y15" i="55" s="1"/>
  <c r="Y19" i="55" a="1"/>
  <c r="Y19" i="55" s="1"/>
  <c r="Y13" i="55" a="1"/>
  <c r="Y13" i="55" s="1"/>
  <c r="Y12" i="55" a="1"/>
  <c r="Y12" i="55" s="1"/>
  <c r="Y17" i="55" a="1"/>
  <c r="Y17" i="55" s="1"/>
  <c r="Y18" i="55" a="1"/>
  <c r="Y18" i="55" s="1"/>
  <c r="Y21" i="55" a="1"/>
  <c r="Y21" i="55" s="1"/>
  <c r="Y10" i="55" a="1"/>
  <c r="Y10" i="55" s="1"/>
  <c r="Y16" i="55" a="1"/>
  <c r="Y16" i="55" s="1"/>
  <c r="Y22" i="55" a="1"/>
  <c r="Y22" i="55" s="1"/>
  <c r="Y11" i="55" a="1"/>
  <c r="Y11" i="55" s="1"/>
  <c r="AA12" i="55" a="1"/>
  <c r="AA12" i="55" s="1"/>
  <c r="AA16" i="55" a="1"/>
  <c r="AA16" i="55" s="1"/>
  <c r="AA14" i="55" a="1"/>
  <c r="AA14" i="55" s="1"/>
  <c r="AA19" i="55" a="1"/>
  <c r="AA19" i="55" s="1"/>
  <c r="AA10" i="55" a="1"/>
  <c r="AA10" i="55" s="1"/>
  <c r="AA15" i="55" a="1"/>
  <c r="AA15" i="55" s="1"/>
  <c r="AA18" i="55" a="1"/>
  <c r="AA18" i="55" s="1"/>
  <c r="AA20" i="55" a="1"/>
  <c r="AA20" i="55" s="1"/>
  <c r="AA22" i="55" a="1"/>
  <c r="AA22" i="55" s="1"/>
  <c r="AA13" i="55" a="1"/>
  <c r="AA13" i="55" s="1"/>
  <c r="AA17" i="55" a="1"/>
  <c r="AA17" i="55" s="1"/>
  <c r="AA21" i="55" a="1"/>
  <c r="AA21" i="55" s="1"/>
  <c r="AA11" i="55" a="1"/>
  <c r="AA11" i="55" s="1"/>
  <c r="M15" i="57" a="1"/>
  <c r="M15" i="57" s="1"/>
  <c r="M13" i="57" a="1"/>
  <c r="M13" i="57" s="1"/>
  <c r="M14" i="57" a="1"/>
  <c r="M14" i="57" s="1"/>
  <c r="AJ16" i="55" a="1"/>
  <c r="AJ16" i="55" s="1"/>
  <c r="AJ10" i="55" a="1"/>
  <c r="AJ10" i="55" s="1"/>
  <c r="AJ18" i="55" a="1"/>
  <c r="AJ18" i="55" s="1"/>
  <c r="AJ17" i="55" a="1"/>
  <c r="AJ17" i="55" s="1"/>
  <c r="AJ21" i="55" a="1"/>
  <c r="AJ21" i="55" s="1"/>
  <c r="AJ12" i="55" a="1"/>
  <c r="AJ12" i="55" s="1"/>
  <c r="AJ22" i="55" a="1"/>
  <c r="AJ22" i="55" s="1"/>
  <c r="AJ15" i="55" a="1"/>
  <c r="AJ15" i="55" s="1"/>
  <c r="AJ19" i="55" a="1"/>
  <c r="AJ19" i="55" s="1"/>
  <c r="AJ13" i="55" a="1"/>
  <c r="AJ13" i="55" s="1"/>
  <c r="AJ14" i="55" a="1"/>
  <c r="AJ14" i="55" s="1"/>
  <c r="AJ20" i="55" a="1"/>
  <c r="AJ20" i="55" s="1"/>
  <c r="AJ11" i="55" a="1"/>
  <c r="AJ11" i="55" s="1"/>
  <c r="L9" i="56" a="1"/>
  <c r="L9" i="56" s="1"/>
  <c r="T9" i="56" s="1"/>
  <c r="AB9" i="56" s="1"/>
  <c r="L8" i="56" a="1"/>
  <c r="L8" i="56" s="1"/>
  <c r="T8" i="56" s="1"/>
  <c r="AB8" i="56" s="1"/>
  <c r="L7" i="56" a="1"/>
  <c r="L7" i="56" s="1"/>
  <c r="M8" i="56" a="1"/>
  <c r="M8" i="56" s="1"/>
  <c r="U8" i="56" s="1"/>
  <c r="AC8" i="56" s="1"/>
  <c r="M9" i="56" a="1"/>
  <c r="M9" i="56" s="1"/>
  <c r="U9" i="56" s="1"/>
  <c r="AC9" i="56" s="1"/>
  <c r="M7" i="56" a="1"/>
  <c r="M7" i="56" s="1"/>
  <c r="N8" i="56" a="1"/>
  <c r="N8" i="56" s="1"/>
  <c r="V8" i="56" s="1"/>
  <c r="AD8" i="56" s="1"/>
  <c r="N7" i="56" a="1"/>
  <c r="N7" i="56" s="1"/>
  <c r="N9" i="56" a="1"/>
  <c r="N9" i="56" s="1"/>
  <c r="V9" i="56" s="1"/>
  <c r="AD9" i="56" s="1"/>
  <c r="U10" i="55" a="1"/>
  <c r="U10" i="55" s="1"/>
  <c r="U17" i="55" a="1"/>
  <c r="U17" i="55" s="1"/>
  <c r="U12" i="55" a="1"/>
  <c r="U12" i="55" s="1"/>
  <c r="U18" i="55" a="1"/>
  <c r="U18" i="55" s="1"/>
  <c r="U20" i="55" a="1"/>
  <c r="U20" i="55" s="1"/>
  <c r="U14" i="55" a="1"/>
  <c r="U14" i="55" s="1"/>
  <c r="U22" i="55" a="1"/>
  <c r="U22" i="55" s="1"/>
  <c r="U15" i="55" a="1"/>
  <c r="U15" i="55" s="1"/>
  <c r="U21" i="55" a="1"/>
  <c r="U21" i="55" s="1"/>
  <c r="U16" i="55" a="1"/>
  <c r="U16" i="55" s="1"/>
  <c r="U13" i="55" a="1"/>
  <c r="U13" i="55" s="1"/>
  <c r="U19" i="55" a="1"/>
  <c r="U19" i="55" s="1"/>
  <c r="U11" i="55" a="1"/>
  <c r="U11" i="55" s="1"/>
  <c r="AM16" i="55" a="1"/>
  <c r="AM16" i="55" s="1"/>
  <c r="AM18" i="55" a="1"/>
  <c r="AM18" i="55" s="1"/>
  <c r="AM20" i="55" a="1"/>
  <c r="AM20" i="55" s="1"/>
  <c r="AM17" i="55" a="1"/>
  <c r="AM17" i="55" s="1"/>
  <c r="AM21" i="55" a="1"/>
  <c r="AM21" i="55" s="1"/>
  <c r="AM19" i="55" a="1"/>
  <c r="AM19" i="55" s="1"/>
  <c r="AM22" i="55" a="1"/>
  <c r="AM22" i="55" s="1"/>
  <c r="AM10" i="55" a="1"/>
  <c r="AM10" i="55" s="1"/>
  <c r="AM15" i="55" a="1"/>
  <c r="AM15" i="55" s="1"/>
  <c r="AM12" i="55" a="1"/>
  <c r="AM12" i="55" s="1"/>
  <c r="AM13" i="55" a="1"/>
  <c r="AM13" i="55" s="1"/>
  <c r="AM14" i="55" a="1"/>
  <c r="AM14" i="55" s="1"/>
  <c r="AM11" i="55" a="1"/>
  <c r="AM11" i="55" s="1"/>
  <c r="K15" i="57" a="1"/>
  <c r="K15" i="57" s="1"/>
  <c r="K14" i="57" a="1"/>
  <c r="K14" i="57" s="1"/>
  <c r="K13" i="57" a="1"/>
  <c r="K13" i="57" s="1"/>
  <c r="T20" i="55" a="1"/>
  <c r="T20" i="55" s="1"/>
  <c r="T13" i="55" a="1"/>
  <c r="T13" i="55" s="1"/>
  <c r="T14" i="55" a="1"/>
  <c r="T14" i="55" s="1"/>
  <c r="T10" i="55" a="1"/>
  <c r="T10" i="55" s="1"/>
  <c r="T17" i="55" a="1"/>
  <c r="T17" i="55" s="1"/>
  <c r="T16" i="55" a="1"/>
  <c r="T16" i="55" s="1"/>
  <c r="T12" i="55" a="1"/>
  <c r="T12" i="55" s="1"/>
  <c r="T15" i="55" a="1"/>
  <c r="T15" i="55" s="1"/>
  <c r="T18" i="55" a="1"/>
  <c r="T18" i="55" s="1"/>
  <c r="T22" i="55" a="1"/>
  <c r="T22" i="55" s="1"/>
  <c r="T19" i="55" a="1"/>
  <c r="T19" i="55" s="1"/>
  <c r="T21" i="55" a="1"/>
  <c r="T21" i="55" s="1"/>
  <c r="T11" i="55" a="1"/>
  <c r="T11" i="55" s="1"/>
  <c r="AH17" i="55" a="1"/>
  <c r="AH17" i="55" s="1"/>
  <c r="AH12" i="55" a="1"/>
  <c r="AH12" i="55" s="1"/>
  <c r="AH22" i="55" a="1"/>
  <c r="AH22" i="55" s="1"/>
  <c r="AH13" i="55" a="1"/>
  <c r="AH13" i="55" s="1"/>
  <c r="AH18" i="55" a="1"/>
  <c r="AH18" i="55" s="1"/>
  <c r="AH21" i="55" a="1"/>
  <c r="AH21" i="55" s="1"/>
  <c r="AH20" i="55" a="1"/>
  <c r="AH20" i="55" s="1"/>
  <c r="AH16" i="55" a="1"/>
  <c r="AH16" i="55" s="1"/>
  <c r="AH15" i="55" a="1"/>
  <c r="AH15" i="55" s="1"/>
  <c r="AH19" i="55" a="1"/>
  <c r="AH19" i="55" s="1"/>
  <c r="AH10" i="55" a="1"/>
  <c r="AH10" i="55" s="1"/>
  <c r="AH14" i="55" a="1"/>
  <c r="AH14" i="55" s="1"/>
  <c r="AH11" i="55" a="1"/>
  <c r="AH11" i="55" s="1"/>
  <c r="X17" i="55" a="1"/>
  <c r="X17" i="55" s="1"/>
  <c r="X16" i="55" a="1"/>
  <c r="X16" i="55" s="1"/>
  <c r="X13" i="55" a="1"/>
  <c r="X13" i="55" s="1"/>
  <c r="X14" i="55" a="1"/>
  <c r="X14" i="55" s="1"/>
  <c r="X10" i="55" a="1"/>
  <c r="X10" i="55" s="1"/>
  <c r="X12" i="55" a="1"/>
  <c r="X12" i="55" s="1"/>
  <c r="X20" i="55" a="1"/>
  <c r="X20" i="55" s="1"/>
  <c r="X19" i="55" a="1"/>
  <c r="X19" i="55" s="1"/>
  <c r="X22" i="55" a="1"/>
  <c r="X22" i="55" s="1"/>
  <c r="X15" i="55" a="1"/>
  <c r="X15" i="55" s="1"/>
  <c r="X18" i="55" a="1"/>
  <c r="X18" i="55" s="1"/>
  <c r="X21" i="55" a="1"/>
  <c r="X21" i="55" s="1"/>
  <c r="X11" i="55" a="1"/>
  <c r="X11" i="55" s="1"/>
  <c r="L14" i="57" a="1"/>
  <c r="L14" i="57" s="1"/>
  <c r="L13" i="57" a="1"/>
  <c r="L13" i="57" s="1"/>
  <c r="L15" i="57" a="1"/>
  <c r="L15" i="57" s="1"/>
  <c r="AC15" i="55" a="1"/>
  <c r="AC15" i="55" s="1"/>
  <c r="AC17" i="55" a="1"/>
  <c r="AC17" i="55" s="1"/>
  <c r="AC14" i="55" a="1"/>
  <c r="AC14" i="55" s="1"/>
  <c r="AC22" i="55" a="1"/>
  <c r="AC22" i="55" s="1"/>
  <c r="AC16" i="55" a="1"/>
  <c r="AC16" i="55" s="1"/>
  <c r="AC10" i="55" a="1"/>
  <c r="AC10" i="55" s="1"/>
  <c r="AC21" i="55" a="1"/>
  <c r="AC21" i="55" s="1"/>
  <c r="AC12" i="55" a="1"/>
  <c r="AC12" i="55" s="1"/>
  <c r="AC19" i="55" a="1"/>
  <c r="AC19" i="55" s="1"/>
  <c r="AC18" i="55" a="1"/>
  <c r="AC18" i="55" s="1"/>
  <c r="AC20" i="55" a="1"/>
  <c r="AC20" i="55" s="1"/>
  <c r="AC13" i="55" a="1"/>
  <c r="AC13" i="55" s="1"/>
  <c r="AC11" i="55" a="1"/>
  <c r="AC11" i="55" s="1"/>
  <c r="AB16" i="55" a="1"/>
  <c r="AB16" i="55" s="1"/>
  <c r="AB12" i="55" a="1"/>
  <c r="AB12" i="55" s="1"/>
  <c r="AB20" i="55" a="1"/>
  <c r="AB20" i="55" s="1"/>
  <c r="AB22" i="55" a="1"/>
  <c r="AB22" i="55" s="1"/>
  <c r="AB15" i="55" a="1"/>
  <c r="AB15" i="55" s="1"/>
  <c r="AB18" i="55" a="1"/>
  <c r="AB18" i="55" s="1"/>
  <c r="AB14" i="55" a="1"/>
  <c r="AB14" i="55" s="1"/>
  <c r="AB10" i="55" a="1"/>
  <c r="AB10" i="55" s="1"/>
  <c r="AB70" i="55" s="1"/>
  <c r="AB17" i="55" a="1"/>
  <c r="AB17" i="55" s="1"/>
  <c r="AB19" i="55" a="1"/>
  <c r="AB19" i="55" s="1"/>
  <c r="AB13" i="55" a="1"/>
  <c r="AB13" i="55" s="1"/>
  <c r="AB21" i="55" a="1"/>
  <c r="AB21" i="55" s="1"/>
  <c r="AB11" i="55" a="1"/>
  <c r="AB11" i="55" s="1"/>
  <c r="W19" i="55" a="1"/>
  <c r="W19" i="55" s="1"/>
  <c r="W15" i="55" a="1"/>
  <c r="W15" i="55" s="1"/>
  <c r="W18" i="55" a="1"/>
  <c r="W18" i="55" s="1"/>
  <c r="W17" i="55" a="1"/>
  <c r="W17" i="55" s="1"/>
  <c r="W10" i="55" a="1"/>
  <c r="W10" i="55" s="1"/>
  <c r="W12" i="55" a="1"/>
  <c r="W12" i="55" s="1"/>
  <c r="W13" i="55" a="1"/>
  <c r="W13" i="55" s="1"/>
  <c r="W16" i="55" a="1"/>
  <c r="W16" i="55" s="1"/>
  <c r="W14" i="55" a="1"/>
  <c r="W14" i="55" s="1"/>
  <c r="W21" i="55" a="1"/>
  <c r="W21" i="55" s="1"/>
  <c r="W22" i="55" a="1"/>
  <c r="W22" i="55" s="1"/>
  <c r="W20" i="55" a="1"/>
  <c r="W20" i="55" s="1"/>
  <c r="W11" i="55" a="1"/>
  <c r="W11" i="55" s="1"/>
  <c r="V20" i="55" a="1"/>
  <c r="V20" i="55" s="1"/>
  <c r="V22" i="55" a="1"/>
  <c r="V22" i="55" s="1"/>
  <c r="V16" i="55" a="1"/>
  <c r="V16" i="55" s="1"/>
  <c r="V14" i="55" a="1"/>
  <c r="V14" i="55" s="1"/>
  <c r="V19" i="55" a="1"/>
  <c r="V19" i="55" s="1"/>
  <c r="V13" i="55" a="1"/>
  <c r="V13" i="55" s="1"/>
  <c r="V10" i="55" a="1"/>
  <c r="V10" i="55" s="1"/>
  <c r="V15" i="55" a="1"/>
  <c r="V15" i="55" s="1"/>
  <c r="V21" i="55" a="1"/>
  <c r="V21" i="55" s="1"/>
  <c r="V12" i="55" a="1"/>
  <c r="V12" i="55" s="1"/>
  <c r="V17" i="55" a="1"/>
  <c r="V17" i="55" s="1"/>
  <c r="V18" i="55" a="1"/>
  <c r="V18" i="55" s="1"/>
  <c r="V11" i="55" a="1"/>
  <c r="V11" i="55" s="1"/>
  <c r="AK21" i="55" a="1"/>
  <c r="AK21" i="55" s="1"/>
  <c r="AK10" i="55" a="1"/>
  <c r="AK10" i="55" s="1"/>
  <c r="AK18" i="55" a="1"/>
  <c r="AK18" i="55" s="1"/>
  <c r="AK14" i="55" a="1"/>
  <c r="AK14" i="55" s="1"/>
  <c r="AK12" i="55" a="1"/>
  <c r="AK12" i="55" s="1"/>
  <c r="AK13" i="55" a="1"/>
  <c r="AK13" i="55" s="1"/>
  <c r="AK15" i="55" a="1"/>
  <c r="AK15" i="55" s="1"/>
  <c r="AK19" i="55" a="1"/>
  <c r="AK19" i="55" s="1"/>
  <c r="AK16" i="55" a="1"/>
  <c r="AK16" i="55" s="1"/>
  <c r="AK20" i="55" a="1"/>
  <c r="AK20" i="55" s="1"/>
  <c r="AK22" i="55" a="1"/>
  <c r="AK22" i="55" s="1"/>
  <c r="AK17" i="55" a="1"/>
  <c r="AK17" i="55" s="1"/>
  <c r="AK11" i="55" a="1"/>
  <c r="AK11" i="55" s="1"/>
  <c r="R28" i="29" a="1"/>
  <c r="R28" i="29" s="1"/>
  <c r="R5" i="29" a="1"/>
  <c r="R5" i="29" s="1"/>
  <c r="Q28" i="29" a="1"/>
  <c r="Q28" i="29" s="1"/>
  <c r="Q36" i="29" s="1"/>
  <c r="Q5" i="29" a="1"/>
  <c r="Q5" i="29" s="1"/>
  <c r="AK35" i="58"/>
  <c r="AJ169" i="58"/>
  <c r="AJ168" i="58"/>
  <c r="AJ36" i="58"/>
  <c r="AJ41" i="58" s="1"/>
  <c r="AL23" i="58"/>
  <c r="AL24" i="58" s="1"/>
  <c r="AM10" i="58"/>
  <c r="V86" i="47"/>
  <c r="V85" i="47"/>
  <c r="AE25" i="44"/>
  <c r="AO9" i="55"/>
  <c r="AP9" i="55" s="1"/>
  <c r="R9" i="56"/>
  <c r="Z9" i="56" s="1"/>
  <c r="W108" i="47"/>
  <c r="U84" i="47"/>
  <c r="AB5" i="47"/>
  <c r="AF22" i="35"/>
  <c r="AG25" i="35"/>
  <c r="AC6" i="47"/>
  <c r="AB8" i="47"/>
  <c r="AF23" i="35"/>
  <c r="AB7" i="47"/>
  <c r="AF26" i="35"/>
  <c r="AF24" i="35"/>
  <c r="AB9" i="47"/>
  <c r="AL51" i="29" l="1" a="1"/>
  <c r="AL51" i="29" s="1"/>
  <c r="AC51" i="29" a="1"/>
  <c r="AC51" i="29" s="1"/>
  <c r="AD51" i="29" s="1" a="1"/>
  <c r="AD51" i="29" s="1"/>
  <c r="AE51" i="29" s="1" a="1"/>
  <c r="AE51" i="29" s="1"/>
  <c r="AF51" i="29" s="1" a="1"/>
  <c r="AF51" i="29" s="1"/>
  <c r="AG51" i="29" s="1" a="1"/>
  <c r="AG51" i="29" s="1"/>
  <c r="AH51" i="29" s="1" a="1"/>
  <c r="AH51" i="29" s="1"/>
  <c r="AI51" i="29" s="1" a="1"/>
  <c r="AI51" i="29" s="1"/>
  <c r="AJ51" i="29" s="1" a="1"/>
  <c r="AJ51" i="29" s="1"/>
  <c r="AK51" i="29" s="1" a="1"/>
  <c r="AK51" i="29" s="1"/>
  <c r="AA47" i="57"/>
  <c r="R47" i="57"/>
  <c r="AE47" i="57"/>
  <c r="V47" i="57"/>
  <c r="AC47" i="57"/>
  <c r="T47" i="57"/>
  <c r="AD47" i="57"/>
  <c r="U47" i="57"/>
  <c r="AE14" i="57"/>
  <c r="V14" i="57"/>
  <c r="AE15" i="57"/>
  <c r="V15" i="57"/>
  <c r="AD14" i="57"/>
  <c r="U14" i="57"/>
  <c r="V13" i="57"/>
  <c r="AE13" i="57"/>
  <c r="U15" i="57"/>
  <c r="AD15" i="57"/>
  <c r="AD13" i="57"/>
  <c r="U13" i="57"/>
  <c r="T13" i="57"/>
  <c r="AC13" i="57" s="1"/>
  <c r="T14" i="57"/>
  <c r="AC14" i="57" s="1"/>
  <c r="T15" i="57"/>
  <c r="AC15" i="57" s="1"/>
  <c r="K16" i="57"/>
  <c r="AM23" i="58"/>
  <c r="AM24" i="58" s="1"/>
  <c r="AK169" i="58"/>
  <c r="AK168" i="58"/>
  <c r="AK36" i="58"/>
  <c r="AK41" i="58" s="1"/>
  <c r="AN10" i="58"/>
  <c r="AL31" i="58"/>
  <c r="AL34" i="58" s="1"/>
  <c r="W86" i="47"/>
  <c r="X86" i="47"/>
  <c r="AO17" i="55"/>
  <c r="W85" i="47"/>
  <c r="X85" i="47"/>
  <c r="X108" i="47"/>
  <c r="Y108" i="47"/>
  <c r="AP21" i="55"/>
  <c r="AP15" i="55"/>
  <c r="AO15" i="55"/>
  <c r="R8" i="56"/>
  <c r="Z8" i="56" s="1"/>
  <c r="J104" i="56"/>
  <c r="R37" i="55"/>
  <c r="N134" i="47"/>
  <c r="R7" i="56"/>
  <c r="R60" i="56" s="1"/>
  <c r="J60" i="56"/>
  <c r="L60" i="56" s="1"/>
  <c r="J43" i="56"/>
  <c r="J48" i="56"/>
  <c r="Q27" i="55"/>
  <c r="M16" i="57"/>
  <c r="AP20" i="55"/>
  <c r="Q36" i="55"/>
  <c r="AP18" i="55"/>
  <c r="AO18" i="55"/>
  <c r="R32" i="55"/>
  <c r="N131" i="47"/>
  <c r="V7" i="56"/>
  <c r="AO16" i="55"/>
  <c r="AP16" i="55"/>
  <c r="S28" i="55"/>
  <c r="Q31" i="55"/>
  <c r="U7" i="56"/>
  <c r="Q30" i="55"/>
  <c r="R30" i="55" s="1"/>
  <c r="S30" i="55" s="1"/>
  <c r="T30" i="55" s="1"/>
  <c r="U30" i="55" s="1"/>
  <c r="V30" i="55" s="1"/>
  <c r="W30" i="55" s="1"/>
  <c r="X30" i="55" s="1"/>
  <c r="Y30" i="55" s="1"/>
  <c r="Z30" i="55" s="1"/>
  <c r="AA30" i="55" s="1"/>
  <c r="AB30" i="55" s="1"/>
  <c r="AC30" i="55" s="1"/>
  <c r="AD30" i="55" s="1"/>
  <c r="AE30" i="55" s="1"/>
  <c r="AF30" i="55" s="1"/>
  <c r="AG30" i="55" s="1"/>
  <c r="AH30" i="55" s="1"/>
  <c r="AI30" i="55" s="1"/>
  <c r="AJ30" i="55" s="1"/>
  <c r="AK30" i="55" s="1"/>
  <c r="AL30" i="55" s="1"/>
  <c r="AM30" i="55" s="1"/>
  <c r="AN30" i="55" s="1"/>
  <c r="T7" i="56"/>
  <c r="AP17" i="55"/>
  <c r="AO12" i="55"/>
  <c r="AP12" i="55"/>
  <c r="U32" i="57"/>
  <c r="L32" i="57" s="1"/>
  <c r="R33" i="55"/>
  <c r="N130" i="47"/>
  <c r="AO11" i="55"/>
  <c r="AP13" i="55"/>
  <c r="AO13" i="55"/>
  <c r="Q29" i="55"/>
  <c r="R29" i="55" s="1"/>
  <c r="S29" i="55" s="1"/>
  <c r="T29" i="55" s="1"/>
  <c r="U29" i="55" s="1"/>
  <c r="V29" i="55" s="1"/>
  <c r="W29" i="55" s="1"/>
  <c r="X29" i="55" s="1"/>
  <c r="Y29" i="55" s="1"/>
  <c r="Z29" i="55" s="1"/>
  <c r="AA29" i="55" s="1"/>
  <c r="AB29" i="55" s="1"/>
  <c r="AC29" i="55" s="1"/>
  <c r="AD29" i="55" s="1"/>
  <c r="AE29" i="55" s="1"/>
  <c r="AF29" i="55" s="1"/>
  <c r="AG29" i="55" s="1"/>
  <c r="AH29" i="55" s="1"/>
  <c r="AI29" i="55" s="1"/>
  <c r="AJ29" i="55" s="1"/>
  <c r="AK29" i="55" s="1"/>
  <c r="AL29" i="55" s="1"/>
  <c r="AM29" i="55" s="1"/>
  <c r="AN29" i="55" s="1"/>
  <c r="AO14" i="55"/>
  <c r="AP14" i="55"/>
  <c r="AP11" i="55"/>
  <c r="Q18" i="29"/>
  <c r="Q17" i="29"/>
  <c r="Q16" i="29"/>
  <c r="R34" i="55"/>
  <c r="N128" i="47"/>
  <c r="AO19" i="55"/>
  <c r="AP19" i="55"/>
  <c r="Q26" i="55"/>
  <c r="R26" i="55" s="1"/>
  <c r="S26" i="55" s="1"/>
  <c r="T26" i="55" s="1"/>
  <c r="U26" i="55" s="1"/>
  <c r="V26" i="55" s="1"/>
  <c r="W26" i="55" s="1"/>
  <c r="X26" i="55" s="1"/>
  <c r="Y26" i="55" s="1"/>
  <c r="Z26" i="55" s="1"/>
  <c r="AA26" i="55" s="1"/>
  <c r="AB26" i="55" s="1"/>
  <c r="AC26" i="55" s="1"/>
  <c r="AD26" i="55" s="1"/>
  <c r="AE26" i="55" s="1"/>
  <c r="AF26" i="55" s="1"/>
  <c r="AG26" i="55" s="1"/>
  <c r="AH26" i="55" s="1"/>
  <c r="AI26" i="55" s="1"/>
  <c r="AJ26" i="55" s="1"/>
  <c r="AK26" i="55" s="1"/>
  <c r="AL26" i="55" s="1"/>
  <c r="AM26" i="55" s="1"/>
  <c r="AN26" i="55" s="1"/>
  <c r="R36" i="29"/>
  <c r="AO20" i="55"/>
  <c r="AE26" i="44"/>
  <c r="AF26" i="44"/>
  <c r="AP22" i="55"/>
  <c r="AO22" i="55"/>
  <c r="Q35" i="55"/>
  <c r="R35" i="55" s="1"/>
  <c r="S35" i="55" s="1"/>
  <c r="T35" i="55" s="1"/>
  <c r="U35" i="55" s="1"/>
  <c r="V35" i="55" s="1"/>
  <c r="W35" i="55" s="1"/>
  <c r="X35" i="55" s="1"/>
  <c r="Y35" i="55" s="1"/>
  <c r="Z35" i="55" s="1"/>
  <c r="AA35" i="55" s="1"/>
  <c r="AB35" i="55" s="1"/>
  <c r="AC35" i="55" s="1"/>
  <c r="AD35" i="55" s="1"/>
  <c r="AE35" i="55" s="1"/>
  <c r="AF35" i="55" s="1"/>
  <c r="AG35" i="55" s="1"/>
  <c r="AH35" i="55" s="1"/>
  <c r="AI35" i="55" s="1"/>
  <c r="AJ35" i="55" s="1"/>
  <c r="AK35" i="55" s="1"/>
  <c r="AL35" i="55" s="1"/>
  <c r="AM35" i="55" s="1"/>
  <c r="AN35" i="55" s="1"/>
  <c r="Q38" i="55"/>
  <c r="R38" i="55" s="1"/>
  <c r="S38" i="55" s="1"/>
  <c r="T38" i="55" s="1"/>
  <c r="U38" i="55" s="1"/>
  <c r="V38" i="55" s="1"/>
  <c r="W38" i="55" s="1"/>
  <c r="X38" i="55" s="1"/>
  <c r="Y38" i="55" s="1"/>
  <c r="Z38" i="55" s="1"/>
  <c r="AA38" i="55" s="1"/>
  <c r="AB38" i="55" s="1"/>
  <c r="AC38" i="55" s="1"/>
  <c r="AD38" i="55" s="1"/>
  <c r="AE38" i="55" s="1"/>
  <c r="AF38" i="55" s="1"/>
  <c r="AG38" i="55" s="1"/>
  <c r="AH38" i="55" s="1"/>
  <c r="AI38" i="55" s="1"/>
  <c r="AJ38" i="55" s="1"/>
  <c r="AK38" i="55" s="1"/>
  <c r="AL38" i="55" s="1"/>
  <c r="AM38" i="55" s="1"/>
  <c r="AN38" i="55" s="1"/>
  <c r="AO21" i="55"/>
  <c r="AP10" i="55"/>
  <c r="AO10" i="55"/>
  <c r="L16" i="57"/>
  <c r="V84" i="47"/>
  <c r="AC8" i="47"/>
  <c r="AG23" i="35"/>
  <c r="AC9" i="47"/>
  <c r="AG24" i="35"/>
  <c r="AH25" i="35"/>
  <c r="AD6" i="47"/>
  <c r="AG26" i="35"/>
  <c r="AC7" i="47"/>
  <c r="AG22" i="35"/>
  <c r="AC5" i="47"/>
  <c r="K47" i="57" l="1"/>
  <c r="Z108" i="47"/>
  <c r="M47" i="57"/>
  <c r="L47" i="57"/>
  <c r="T88" i="56"/>
  <c r="AB88" i="56" s="1"/>
  <c r="U123" i="56" a="1"/>
  <c r="U123" i="56" s="1"/>
  <c r="R43" i="56"/>
  <c r="T43" i="56" s="1"/>
  <c r="S176" i="56" a="1"/>
  <c r="S176" i="56" s="1"/>
  <c r="T60" i="56"/>
  <c r="U60" i="56" s="1"/>
  <c r="V60" i="56" s="1"/>
  <c r="Z60" i="56"/>
  <c r="I47" i="57"/>
  <c r="R49" i="57"/>
  <c r="AM31" i="58"/>
  <c r="AM34" i="58" s="1"/>
  <c r="AM35" i="58" s="1"/>
  <c r="AD16" i="57"/>
  <c r="AE16" i="57"/>
  <c r="V32" i="57"/>
  <c r="M32" i="57" s="1"/>
  <c r="U87" i="57"/>
  <c r="U56" i="57"/>
  <c r="V107" i="57"/>
  <c r="V93" i="57"/>
  <c r="V54" i="57"/>
  <c r="V75" i="57"/>
  <c r="U75" i="57"/>
  <c r="U54" i="57"/>
  <c r="U107" i="57"/>
  <c r="U93" i="57"/>
  <c r="U16" i="57"/>
  <c r="U55" i="57"/>
  <c r="U108" i="57"/>
  <c r="U97" i="57"/>
  <c r="U81" i="57"/>
  <c r="T109" i="57"/>
  <c r="T101" i="57"/>
  <c r="T86" i="57"/>
  <c r="T56" i="57"/>
  <c r="U86" i="57"/>
  <c r="U101" i="57"/>
  <c r="U109" i="57"/>
  <c r="T16" i="57"/>
  <c r="AC16" i="57" s="1"/>
  <c r="T55" i="57"/>
  <c r="T81" i="57"/>
  <c r="T97" i="57"/>
  <c r="T108" i="57"/>
  <c r="V101" i="57"/>
  <c r="V86" i="57"/>
  <c r="T93" i="57"/>
  <c r="T107" i="57"/>
  <c r="T75" i="57"/>
  <c r="T54" i="57"/>
  <c r="V16" i="57"/>
  <c r="V97" i="57"/>
  <c r="V108" i="57"/>
  <c r="V55" i="57"/>
  <c r="V81" i="57"/>
  <c r="AL35" i="58"/>
  <c r="AN23" i="58"/>
  <c r="AO10" i="58"/>
  <c r="AO35" i="55"/>
  <c r="AP35" i="55" s="1"/>
  <c r="P149" i="56"/>
  <c r="M99" i="47" s="1"/>
  <c r="AO29" i="55"/>
  <c r="AP29" i="55" s="1"/>
  <c r="AO38" i="55"/>
  <c r="AP38" i="55" s="1"/>
  <c r="AO26" i="55"/>
  <c r="AP26" i="55" s="1"/>
  <c r="AB7" i="56"/>
  <c r="AD93" i="57"/>
  <c r="AD75" i="57"/>
  <c r="AC75" i="57"/>
  <c r="AC93" i="57"/>
  <c r="S34" i="55"/>
  <c r="O128" i="47"/>
  <c r="Q22" i="29"/>
  <c r="R16" i="29"/>
  <c r="R22" i="29" s="1"/>
  <c r="Q23" i="29"/>
  <c r="R17" i="29"/>
  <c r="R23" i="29" s="1"/>
  <c r="Q24" i="29"/>
  <c r="R18" i="29"/>
  <c r="R24" i="29" s="1"/>
  <c r="AO30" i="55"/>
  <c r="AP30" i="55" s="1"/>
  <c r="Z7" i="56"/>
  <c r="AD7" i="56"/>
  <c r="AC7" i="56"/>
  <c r="R31" i="55"/>
  <c r="N129" i="47"/>
  <c r="S33" i="55"/>
  <c r="O130" i="47"/>
  <c r="S32" i="55"/>
  <c r="O131" i="47"/>
  <c r="AE93" i="57"/>
  <c r="AE75" i="57"/>
  <c r="L48" i="56"/>
  <c r="S37" i="55"/>
  <c r="O134" i="47"/>
  <c r="J88" i="56"/>
  <c r="L104" i="56"/>
  <c r="T28" i="55"/>
  <c r="P127" i="47"/>
  <c r="R27" i="55"/>
  <c r="S27" i="55" s="1"/>
  <c r="T27" i="55" s="1"/>
  <c r="U27" i="55" s="1"/>
  <c r="V27" i="55" s="1"/>
  <c r="W27" i="55" s="1"/>
  <c r="X27" i="55" s="1"/>
  <c r="Y27" i="55" s="1"/>
  <c r="Z27" i="55" s="1"/>
  <c r="AA27" i="55" s="1"/>
  <c r="AB27" i="55" s="1"/>
  <c r="AC27" i="55" s="1"/>
  <c r="AD27" i="55" s="1"/>
  <c r="AE27" i="55" s="1"/>
  <c r="AF27" i="55" s="1"/>
  <c r="AG27" i="55" s="1"/>
  <c r="AH27" i="55" s="1"/>
  <c r="AI27" i="55" s="1"/>
  <c r="AJ27" i="55" s="1"/>
  <c r="AK27" i="55" s="1"/>
  <c r="AL27" i="55" s="1"/>
  <c r="AM27" i="55" s="1"/>
  <c r="AN27" i="55" s="1"/>
  <c r="AO27" i="55" s="1"/>
  <c r="AP27" i="55" s="1"/>
  <c r="N135" i="47"/>
  <c r="J92" i="56"/>
  <c r="L43" i="56"/>
  <c r="L51" i="56"/>
  <c r="L52" i="56"/>
  <c r="L55" i="56"/>
  <c r="L56" i="56"/>
  <c r="L54" i="56"/>
  <c r="L58" i="56"/>
  <c r="L53" i="56"/>
  <c r="L57" i="56"/>
  <c r="L59" i="56"/>
  <c r="M60" i="56"/>
  <c r="R36" i="55"/>
  <c r="N133" i="47"/>
  <c r="J54" i="56"/>
  <c r="J52" i="56"/>
  <c r="J55" i="56"/>
  <c r="J59" i="56"/>
  <c r="J51" i="56"/>
  <c r="J53" i="56"/>
  <c r="J57" i="56"/>
  <c r="J56" i="56"/>
  <c r="J58" i="56"/>
  <c r="W84" i="47"/>
  <c r="AH26" i="35"/>
  <c r="AD7" i="47"/>
  <c r="AH23" i="35"/>
  <c r="AD8" i="47"/>
  <c r="AI25" i="35"/>
  <c r="AE6" i="47"/>
  <c r="AD5" i="47"/>
  <c r="AH22" i="35"/>
  <c r="AH24" i="35"/>
  <c r="AD9" i="47"/>
  <c r="L75" i="57" l="1"/>
  <c r="S184" i="56" a="1"/>
  <c r="S184" i="56" s="1"/>
  <c r="J100" i="56"/>
  <c r="K100" i="56" s="1"/>
  <c r="S180" i="56" a="1"/>
  <c r="S180" i="56" s="1"/>
  <c r="J96" i="56"/>
  <c r="K96" i="56" s="1"/>
  <c r="S182" i="56" a="1"/>
  <c r="S182" i="56" s="1"/>
  <c r="J98" i="56"/>
  <c r="K98" i="56" s="1"/>
  <c r="S185" i="56" a="1"/>
  <c r="S185" i="56" s="1"/>
  <c r="J101" i="56"/>
  <c r="K101" i="56" s="1"/>
  <c r="S183" i="56" a="1"/>
  <c r="S183" i="56" s="1"/>
  <c r="J99" i="56"/>
  <c r="K99" i="56" s="1"/>
  <c r="S178" i="56" a="1"/>
  <c r="S178" i="56" s="1"/>
  <c r="J94" i="56"/>
  <c r="K94" i="56" s="1"/>
  <c r="S179" i="56" a="1"/>
  <c r="S179" i="56" s="1"/>
  <c r="J95" i="56"/>
  <c r="K95" i="56" s="1"/>
  <c r="S181" i="56" a="1"/>
  <c r="S181" i="56" s="1"/>
  <c r="J97" i="56"/>
  <c r="K97" i="56" s="1"/>
  <c r="M75" i="57"/>
  <c r="R76" i="56"/>
  <c r="R92" i="56" s="1"/>
  <c r="Z92" i="56" s="1"/>
  <c r="K93" i="57"/>
  <c r="Z43" i="56"/>
  <c r="Z76" i="56" s="1"/>
  <c r="M93" i="57"/>
  <c r="K75" i="57"/>
  <c r="AL49" i="29" a="1"/>
  <c r="AL49" i="29" s="1"/>
  <c r="AI85" i="47" s="1"/>
  <c r="AC49" i="29" a="1"/>
  <c r="AC49" i="29" s="1"/>
  <c r="AD49" i="29" s="1" a="1"/>
  <c r="AD49" i="29" s="1"/>
  <c r="AE49" i="29" s="1" a="1"/>
  <c r="AE49" i="29" s="1"/>
  <c r="AF49" i="29" s="1" a="1"/>
  <c r="AF49" i="29" s="1"/>
  <c r="AG49" i="29" s="1" a="1"/>
  <c r="AG49" i="29" s="1"/>
  <c r="AH49" i="29" s="1" a="1"/>
  <c r="AH49" i="29" s="1"/>
  <c r="AI49" i="29" s="1" a="1"/>
  <c r="AI49" i="29" s="1"/>
  <c r="AJ49" i="29" s="1" a="1"/>
  <c r="AJ49" i="29" s="1"/>
  <c r="AK49" i="29" s="1" a="1"/>
  <c r="AK49" i="29" s="1"/>
  <c r="AL48" i="29" a="1"/>
  <c r="AL48" i="29" s="1"/>
  <c r="AC48" i="29" a="1"/>
  <c r="AC48" i="29" s="1"/>
  <c r="AD48" i="29" s="1" a="1"/>
  <c r="AD48" i="29" s="1"/>
  <c r="AE48" i="29" s="1" a="1"/>
  <c r="AE48" i="29" s="1"/>
  <c r="AF48" i="29" s="1" a="1"/>
  <c r="AF48" i="29" s="1"/>
  <c r="AG48" i="29" s="1" a="1"/>
  <c r="AG48" i="29" s="1"/>
  <c r="AH48" i="29" s="1" a="1"/>
  <c r="AH48" i="29" s="1"/>
  <c r="AI48" i="29" s="1" a="1"/>
  <c r="AI48" i="29" s="1"/>
  <c r="AJ48" i="29" s="1" a="1"/>
  <c r="AJ48" i="29" s="1"/>
  <c r="AK48" i="29" s="1" a="1"/>
  <c r="AK48" i="29" s="1"/>
  <c r="AL50" i="29" a="1"/>
  <c r="AL50" i="29" s="1"/>
  <c r="AI86" i="47" s="1"/>
  <c r="AC50" i="29" a="1"/>
  <c r="AC50" i="29" s="1"/>
  <c r="AD50" i="29" s="1" a="1"/>
  <c r="AD50" i="29" s="1"/>
  <c r="AE50" i="29" s="1" a="1"/>
  <c r="AE50" i="29" s="1"/>
  <c r="AF50" i="29" s="1" a="1"/>
  <c r="AF50" i="29" s="1"/>
  <c r="AG50" i="29" s="1" a="1"/>
  <c r="AG50" i="29" s="1"/>
  <c r="AH50" i="29" s="1" a="1"/>
  <c r="AH50" i="29" s="1"/>
  <c r="AI50" i="29" s="1" a="1"/>
  <c r="AI50" i="29" s="1"/>
  <c r="AJ50" i="29" s="1" a="1"/>
  <c r="AJ50" i="29" s="1"/>
  <c r="AK50" i="29" s="1" a="1"/>
  <c r="AK50" i="29" s="1"/>
  <c r="L93" i="57"/>
  <c r="AC184" i="56" a="1"/>
  <c r="AC184" i="56" s="1"/>
  <c r="U184" i="56" a="1"/>
  <c r="U184" i="56" s="1"/>
  <c r="V184" i="56" s="1" a="1"/>
  <c r="V184" i="56" s="1"/>
  <c r="W184" i="56" s="1" a="1"/>
  <c r="W184" i="56" s="1"/>
  <c r="X184" i="56" s="1" a="1"/>
  <c r="X184" i="56" s="1"/>
  <c r="Y184" i="56" s="1" a="1"/>
  <c r="Y184" i="56" s="1"/>
  <c r="Z184" i="56" s="1" a="1"/>
  <c r="Z184" i="56" s="1"/>
  <c r="AA184" i="56" s="1" a="1"/>
  <c r="AA184" i="56" s="1"/>
  <c r="AB184" i="56" s="1" a="1"/>
  <c r="AB184" i="56" s="1"/>
  <c r="V88" i="56"/>
  <c r="AD88" i="56" s="1"/>
  <c r="W123" i="56" a="1"/>
  <c r="W123" i="56" s="1"/>
  <c r="X123" i="56" s="1" a="1"/>
  <c r="X123" i="56" s="1"/>
  <c r="Y123" i="56" s="1" a="1"/>
  <c r="Y123" i="56" s="1"/>
  <c r="Z123" i="56" s="1" a="1"/>
  <c r="Z123" i="56" s="1"/>
  <c r="AA123" i="56" s="1" a="1"/>
  <c r="AA123" i="56" s="1"/>
  <c r="AB123" i="56" s="1" a="1"/>
  <c r="AB123" i="56" s="1"/>
  <c r="AC123" i="56" s="1" a="1"/>
  <c r="AC123" i="56" s="1"/>
  <c r="AD123" i="56" s="1" a="1"/>
  <c r="AD123" i="56" s="1"/>
  <c r="AE123" i="56" a="1"/>
  <c r="AE123" i="56" s="1"/>
  <c r="AC181" i="56" a="1"/>
  <c r="AC181" i="56" s="1"/>
  <c r="U181" i="56" a="1"/>
  <c r="U181" i="56" s="1"/>
  <c r="V181" i="56" s="1" a="1"/>
  <c r="V181" i="56" s="1"/>
  <c r="W181" i="56" s="1" a="1"/>
  <c r="W181" i="56" s="1"/>
  <c r="X181" i="56" s="1" a="1"/>
  <c r="X181" i="56" s="1"/>
  <c r="Y181" i="56" s="1" a="1"/>
  <c r="Y181" i="56" s="1"/>
  <c r="Z181" i="56" s="1" a="1"/>
  <c r="Z181" i="56" s="1"/>
  <c r="AA181" i="56" s="1" a="1"/>
  <c r="AA181" i="56" s="1"/>
  <c r="AB181" i="56" s="1" a="1"/>
  <c r="AB181" i="56" s="1"/>
  <c r="AC182" i="56" a="1"/>
  <c r="AC182" i="56" s="1"/>
  <c r="U182" i="56" a="1"/>
  <c r="U182" i="56" s="1"/>
  <c r="V182" i="56" s="1" a="1"/>
  <c r="V182" i="56" s="1"/>
  <c r="W182" i="56" s="1" a="1"/>
  <c r="W182" i="56" s="1"/>
  <c r="X182" i="56" s="1" a="1"/>
  <c r="X182" i="56" s="1"/>
  <c r="Y182" i="56" s="1" a="1"/>
  <c r="Y182" i="56" s="1"/>
  <c r="Z182" i="56" s="1" a="1"/>
  <c r="Z182" i="56" s="1"/>
  <c r="AA182" i="56" s="1" a="1"/>
  <c r="AA182" i="56" s="1"/>
  <c r="AB182" i="56" s="1" a="1"/>
  <c r="AB182" i="56" s="1"/>
  <c r="AC180" i="56" a="1"/>
  <c r="AC180" i="56" s="1"/>
  <c r="U180" i="56" a="1"/>
  <c r="U180" i="56" s="1"/>
  <c r="V180" i="56" s="1" a="1"/>
  <c r="V180" i="56" s="1"/>
  <c r="W180" i="56" s="1" a="1"/>
  <c r="W180" i="56" s="1"/>
  <c r="X180" i="56" s="1" a="1"/>
  <c r="X180" i="56" s="1"/>
  <c r="Y180" i="56" s="1" a="1"/>
  <c r="Y180" i="56" s="1"/>
  <c r="Z180" i="56" s="1" a="1"/>
  <c r="Z180" i="56" s="1"/>
  <c r="AA180" i="56" s="1" a="1"/>
  <c r="AA180" i="56" s="1"/>
  <c r="AB180" i="56" s="1" a="1"/>
  <c r="AB180" i="56" s="1"/>
  <c r="U179" i="56" a="1"/>
  <c r="U179" i="56" s="1"/>
  <c r="V179" i="56" s="1" a="1"/>
  <c r="V179" i="56" s="1"/>
  <c r="W179" i="56" s="1" a="1"/>
  <c r="W179" i="56" s="1"/>
  <c r="X179" i="56" s="1" a="1"/>
  <c r="X179" i="56" s="1"/>
  <c r="Y179" i="56" s="1" a="1"/>
  <c r="Y179" i="56" s="1"/>
  <c r="Z179" i="56" s="1" a="1"/>
  <c r="Z179" i="56" s="1"/>
  <c r="AA179" i="56" s="1" a="1"/>
  <c r="AA179" i="56" s="1"/>
  <c r="AB179" i="56" s="1" a="1"/>
  <c r="AB179" i="56" s="1"/>
  <c r="AC179" i="56" a="1"/>
  <c r="AC179" i="56" s="1"/>
  <c r="AC178" i="56" a="1"/>
  <c r="AC178" i="56" s="1"/>
  <c r="U178" i="56" a="1"/>
  <c r="U178" i="56" s="1"/>
  <c r="V178" i="56" s="1" a="1"/>
  <c r="V178" i="56" s="1"/>
  <c r="W178" i="56" s="1" a="1"/>
  <c r="W178" i="56" s="1"/>
  <c r="X178" i="56" s="1" a="1"/>
  <c r="X178" i="56" s="1"/>
  <c r="Y178" i="56" s="1" a="1"/>
  <c r="Y178" i="56" s="1"/>
  <c r="Z178" i="56" s="1" a="1"/>
  <c r="Z178" i="56" s="1"/>
  <c r="AA178" i="56" s="1" a="1"/>
  <c r="AA178" i="56" s="1"/>
  <c r="AB178" i="56" s="1" a="1"/>
  <c r="AB178" i="56" s="1"/>
  <c r="U176" i="56" a="1"/>
  <c r="U176" i="56" s="1"/>
  <c r="V176" i="56" s="1" a="1"/>
  <c r="V176" i="56" s="1"/>
  <c r="W176" i="56" s="1" a="1"/>
  <c r="W176" i="56" s="1"/>
  <c r="X176" i="56" s="1" a="1"/>
  <c r="X176" i="56" s="1"/>
  <c r="Y176" i="56" s="1" a="1"/>
  <c r="Y176" i="56" s="1"/>
  <c r="Z176" i="56" s="1" a="1"/>
  <c r="Z176" i="56" s="1"/>
  <c r="AA176" i="56" s="1" a="1"/>
  <c r="AA176" i="56" s="1"/>
  <c r="AB176" i="56" s="1" a="1"/>
  <c r="AB176" i="56" s="1"/>
  <c r="AC176" i="56" a="1"/>
  <c r="AC176" i="56" s="1"/>
  <c r="U183" i="56" a="1"/>
  <c r="U183" i="56" s="1"/>
  <c r="V183" i="56" s="1" a="1"/>
  <c r="V183" i="56" s="1"/>
  <c r="W183" i="56" s="1" a="1"/>
  <c r="W183" i="56" s="1"/>
  <c r="X183" i="56" s="1" a="1"/>
  <c r="X183" i="56" s="1"/>
  <c r="Y183" i="56" s="1" a="1"/>
  <c r="Y183" i="56" s="1"/>
  <c r="Z183" i="56" s="1" a="1"/>
  <c r="Z183" i="56" s="1"/>
  <c r="AA183" i="56" s="1" a="1"/>
  <c r="AA183" i="56" s="1"/>
  <c r="AB183" i="56" s="1" a="1"/>
  <c r="AB183" i="56" s="1"/>
  <c r="AC183" i="56" a="1"/>
  <c r="AC183" i="56" s="1"/>
  <c r="J76" i="56"/>
  <c r="U111" i="56" a="1"/>
  <c r="U111" i="56" s="1"/>
  <c r="AC185" i="56" a="1"/>
  <c r="AC185" i="56" s="1"/>
  <c r="U185" i="56" a="1"/>
  <c r="U185" i="56" s="1"/>
  <c r="V185" i="56" s="1" a="1"/>
  <c r="V185" i="56" s="1"/>
  <c r="W185" i="56" s="1" a="1"/>
  <c r="W185" i="56" s="1"/>
  <c r="X185" i="56" s="1" a="1"/>
  <c r="X185" i="56" s="1"/>
  <c r="Y185" i="56" s="1" a="1"/>
  <c r="Y185" i="56" s="1"/>
  <c r="Z185" i="56" s="1" a="1"/>
  <c r="Z185" i="56" s="1"/>
  <c r="AA185" i="56" s="1" a="1"/>
  <c r="AA185" i="56" s="1"/>
  <c r="AB185" i="56" s="1" a="1"/>
  <c r="AB185" i="56" s="1"/>
  <c r="V109" i="57"/>
  <c r="R50" i="57"/>
  <c r="AA49" i="57"/>
  <c r="I49" i="57" s="1"/>
  <c r="S49" i="57" s="1"/>
  <c r="U43" i="56"/>
  <c r="T76" i="56"/>
  <c r="T92" i="56" s="1"/>
  <c r="V87" i="57"/>
  <c r="V56" i="57"/>
  <c r="AL169" i="58"/>
  <c r="AL168" i="58"/>
  <c r="AL36" i="58"/>
  <c r="AL41" i="58" s="1"/>
  <c r="AO23" i="58"/>
  <c r="AP10" i="58"/>
  <c r="AN31" i="58"/>
  <c r="AN34" i="58" s="1"/>
  <c r="AN24" i="58"/>
  <c r="AM169" i="58"/>
  <c r="AM168" i="58"/>
  <c r="AM36" i="58"/>
  <c r="AA108" i="47"/>
  <c r="X84" i="47"/>
  <c r="Y84" i="47"/>
  <c r="P137" i="56"/>
  <c r="M87" i="47" s="1"/>
  <c r="Q188" i="56"/>
  <c r="M48" i="56"/>
  <c r="S31" i="55"/>
  <c r="O129" i="47"/>
  <c r="R59" i="56"/>
  <c r="R57" i="56"/>
  <c r="R56" i="56"/>
  <c r="R51" i="56"/>
  <c r="R53" i="56"/>
  <c r="R55" i="56"/>
  <c r="R52" i="56"/>
  <c r="R54" i="56"/>
  <c r="R58" i="56"/>
  <c r="S36" i="55"/>
  <c r="O133" i="47"/>
  <c r="M51" i="56"/>
  <c r="M57" i="56"/>
  <c r="M52" i="56"/>
  <c r="M55" i="56"/>
  <c r="M58" i="56"/>
  <c r="M53" i="56"/>
  <c r="M56" i="56"/>
  <c r="M54" i="56"/>
  <c r="M59" i="56"/>
  <c r="N60" i="56"/>
  <c r="U28" i="55"/>
  <c r="Q127" i="47"/>
  <c r="P130" i="47"/>
  <c r="T33" i="55"/>
  <c r="L102" i="56"/>
  <c r="L86" i="56"/>
  <c r="AR78" i="56" s="1"/>
  <c r="T32" i="55"/>
  <c r="P131" i="47"/>
  <c r="R57" i="57"/>
  <c r="J102" i="56"/>
  <c r="U121" i="56" s="1" a="1"/>
  <c r="U121" i="56" s="1"/>
  <c r="J86" i="56"/>
  <c r="AQ78" i="56" s="1"/>
  <c r="L88" i="56"/>
  <c r="M104" i="56"/>
  <c r="T34" i="55"/>
  <c r="P128" i="47"/>
  <c r="L92" i="56"/>
  <c r="M43" i="56"/>
  <c r="O135" i="47"/>
  <c r="T37" i="55"/>
  <c r="P134" i="47"/>
  <c r="AJ25" i="35"/>
  <c r="AF6" i="47"/>
  <c r="AE8" i="47"/>
  <c r="AI23" i="35"/>
  <c r="AE5" i="47"/>
  <c r="AI22" i="35"/>
  <c r="AI24" i="35"/>
  <c r="AE9" i="47"/>
  <c r="AE7" i="47"/>
  <c r="AI26" i="35"/>
  <c r="L94" i="56" l="1"/>
  <c r="M94" i="56" s="1"/>
  <c r="K78" i="56"/>
  <c r="V113" i="56" a="1"/>
  <c r="V113" i="56" s="1"/>
  <c r="L99" i="56"/>
  <c r="M99" i="56" s="1"/>
  <c r="K83" i="56"/>
  <c r="V118" i="56" a="1"/>
  <c r="V118" i="56" s="1"/>
  <c r="L101" i="56"/>
  <c r="M101" i="56" s="1"/>
  <c r="K85" i="56"/>
  <c r="V120" i="56" a="1"/>
  <c r="V120" i="56" s="1"/>
  <c r="L98" i="56"/>
  <c r="M98" i="56" s="1"/>
  <c r="K82" i="56"/>
  <c r="V117" i="56" a="1"/>
  <c r="V117" i="56" s="1"/>
  <c r="L97" i="56"/>
  <c r="M97" i="56" s="1"/>
  <c r="V116" i="56" a="1"/>
  <c r="V116" i="56" s="1"/>
  <c r="K81" i="56"/>
  <c r="L96" i="56"/>
  <c r="M96" i="56" s="1"/>
  <c r="K80" i="56"/>
  <c r="V115" i="56" a="1"/>
  <c r="V115" i="56" s="1"/>
  <c r="L95" i="56"/>
  <c r="M95" i="56" s="1"/>
  <c r="K79" i="56"/>
  <c r="V114" i="56" a="1"/>
  <c r="V114" i="56" s="1"/>
  <c r="L100" i="56"/>
  <c r="M100" i="56" s="1"/>
  <c r="K84" i="56"/>
  <c r="V119" i="56" a="1"/>
  <c r="V119" i="56" s="1"/>
  <c r="Z86" i="47"/>
  <c r="Z85" i="47"/>
  <c r="Z84" i="47"/>
  <c r="J81" i="56"/>
  <c r="U116" i="56" a="1"/>
  <c r="U116" i="56" s="1"/>
  <c r="J84" i="56"/>
  <c r="U119" i="56" a="1"/>
  <c r="U119" i="56" s="1"/>
  <c r="AM179" i="56" a="1"/>
  <c r="AM179" i="56" s="1"/>
  <c r="AD179" i="56" a="1"/>
  <c r="AD179" i="56" s="1"/>
  <c r="AE179" i="56" s="1" a="1"/>
  <c r="AE179" i="56" s="1"/>
  <c r="AF179" i="56" s="1" a="1"/>
  <c r="AF179" i="56" s="1"/>
  <c r="AG179" i="56" s="1" a="1"/>
  <c r="AG179" i="56" s="1"/>
  <c r="AH179" i="56" s="1" a="1"/>
  <c r="AH179" i="56" s="1"/>
  <c r="AI179" i="56" s="1" a="1"/>
  <c r="AI179" i="56" s="1"/>
  <c r="AJ179" i="56" s="1" a="1"/>
  <c r="AJ179" i="56" s="1"/>
  <c r="AK179" i="56" s="1" a="1"/>
  <c r="AK179" i="56" s="1"/>
  <c r="AL179" i="56" s="1" a="1"/>
  <c r="AL179" i="56" s="1"/>
  <c r="AD184" i="56" a="1"/>
  <c r="AD184" i="56" s="1"/>
  <c r="AE184" i="56" s="1" a="1"/>
  <c r="AE184" i="56" s="1"/>
  <c r="AF184" i="56" s="1" a="1"/>
  <c r="AF184" i="56" s="1"/>
  <c r="AG184" i="56" s="1" a="1"/>
  <c r="AG184" i="56" s="1"/>
  <c r="AH184" i="56" s="1" a="1"/>
  <c r="AH184" i="56" s="1"/>
  <c r="AI184" i="56" s="1" a="1"/>
  <c r="AI184" i="56" s="1"/>
  <c r="AJ184" i="56" s="1" a="1"/>
  <c r="AJ184" i="56" s="1"/>
  <c r="AK184" i="56" s="1" a="1"/>
  <c r="AK184" i="56" s="1"/>
  <c r="AL184" i="56" s="1" a="1"/>
  <c r="AL184" i="56" s="1"/>
  <c r="AM184" i="56" a="1"/>
  <c r="AM184" i="56" s="1"/>
  <c r="AF123" i="56" a="1"/>
  <c r="AF123" i="56" s="1"/>
  <c r="AG123" i="56" s="1" a="1"/>
  <c r="AG123" i="56" s="1"/>
  <c r="AH123" i="56" s="1" a="1"/>
  <c r="AH123" i="56" s="1"/>
  <c r="AI123" i="56" s="1" a="1"/>
  <c r="AI123" i="56" s="1"/>
  <c r="AJ123" i="56" s="1" a="1"/>
  <c r="AJ123" i="56" s="1"/>
  <c r="AK123" i="56" s="1" a="1"/>
  <c r="AK123" i="56" s="1"/>
  <c r="AL123" i="56" s="1" a="1"/>
  <c r="AL123" i="56" s="1"/>
  <c r="AM123" i="56" s="1" a="1"/>
  <c r="AM123" i="56" s="1"/>
  <c r="AN123" i="56" s="1" a="1"/>
  <c r="AN123" i="56" s="1"/>
  <c r="AO123" i="56" a="1"/>
  <c r="AO123" i="56" s="1"/>
  <c r="J79" i="56"/>
  <c r="U114" i="56" a="1"/>
  <c r="U114" i="56" s="1"/>
  <c r="J83" i="56"/>
  <c r="U118" i="56" a="1"/>
  <c r="U118" i="56" s="1"/>
  <c r="AM178" i="56" a="1"/>
  <c r="AM178" i="56" s="1"/>
  <c r="AD178" i="56" a="1"/>
  <c r="AD178" i="56" s="1"/>
  <c r="AE178" i="56" s="1" a="1"/>
  <c r="AE178" i="56" s="1"/>
  <c r="AF178" i="56" s="1" a="1"/>
  <c r="AF178" i="56" s="1"/>
  <c r="AG178" i="56" s="1" a="1"/>
  <c r="AG178" i="56" s="1"/>
  <c r="AH178" i="56" s="1" a="1"/>
  <c r="AH178" i="56" s="1"/>
  <c r="AI178" i="56" s="1" a="1"/>
  <c r="AI178" i="56" s="1"/>
  <c r="AJ178" i="56" s="1" a="1"/>
  <c r="AJ178" i="56" s="1"/>
  <c r="AK178" i="56" s="1" a="1"/>
  <c r="AK178" i="56" s="1"/>
  <c r="AL178" i="56" s="1" a="1"/>
  <c r="AL178" i="56" s="1"/>
  <c r="AM181" i="56" a="1"/>
  <c r="AM181" i="56" s="1"/>
  <c r="AD181" i="56" a="1"/>
  <c r="AD181" i="56" s="1"/>
  <c r="AE181" i="56" s="1" a="1"/>
  <c r="AE181" i="56" s="1"/>
  <c r="AF181" i="56" s="1" a="1"/>
  <c r="AF181" i="56" s="1"/>
  <c r="AG181" i="56" s="1" a="1"/>
  <c r="AG181" i="56" s="1"/>
  <c r="AH181" i="56" s="1" a="1"/>
  <c r="AH181" i="56" s="1"/>
  <c r="AI181" i="56" s="1" a="1"/>
  <c r="AI181" i="56" s="1"/>
  <c r="AJ181" i="56" s="1" a="1"/>
  <c r="AJ181" i="56" s="1"/>
  <c r="AK181" i="56" s="1" a="1"/>
  <c r="AK181" i="56" s="1"/>
  <c r="AL181" i="56" s="1" a="1"/>
  <c r="AL181" i="56" s="1"/>
  <c r="AM183" i="56" a="1"/>
  <c r="AM183" i="56" s="1"/>
  <c r="AD183" i="56" a="1"/>
  <c r="AD183" i="56" s="1"/>
  <c r="AE183" i="56" s="1" a="1"/>
  <c r="AE183" i="56" s="1"/>
  <c r="AF183" i="56" s="1" a="1"/>
  <c r="AF183" i="56" s="1"/>
  <c r="AG183" i="56" s="1" a="1"/>
  <c r="AG183" i="56" s="1"/>
  <c r="AH183" i="56" s="1" a="1"/>
  <c r="AH183" i="56" s="1"/>
  <c r="AI183" i="56" s="1" a="1"/>
  <c r="AI183" i="56" s="1"/>
  <c r="AJ183" i="56" s="1" a="1"/>
  <c r="AJ183" i="56" s="1"/>
  <c r="AK183" i="56" s="1" a="1"/>
  <c r="AK183" i="56" s="1"/>
  <c r="AL183" i="56" s="1" a="1"/>
  <c r="AL183" i="56" s="1"/>
  <c r="J80" i="56"/>
  <c r="U115" i="56" a="1"/>
  <c r="U115" i="56" s="1"/>
  <c r="J85" i="56"/>
  <c r="U120" i="56" a="1"/>
  <c r="U120" i="56" s="1"/>
  <c r="J82" i="56"/>
  <c r="U117" i="56" a="1"/>
  <c r="U117" i="56" s="1"/>
  <c r="AM180" i="56" a="1"/>
  <c r="AM180" i="56" s="1"/>
  <c r="AD180" i="56" a="1"/>
  <c r="AD180" i="56" s="1"/>
  <c r="AE180" i="56" s="1" a="1"/>
  <c r="AE180" i="56" s="1"/>
  <c r="AF180" i="56" s="1" a="1"/>
  <c r="AF180" i="56" s="1"/>
  <c r="AG180" i="56" s="1" a="1"/>
  <c r="AG180" i="56" s="1"/>
  <c r="AH180" i="56" s="1" a="1"/>
  <c r="AH180" i="56" s="1"/>
  <c r="AI180" i="56" s="1" a="1"/>
  <c r="AI180" i="56" s="1"/>
  <c r="AJ180" i="56" s="1" a="1"/>
  <c r="AJ180" i="56" s="1"/>
  <c r="AK180" i="56" s="1" a="1"/>
  <c r="AK180" i="56" s="1"/>
  <c r="AL180" i="56" s="1" a="1"/>
  <c r="AL180" i="56" s="1"/>
  <c r="J78" i="56"/>
  <c r="U113" i="56" a="1"/>
  <c r="U113" i="56" s="1"/>
  <c r="AD176" i="56" a="1"/>
  <c r="AD176" i="56" s="1"/>
  <c r="AE176" i="56" s="1" a="1"/>
  <c r="AE176" i="56" s="1"/>
  <c r="AF176" i="56" s="1" a="1"/>
  <c r="AF176" i="56" s="1"/>
  <c r="AG176" i="56" s="1" a="1"/>
  <c r="AG176" i="56" s="1"/>
  <c r="AH176" i="56" s="1" a="1"/>
  <c r="AH176" i="56" s="1"/>
  <c r="AI176" i="56" s="1" a="1"/>
  <c r="AI176" i="56" s="1"/>
  <c r="AJ176" i="56" s="1" a="1"/>
  <c r="AJ176" i="56" s="1"/>
  <c r="AK176" i="56" s="1" a="1"/>
  <c r="AK176" i="56" s="1"/>
  <c r="AL176" i="56" s="1" a="1"/>
  <c r="AL176" i="56" s="1"/>
  <c r="AM176" i="56" a="1"/>
  <c r="AM176" i="56" s="1"/>
  <c r="AM185" i="56" a="1"/>
  <c r="AM185" i="56" s="1"/>
  <c r="AD185" i="56" a="1"/>
  <c r="AD185" i="56" s="1"/>
  <c r="AE185" i="56" s="1" a="1"/>
  <c r="AE185" i="56" s="1"/>
  <c r="AF185" i="56" s="1" a="1"/>
  <c r="AF185" i="56" s="1"/>
  <c r="AG185" i="56" s="1" a="1"/>
  <c r="AG185" i="56" s="1"/>
  <c r="AH185" i="56" s="1" a="1"/>
  <c r="AH185" i="56" s="1"/>
  <c r="AI185" i="56" s="1" a="1"/>
  <c r="AI185" i="56" s="1"/>
  <c r="AJ185" i="56" s="1" a="1"/>
  <c r="AJ185" i="56" s="1"/>
  <c r="AK185" i="56" s="1" a="1"/>
  <c r="AK185" i="56" s="1"/>
  <c r="AL185" i="56" s="1" a="1"/>
  <c r="AL185" i="56" s="1"/>
  <c r="L76" i="56"/>
  <c r="W111" i="56" a="1"/>
  <c r="W111" i="56" s="1"/>
  <c r="X111" i="56" s="1" a="1"/>
  <c r="X111" i="56" s="1"/>
  <c r="Y111" i="56" s="1" a="1"/>
  <c r="Y111" i="56" s="1"/>
  <c r="Z111" i="56" s="1" a="1"/>
  <c r="Z111" i="56" s="1"/>
  <c r="AA111" i="56" s="1" a="1"/>
  <c r="AA111" i="56" s="1"/>
  <c r="AB111" i="56" s="1" a="1"/>
  <c r="AB111" i="56" s="1"/>
  <c r="AC111" i="56" s="1" a="1"/>
  <c r="AC111" i="56" s="1"/>
  <c r="AD111" i="56" s="1" a="1"/>
  <c r="AD111" i="56" s="1"/>
  <c r="AE111" i="56" a="1"/>
  <c r="AE111" i="56" s="1"/>
  <c r="W121" i="56" a="1"/>
  <c r="W121" i="56" s="1"/>
  <c r="X121" i="56" s="1" a="1"/>
  <c r="X121" i="56" s="1"/>
  <c r="Y121" i="56" s="1" a="1"/>
  <c r="Y121" i="56" s="1"/>
  <c r="Z121" i="56" s="1" a="1"/>
  <c r="Z121" i="56" s="1"/>
  <c r="AA121" i="56" s="1" a="1"/>
  <c r="AA121" i="56" s="1"/>
  <c r="AB121" i="56" s="1" a="1"/>
  <c r="AB121" i="56" s="1"/>
  <c r="AC121" i="56" s="1" a="1"/>
  <c r="AC121" i="56" s="1"/>
  <c r="AD121" i="56" s="1" a="1"/>
  <c r="AD121" i="56" s="1"/>
  <c r="AE121" i="56" a="1"/>
  <c r="AE121" i="56" s="1"/>
  <c r="AD182" i="56" a="1"/>
  <c r="AD182" i="56" s="1"/>
  <c r="AE182" i="56" s="1" a="1"/>
  <c r="AE182" i="56" s="1"/>
  <c r="AF182" i="56" s="1" a="1"/>
  <c r="AF182" i="56" s="1"/>
  <c r="AG182" i="56" s="1" a="1"/>
  <c r="AG182" i="56" s="1"/>
  <c r="AH182" i="56" s="1" a="1"/>
  <c r="AH182" i="56" s="1"/>
  <c r="AI182" i="56" s="1" a="1"/>
  <c r="AI182" i="56" s="1"/>
  <c r="AJ182" i="56" s="1" a="1"/>
  <c r="AJ182" i="56" s="1"/>
  <c r="AK182" i="56" s="1" a="1"/>
  <c r="AK182" i="56" s="1"/>
  <c r="AL182" i="56" s="1" a="1"/>
  <c r="AL182" i="56" s="1"/>
  <c r="AM182" i="56" a="1"/>
  <c r="AM182" i="56" s="1"/>
  <c r="AC49" i="57"/>
  <c r="AC57" i="57" s="1"/>
  <c r="AA57" i="57"/>
  <c r="I57" i="57" s="1"/>
  <c r="AB49" i="57"/>
  <c r="AB57" i="57" s="1"/>
  <c r="S50" i="57"/>
  <c r="S57" i="57"/>
  <c r="R110" i="57"/>
  <c r="AA50" i="57"/>
  <c r="I50" i="57" s="1"/>
  <c r="R51" i="57"/>
  <c r="AA51" i="57" s="1"/>
  <c r="I51" i="57" s="1"/>
  <c r="R82" i="56"/>
  <c r="R98" i="56" s="1"/>
  <c r="Z98" i="56" s="1"/>
  <c r="Z55" i="56"/>
  <c r="Z82" i="56" s="1"/>
  <c r="R80" i="56"/>
  <c r="R96" i="56" s="1"/>
  <c r="Z96" i="56" s="1"/>
  <c r="Z53" i="56"/>
  <c r="Z80" i="56" s="1"/>
  <c r="Z51" i="56"/>
  <c r="Z78" i="56" s="1"/>
  <c r="R78" i="56"/>
  <c r="R94" i="56" s="1"/>
  <c r="Z94" i="56" s="1"/>
  <c r="R85" i="56"/>
  <c r="R101" i="56" s="1"/>
  <c r="Z101" i="56" s="1"/>
  <c r="Z58" i="56"/>
  <c r="Z85" i="56" s="1"/>
  <c r="Z54" i="56"/>
  <c r="Z81" i="56" s="1"/>
  <c r="R81" i="56"/>
  <c r="R97" i="56" s="1"/>
  <c r="Z97" i="56" s="1"/>
  <c r="R83" i="56"/>
  <c r="R99" i="56" s="1"/>
  <c r="Z99" i="56" s="1"/>
  <c r="Z56" i="56"/>
  <c r="Z83" i="56" s="1"/>
  <c r="R79" i="56"/>
  <c r="R95" i="56" s="1"/>
  <c r="Z95" i="56" s="1"/>
  <c r="Z52" i="56"/>
  <c r="Z79" i="56" s="1"/>
  <c r="R84" i="56"/>
  <c r="R100" i="56" s="1"/>
  <c r="Z100" i="56" s="1"/>
  <c r="Z57" i="56"/>
  <c r="Z84" i="56" s="1"/>
  <c r="R86" i="56"/>
  <c r="AK78" i="56" s="1"/>
  <c r="Z59" i="56"/>
  <c r="Z86" i="56" s="1"/>
  <c r="V43" i="56"/>
  <c r="V76" i="56" s="1"/>
  <c r="U76" i="56"/>
  <c r="U92" i="56" s="1"/>
  <c r="R58" i="57"/>
  <c r="Q149" i="56"/>
  <c r="R188" i="56" s="1"/>
  <c r="AM41" i="58"/>
  <c r="AO24" i="58"/>
  <c r="AN35" i="58"/>
  <c r="AP23" i="58"/>
  <c r="AO31" i="58"/>
  <c r="AO34" i="58" s="1"/>
  <c r="AA84" i="47"/>
  <c r="AA86" i="47"/>
  <c r="AB108" i="47"/>
  <c r="AI84" i="47"/>
  <c r="P144" i="56"/>
  <c r="M94" i="47" s="1"/>
  <c r="P141" i="56"/>
  <c r="M91" i="47" s="1"/>
  <c r="P142" i="56"/>
  <c r="M92" i="47" s="1"/>
  <c r="P140" i="56"/>
  <c r="M90" i="47" s="1"/>
  <c r="P139" i="56"/>
  <c r="M89" i="47" s="1"/>
  <c r="P146" i="56"/>
  <c r="M96" i="47" s="1"/>
  <c r="P145" i="56"/>
  <c r="M95" i="47" s="1"/>
  <c r="P147" i="56"/>
  <c r="M97" i="47" s="1"/>
  <c r="P143" i="56"/>
  <c r="M93" i="47" s="1"/>
  <c r="R127" i="47"/>
  <c r="V28" i="55"/>
  <c r="T31" i="55"/>
  <c r="P129" i="47"/>
  <c r="N48" i="56"/>
  <c r="N51" i="56"/>
  <c r="N59" i="56"/>
  <c r="N52" i="56"/>
  <c r="N53" i="56"/>
  <c r="N56" i="56"/>
  <c r="N58" i="56"/>
  <c r="N54" i="56"/>
  <c r="N57" i="56"/>
  <c r="N55" i="56"/>
  <c r="T36" i="55"/>
  <c r="P133" i="47"/>
  <c r="P135" i="47"/>
  <c r="M92" i="56"/>
  <c r="N43" i="56"/>
  <c r="U32" i="55"/>
  <c r="Q131" i="47"/>
  <c r="U33" i="55"/>
  <c r="Q130" i="47"/>
  <c r="M102" i="56"/>
  <c r="M86" i="56"/>
  <c r="AS78" i="56" s="1"/>
  <c r="M88" i="56"/>
  <c r="N104" i="56"/>
  <c r="T53" i="56"/>
  <c r="T80" i="56" s="1"/>
  <c r="T96" i="56" s="1"/>
  <c r="T58" i="56"/>
  <c r="T85" i="56" s="1"/>
  <c r="T101" i="56" s="1"/>
  <c r="T54" i="56"/>
  <c r="T81" i="56" s="1"/>
  <c r="T97" i="56" s="1"/>
  <c r="T56" i="56"/>
  <c r="T83" i="56" s="1"/>
  <c r="T99" i="56" s="1"/>
  <c r="T55" i="56"/>
  <c r="T82" i="56" s="1"/>
  <c r="T98" i="56" s="1"/>
  <c r="T52" i="56"/>
  <c r="T79" i="56" s="1"/>
  <c r="T95" i="56" s="1"/>
  <c r="T59" i="56"/>
  <c r="T51" i="56"/>
  <c r="T78" i="56" s="1"/>
  <c r="T94" i="56" s="1"/>
  <c r="T57" i="56"/>
  <c r="T84" i="56" s="1"/>
  <c r="T100" i="56" s="1"/>
  <c r="U34" i="55"/>
  <c r="Q128" i="47"/>
  <c r="AB60" i="56"/>
  <c r="U37" i="55"/>
  <c r="Q134" i="47"/>
  <c r="AB43" i="56"/>
  <c r="AB76" i="56" s="1"/>
  <c r="AB92" i="56" s="1"/>
  <c r="AF7" i="47"/>
  <c r="AJ26" i="35"/>
  <c r="AJ24" i="35"/>
  <c r="AF9" i="47"/>
  <c r="AK25" i="35"/>
  <c r="AG6" i="47"/>
  <c r="AJ22" i="35"/>
  <c r="AF5" i="47"/>
  <c r="AF8" i="47"/>
  <c r="AJ23" i="35"/>
  <c r="AE118" i="56" l="1" a="1"/>
  <c r="AE118" i="56" s="1"/>
  <c r="AF118" i="56" s="1" a="1"/>
  <c r="AF118" i="56" s="1"/>
  <c r="AG118" i="56" s="1" a="1"/>
  <c r="AG118" i="56" s="1"/>
  <c r="AH118" i="56" s="1" a="1"/>
  <c r="AH118" i="56" s="1"/>
  <c r="AI118" i="56" s="1" a="1"/>
  <c r="AI118" i="56" s="1"/>
  <c r="AJ118" i="56" s="1" a="1"/>
  <c r="AJ118" i="56" s="1"/>
  <c r="AK118" i="56" s="1" a="1"/>
  <c r="AK118" i="56" s="1"/>
  <c r="AL118" i="56" s="1" a="1"/>
  <c r="AL118" i="56" s="1"/>
  <c r="AM118" i="56" s="1" a="1"/>
  <c r="AM118" i="56" s="1"/>
  <c r="AN118" i="56" s="1" a="1"/>
  <c r="AN118" i="56" s="1"/>
  <c r="W113" i="56" a="1"/>
  <c r="W113" i="56" s="1"/>
  <c r="X113" i="56" s="1" a="1"/>
  <c r="X113" i="56" s="1"/>
  <c r="Y113" i="56" s="1" a="1"/>
  <c r="Y113" i="56" s="1"/>
  <c r="Z113" i="56" s="1" a="1"/>
  <c r="Z113" i="56" s="1"/>
  <c r="AA113" i="56" s="1" a="1"/>
  <c r="AA113" i="56" s="1"/>
  <c r="AB113" i="56" s="1" a="1"/>
  <c r="AB113" i="56" s="1"/>
  <c r="AC113" i="56" s="1" a="1"/>
  <c r="AC113" i="56" s="1"/>
  <c r="AD113" i="56" s="1" a="1"/>
  <c r="AD113" i="56" s="1"/>
  <c r="W116" i="56" a="1"/>
  <c r="W116" i="56" s="1"/>
  <c r="X116" i="56" s="1" a="1"/>
  <c r="X116" i="56" s="1"/>
  <c r="Y116" i="56" s="1" a="1"/>
  <c r="Y116" i="56" s="1"/>
  <c r="Z116" i="56" s="1" a="1"/>
  <c r="Z116" i="56" s="1"/>
  <c r="AA116" i="56" s="1" a="1"/>
  <c r="AA116" i="56" s="1"/>
  <c r="AB116" i="56" s="1" a="1"/>
  <c r="AB116" i="56" s="1"/>
  <c r="AC116" i="56" s="1" a="1"/>
  <c r="AC116" i="56" s="1"/>
  <c r="AD116" i="56" s="1" a="1"/>
  <c r="AD116" i="56" s="1"/>
  <c r="AE115" i="56" a="1"/>
  <c r="AE115" i="56" s="1"/>
  <c r="AF115" i="56" s="1" a="1"/>
  <c r="AF115" i="56" s="1"/>
  <c r="AG115" i="56" s="1" a="1"/>
  <c r="AG115" i="56" s="1"/>
  <c r="AH115" i="56" s="1" a="1"/>
  <c r="AH115" i="56" s="1"/>
  <c r="AI115" i="56" s="1" a="1"/>
  <c r="AI115" i="56" s="1"/>
  <c r="AJ115" i="56" s="1" a="1"/>
  <c r="AJ115" i="56" s="1"/>
  <c r="AK115" i="56" s="1" a="1"/>
  <c r="AK115" i="56" s="1"/>
  <c r="AL115" i="56" s="1" a="1"/>
  <c r="AL115" i="56" s="1"/>
  <c r="AM115" i="56" s="1" a="1"/>
  <c r="AM115" i="56" s="1"/>
  <c r="AN115" i="56" s="1" a="1"/>
  <c r="AN115" i="56" s="1"/>
  <c r="W115" i="56" a="1"/>
  <c r="W115" i="56" s="1"/>
  <c r="X115" i="56" s="1" a="1"/>
  <c r="X115" i="56" s="1"/>
  <c r="Y115" i="56" s="1" a="1"/>
  <c r="Y115" i="56" s="1"/>
  <c r="Z115" i="56" s="1" a="1"/>
  <c r="Z115" i="56" s="1"/>
  <c r="AA115" i="56" s="1" a="1"/>
  <c r="AA115" i="56" s="1"/>
  <c r="AB115" i="56" s="1" a="1"/>
  <c r="AB115" i="56" s="1"/>
  <c r="AC115" i="56" s="1" a="1"/>
  <c r="AC115" i="56" s="1"/>
  <c r="AD115" i="56" s="1" a="1"/>
  <c r="AD115" i="56" s="1"/>
  <c r="W118" i="56" a="1"/>
  <c r="W118" i="56" s="1"/>
  <c r="X118" i="56" s="1" a="1"/>
  <c r="X118" i="56" s="1"/>
  <c r="Y118" i="56" s="1" a="1"/>
  <c r="Y118" i="56" s="1"/>
  <c r="Z118" i="56" s="1" a="1"/>
  <c r="Z118" i="56" s="1"/>
  <c r="AA118" i="56" s="1" a="1"/>
  <c r="AA118" i="56" s="1"/>
  <c r="AB118" i="56" s="1" a="1"/>
  <c r="AB118" i="56" s="1"/>
  <c r="AC118" i="56" s="1" a="1"/>
  <c r="AC118" i="56" s="1"/>
  <c r="AD118" i="56" s="1" a="1"/>
  <c r="AD118" i="56" s="1"/>
  <c r="L83" i="56"/>
  <c r="AE116" i="56" a="1"/>
  <c r="AE116" i="56" s="1"/>
  <c r="AF116" i="56" s="1" a="1"/>
  <c r="AF116" i="56" s="1"/>
  <c r="AG116" i="56" s="1" a="1"/>
  <c r="AG116" i="56" s="1"/>
  <c r="AH116" i="56" s="1" a="1"/>
  <c r="AH116" i="56" s="1"/>
  <c r="AI116" i="56" s="1" a="1"/>
  <c r="AI116" i="56" s="1"/>
  <c r="AJ116" i="56" s="1" a="1"/>
  <c r="AJ116" i="56" s="1"/>
  <c r="AK116" i="56" s="1" a="1"/>
  <c r="AK116" i="56" s="1"/>
  <c r="AL116" i="56" s="1" a="1"/>
  <c r="AL116" i="56" s="1"/>
  <c r="AM116" i="56" s="1" a="1"/>
  <c r="AM116" i="56" s="1"/>
  <c r="AN116" i="56" s="1" a="1"/>
  <c r="AN116" i="56" s="1"/>
  <c r="AE113" i="56" a="1"/>
  <c r="AE113" i="56" s="1"/>
  <c r="AF113" i="56" s="1" a="1"/>
  <c r="AF113" i="56" s="1"/>
  <c r="AG113" i="56" s="1" a="1"/>
  <c r="AG113" i="56" s="1"/>
  <c r="AH113" i="56" s="1" a="1"/>
  <c r="AH113" i="56" s="1"/>
  <c r="AI113" i="56" s="1" a="1"/>
  <c r="AI113" i="56" s="1"/>
  <c r="AJ113" i="56" s="1" a="1"/>
  <c r="AJ113" i="56" s="1"/>
  <c r="AK113" i="56" s="1" a="1"/>
  <c r="AK113" i="56" s="1"/>
  <c r="AL113" i="56" s="1" a="1"/>
  <c r="AL113" i="56" s="1"/>
  <c r="AM113" i="56" s="1" a="1"/>
  <c r="AM113" i="56" s="1"/>
  <c r="AN113" i="56" s="1" a="1"/>
  <c r="AN113" i="56" s="1"/>
  <c r="L81" i="56"/>
  <c r="L78" i="56"/>
  <c r="W114" i="56" a="1"/>
  <c r="W114" i="56" s="1"/>
  <c r="X114" i="56" s="1" a="1"/>
  <c r="X114" i="56" s="1"/>
  <c r="Y114" i="56" s="1" a="1"/>
  <c r="Y114" i="56" s="1"/>
  <c r="Z114" i="56" s="1" a="1"/>
  <c r="Z114" i="56" s="1"/>
  <c r="AA114" i="56" s="1" a="1"/>
  <c r="AA114" i="56" s="1"/>
  <c r="AB114" i="56" s="1" a="1"/>
  <c r="AB114" i="56" s="1"/>
  <c r="AC114" i="56" s="1" a="1"/>
  <c r="AC114" i="56" s="1"/>
  <c r="AD114" i="56" s="1" a="1"/>
  <c r="AD114" i="56" s="1"/>
  <c r="W120" i="56" a="1"/>
  <c r="W120" i="56" s="1"/>
  <c r="X120" i="56" s="1" a="1"/>
  <c r="X120" i="56" s="1"/>
  <c r="Y120" i="56" s="1" a="1"/>
  <c r="Y120" i="56" s="1"/>
  <c r="Z120" i="56" s="1" a="1"/>
  <c r="Z120" i="56" s="1"/>
  <c r="AA120" i="56" s="1" a="1"/>
  <c r="AA120" i="56" s="1"/>
  <c r="AB120" i="56" s="1" a="1"/>
  <c r="AB120" i="56" s="1"/>
  <c r="AC120" i="56" s="1" a="1"/>
  <c r="AC120" i="56" s="1"/>
  <c r="AD120" i="56" s="1" a="1"/>
  <c r="AD120" i="56" s="1"/>
  <c r="AE120" i="56" a="1"/>
  <c r="AE120" i="56" s="1"/>
  <c r="AF120" i="56" s="1" a="1"/>
  <c r="AF120" i="56" s="1"/>
  <c r="AG120" i="56" s="1" a="1"/>
  <c r="AG120" i="56" s="1"/>
  <c r="AH120" i="56" s="1" a="1"/>
  <c r="AH120" i="56" s="1"/>
  <c r="AI120" i="56" s="1" a="1"/>
  <c r="AI120" i="56" s="1"/>
  <c r="AJ120" i="56" s="1" a="1"/>
  <c r="AJ120" i="56" s="1"/>
  <c r="AK120" i="56" s="1" a="1"/>
  <c r="AK120" i="56" s="1"/>
  <c r="AL120" i="56" s="1" a="1"/>
  <c r="AL120" i="56" s="1"/>
  <c r="AM120" i="56" s="1" a="1"/>
  <c r="AM120" i="56" s="1"/>
  <c r="AN120" i="56" s="1" a="1"/>
  <c r="AN120" i="56" s="1"/>
  <c r="L85" i="56"/>
  <c r="L80" i="56"/>
  <c r="L84" i="56"/>
  <c r="AE114" i="56" a="1"/>
  <c r="AE114" i="56" s="1"/>
  <c r="AF114" i="56" s="1" a="1"/>
  <c r="AF114" i="56" s="1"/>
  <c r="AG114" i="56" s="1" a="1"/>
  <c r="AG114" i="56" s="1"/>
  <c r="AH114" i="56" s="1" a="1"/>
  <c r="AH114" i="56" s="1"/>
  <c r="AI114" i="56" s="1" a="1"/>
  <c r="AI114" i="56" s="1"/>
  <c r="AJ114" i="56" s="1" a="1"/>
  <c r="AJ114" i="56" s="1"/>
  <c r="AK114" i="56" s="1" a="1"/>
  <c r="AK114" i="56" s="1"/>
  <c r="AL114" i="56" s="1" a="1"/>
  <c r="AL114" i="56" s="1"/>
  <c r="AM114" i="56" s="1" a="1"/>
  <c r="AM114" i="56" s="1"/>
  <c r="AN114" i="56" s="1" a="1"/>
  <c r="AN114" i="56" s="1"/>
  <c r="L79" i="56"/>
  <c r="W117" i="56" a="1"/>
  <c r="W117" i="56" s="1"/>
  <c r="X117" i="56" s="1" a="1"/>
  <c r="X117" i="56" s="1"/>
  <c r="Y117" i="56" s="1" a="1"/>
  <c r="Y117" i="56" s="1"/>
  <c r="Z117" i="56" s="1" a="1"/>
  <c r="Z117" i="56" s="1"/>
  <c r="AA117" i="56" s="1" a="1"/>
  <c r="AA117" i="56" s="1"/>
  <c r="AB117" i="56" s="1" a="1"/>
  <c r="AB117" i="56" s="1"/>
  <c r="AC117" i="56" s="1" a="1"/>
  <c r="AC117" i="56" s="1"/>
  <c r="AD117" i="56" s="1" a="1"/>
  <c r="AD117" i="56" s="1"/>
  <c r="AE117" i="56" a="1"/>
  <c r="AE117" i="56" s="1"/>
  <c r="AF117" i="56" s="1" a="1"/>
  <c r="AF117" i="56" s="1"/>
  <c r="AG117" i="56" s="1" a="1"/>
  <c r="AG117" i="56" s="1"/>
  <c r="AH117" i="56" s="1" a="1"/>
  <c r="AH117" i="56" s="1"/>
  <c r="AI117" i="56" s="1" a="1"/>
  <c r="AI117" i="56" s="1"/>
  <c r="AJ117" i="56" s="1" a="1"/>
  <c r="AJ117" i="56" s="1"/>
  <c r="AK117" i="56" s="1" a="1"/>
  <c r="AK117" i="56" s="1"/>
  <c r="AL117" i="56" s="1" a="1"/>
  <c r="AL117" i="56" s="1"/>
  <c r="AM117" i="56" s="1" a="1"/>
  <c r="AM117" i="56" s="1"/>
  <c r="AN117" i="56" s="1" a="1"/>
  <c r="AN117" i="56" s="1"/>
  <c r="L82" i="56"/>
  <c r="W119" i="56" a="1"/>
  <c r="W119" i="56" s="1"/>
  <c r="X119" i="56" s="1" a="1"/>
  <c r="X119" i="56" s="1"/>
  <c r="Y119" i="56" s="1" a="1"/>
  <c r="Y119" i="56" s="1"/>
  <c r="Z119" i="56" s="1" a="1"/>
  <c r="Z119" i="56" s="1"/>
  <c r="AA119" i="56" s="1" a="1"/>
  <c r="AA119" i="56" s="1"/>
  <c r="AB119" i="56" s="1" a="1"/>
  <c r="AB119" i="56" s="1"/>
  <c r="AC119" i="56" s="1" a="1"/>
  <c r="AC119" i="56" s="1"/>
  <c r="AD119" i="56" s="1" a="1"/>
  <c r="AD119" i="56" s="1"/>
  <c r="N100" i="56"/>
  <c r="N98" i="56"/>
  <c r="N95" i="56"/>
  <c r="N101" i="56"/>
  <c r="N96" i="56"/>
  <c r="N99" i="56"/>
  <c r="AE119" i="56" a="1"/>
  <c r="AE119" i="56" s="1"/>
  <c r="AF119" i="56" s="1" a="1"/>
  <c r="AF119" i="56" s="1"/>
  <c r="AG119" i="56" s="1" a="1"/>
  <c r="AG119" i="56" s="1"/>
  <c r="AH119" i="56" s="1" a="1"/>
  <c r="AH119" i="56" s="1"/>
  <c r="AI119" i="56" s="1" a="1"/>
  <c r="AI119" i="56" s="1"/>
  <c r="AJ119" i="56" s="1" a="1"/>
  <c r="AJ119" i="56" s="1"/>
  <c r="AK119" i="56" s="1" a="1"/>
  <c r="AK119" i="56" s="1"/>
  <c r="AL119" i="56" s="1" a="1"/>
  <c r="AL119" i="56" s="1"/>
  <c r="AM119" i="56" s="1" a="1"/>
  <c r="AM119" i="56" s="1"/>
  <c r="AN119" i="56" s="1" a="1"/>
  <c r="AN119" i="56" s="1"/>
  <c r="N97" i="56"/>
  <c r="N94" i="56"/>
  <c r="J49" i="57"/>
  <c r="T49" i="57" s="1"/>
  <c r="T50" i="57" s="1"/>
  <c r="AQ77" i="56"/>
  <c r="AC50" i="57"/>
  <c r="AC51" i="57" s="1"/>
  <c r="AF111" i="56" a="1"/>
  <c r="AF111" i="56" s="1"/>
  <c r="AG111" i="56" s="1" a="1"/>
  <c r="AG111" i="56" s="1"/>
  <c r="AH111" i="56" s="1" a="1"/>
  <c r="AH111" i="56" s="1"/>
  <c r="AI111" i="56" s="1" a="1"/>
  <c r="AI111" i="56" s="1"/>
  <c r="AJ111" i="56" s="1" a="1"/>
  <c r="AJ111" i="56" s="1"/>
  <c r="AK111" i="56" s="1" a="1"/>
  <c r="AK111" i="56" s="1"/>
  <c r="AL111" i="56" s="1" a="1"/>
  <c r="AL111" i="56" s="1"/>
  <c r="AM111" i="56" s="1" a="1"/>
  <c r="AM111" i="56" s="1"/>
  <c r="AN111" i="56" s="1" a="1"/>
  <c r="AN111" i="56" s="1"/>
  <c r="AO111" i="56" a="1"/>
  <c r="AO111" i="56" s="1"/>
  <c r="AO120" i="56" a="1"/>
  <c r="AO120" i="56" s="1"/>
  <c r="AO185" i="56" a="1"/>
  <c r="AO185" i="56" s="1"/>
  <c r="AP185" i="56" s="1" a="1"/>
  <c r="AP185" i="56" s="1"/>
  <c r="AQ185" i="56" s="1" a="1"/>
  <c r="AQ185" i="56" s="1"/>
  <c r="AN185" i="56" a="1"/>
  <c r="AN185" i="56" s="1"/>
  <c r="AO183" i="56" a="1"/>
  <c r="AO183" i="56" s="1"/>
  <c r="AP183" i="56" s="1" a="1"/>
  <c r="AP183" i="56" s="1"/>
  <c r="AQ183" i="56" s="1" a="1"/>
  <c r="AQ183" i="56" s="1"/>
  <c r="AN183" i="56" a="1"/>
  <c r="AN183" i="56" s="1"/>
  <c r="AN176" i="56" a="1"/>
  <c r="AN176" i="56" s="1"/>
  <c r="AO176" i="56" a="1"/>
  <c r="AO176" i="56" s="1"/>
  <c r="AP176" i="56" s="1" a="1"/>
  <c r="AP176" i="56" s="1"/>
  <c r="AQ176" i="56" s="1" a="1"/>
  <c r="AQ176" i="56" s="1"/>
  <c r="AN179" i="56" a="1"/>
  <c r="AN179" i="56" s="1"/>
  <c r="AO179" i="56" a="1"/>
  <c r="AO179" i="56" s="1"/>
  <c r="AP179" i="56" s="1" a="1"/>
  <c r="AP179" i="56" s="1"/>
  <c r="AQ179" i="56" s="1" a="1"/>
  <c r="AQ179" i="56" s="1"/>
  <c r="AO178" i="56" a="1"/>
  <c r="AO178" i="56" s="1"/>
  <c r="AP178" i="56" s="1" a="1"/>
  <c r="AP178" i="56" s="1"/>
  <c r="AQ178" i="56" s="1" a="1"/>
  <c r="AQ178" i="56" s="1"/>
  <c r="AN178" i="56" a="1"/>
  <c r="AN178" i="56" s="1"/>
  <c r="AN180" i="56" a="1"/>
  <c r="AN180" i="56" s="1"/>
  <c r="AO180" i="56" a="1"/>
  <c r="AO180" i="56" s="1"/>
  <c r="AP180" i="56" s="1" a="1"/>
  <c r="AP180" i="56" s="1"/>
  <c r="AQ180" i="56" s="1" a="1"/>
  <c r="AQ180" i="56" s="1"/>
  <c r="AO115" i="56" a="1"/>
  <c r="AO115" i="56" s="1"/>
  <c r="AP123" i="56" a="1"/>
  <c r="AP123" i="56" s="1"/>
  <c r="AQ123" i="56" s="1" a="1"/>
  <c r="AQ123" i="56" s="1"/>
  <c r="AR123" i="56" s="1" a="1"/>
  <c r="AR123" i="56" s="1"/>
  <c r="AS123" i="56" s="1" a="1"/>
  <c r="AS123" i="56" s="1"/>
  <c r="AT123" i="56" s="1" a="1"/>
  <c r="AT123" i="56" s="1"/>
  <c r="AU123" i="56" s="1" a="1"/>
  <c r="AU123" i="56" s="1"/>
  <c r="AV123" i="56" s="1" a="1"/>
  <c r="AV123" i="56" s="1"/>
  <c r="AW123" i="56" s="1" a="1"/>
  <c r="AW123" i="56" s="1"/>
  <c r="AX123" i="56" s="1" a="1"/>
  <c r="AX123" i="56" s="1"/>
  <c r="AY123" i="56" a="1"/>
  <c r="AY123" i="56" s="1"/>
  <c r="AZ123" i="56" s="1" a="1"/>
  <c r="AZ123" i="56" s="1"/>
  <c r="BA123" i="56" s="1" a="1"/>
  <c r="BA123" i="56" s="1"/>
  <c r="AN182" i="56" a="1"/>
  <c r="AN182" i="56" s="1"/>
  <c r="AO182" i="56" a="1"/>
  <c r="AO182" i="56" s="1"/>
  <c r="AP182" i="56" s="1" a="1"/>
  <c r="AP182" i="56" s="1"/>
  <c r="AQ182" i="56" s="1" a="1"/>
  <c r="AQ182" i="56" s="1"/>
  <c r="AO113" i="56" a="1"/>
  <c r="AO113" i="56" s="1"/>
  <c r="AO117" i="56" a="1"/>
  <c r="AO117" i="56" s="1"/>
  <c r="AO118" i="56" a="1"/>
  <c r="AO118" i="56" s="1"/>
  <c r="AO116" i="56" a="1"/>
  <c r="AO116" i="56" s="1"/>
  <c r="AF121" i="56" a="1"/>
  <c r="AF121" i="56" s="1"/>
  <c r="AG121" i="56" s="1" a="1"/>
  <c r="AG121" i="56" s="1"/>
  <c r="AH121" i="56" s="1" a="1"/>
  <c r="AH121" i="56" s="1"/>
  <c r="AI121" i="56" s="1" a="1"/>
  <c r="AI121" i="56" s="1"/>
  <c r="AJ121" i="56" s="1" a="1"/>
  <c r="AJ121" i="56" s="1"/>
  <c r="AK121" i="56" s="1" a="1"/>
  <c r="AK121" i="56" s="1"/>
  <c r="AL121" i="56" s="1" a="1"/>
  <c r="AL121" i="56" s="1"/>
  <c r="AM121" i="56" s="1" a="1"/>
  <c r="AM121" i="56" s="1"/>
  <c r="AN121" i="56" s="1" a="1"/>
  <c r="AN121" i="56" s="1"/>
  <c r="AO121" i="56" a="1"/>
  <c r="AO121" i="56" s="1"/>
  <c r="AN184" i="56" a="1"/>
  <c r="AN184" i="56" s="1"/>
  <c r="AO184" i="56" a="1"/>
  <c r="AO184" i="56" s="1"/>
  <c r="AP184" i="56" s="1" a="1"/>
  <c r="AP184" i="56" s="1"/>
  <c r="AQ184" i="56" s="1" a="1"/>
  <c r="AQ184" i="56" s="1"/>
  <c r="AO119" i="56" a="1"/>
  <c r="AO119" i="56" s="1"/>
  <c r="AO181" i="56" a="1"/>
  <c r="AO181" i="56" s="1"/>
  <c r="AP181" i="56" s="1" a="1"/>
  <c r="AP181" i="56" s="1"/>
  <c r="AQ181" i="56" s="1" a="1"/>
  <c r="AQ181" i="56" s="1"/>
  <c r="AN181" i="56" a="1"/>
  <c r="AN181" i="56" s="1"/>
  <c r="AO114" i="56" a="1"/>
  <c r="AO114" i="56" s="1"/>
  <c r="R111" i="57"/>
  <c r="AA111" i="57" s="1"/>
  <c r="I111" i="57" s="1"/>
  <c r="AA110" i="57"/>
  <c r="I110" i="57" s="1"/>
  <c r="J57" i="57"/>
  <c r="S58" i="57"/>
  <c r="S61" i="57" s="1"/>
  <c r="S110" i="57"/>
  <c r="AB50" i="57"/>
  <c r="J50" i="57" s="1"/>
  <c r="S51" i="57"/>
  <c r="AB51" i="57" s="1"/>
  <c r="J51" i="57" s="1"/>
  <c r="AB58" i="57"/>
  <c r="AB59" i="57" s="1"/>
  <c r="AB60" i="57" s="1"/>
  <c r="AA58" i="57"/>
  <c r="AA59" i="57" s="1"/>
  <c r="AA60" i="57" s="1"/>
  <c r="V92" i="56"/>
  <c r="T86" i="56"/>
  <c r="AL78" i="56" s="1"/>
  <c r="R59" i="57"/>
  <c r="AD49" i="57"/>
  <c r="R61" i="57"/>
  <c r="N99" i="47"/>
  <c r="Q137" i="56"/>
  <c r="N87" i="47" s="1"/>
  <c r="R149" i="56"/>
  <c r="AN168" i="58"/>
  <c r="AN169" i="58"/>
  <c r="AN36" i="58"/>
  <c r="AN41" i="58" s="1"/>
  <c r="AO35" i="58"/>
  <c r="AP24" i="58"/>
  <c r="AQ23" i="58"/>
  <c r="AP31" i="58"/>
  <c r="AP34" i="58" s="1"/>
  <c r="AK77" i="56"/>
  <c r="AK80" i="56" s="1"/>
  <c r="AK81" i="56" s="1"/>
  <c r="M78" i="56"/>
  <c r="M83" i="56"/>
  <c r="M84" i="56"/>
  <c r="M80" i="56"/>
  <c r="M82" i="56"/>
  <c r="M85" i="56"/>
  <c r="M79" i="56"/>
  <c r="M81" i="56"/>
  <c r="M76" i="56"/>
  <c r="AB84" i="47"/>
  <c r="AB86" i="47"/>
  <c r="AC108" i="47"/>
  <c r="AA85" i="47"/>
  <c r="Q186" i="56"/>
  <c r="U53" i="56"/>
  <c r="U80" i="56" s="1"/>
  <c r="U96" i="56" s="1"/>
  <c r="U55" i="56"/>
  <c r="U82" i="56" s="1"/>
  <c r="U98" i="56" s="1"/>
  <c r="U54" i="56"/>
  <c r="U81" i="56" s="1"/>
  <c r="U97" i="56" s="1"/>
  <c r="U57" i="56"/>
  <c r="U84" i="56" s="1"/>
  <c r="U100" i="56" s="1"/>
  <c r="U59" i="56"/>
  <c r="U51" i="56"/>
  <c r="U78" i="56" s="1"/>
  <c r="U94" i="56" s="1"/>
  <c r="U58" i="56"/>
  <c r="U85" i="56" s="1"/>
  <c r="U101" i="56" s="1"/>
  <c r="U56" i="56"/>
  <c r="U83" i="56" s="1"/>
  <c r="U99" i="56" s="1"/>
  <c r="U52" i="56"/>
  <c r="U79" i="56" s="1"/>
  <c r="U95" i="56" s="1"/>
  <c r="Q129" i="47"/>
  <c r="U31" i="55"/>
  <c r="AC43" i="56"/>
  <c r="U36" i="55"/>
  <c r="Q133" i="47"/>
  <c r="N88" i="56"/>
  <c r="R131" i="47"/>
  <c r="V32" i="55"/>
  <c r="Q135" i="47"/>
  <c r="V37" i="55"/>
  <c r="R134" i="47"/>
  <c r="V33" i="55"/>
  <c r="R130" i="47"/>
  <c r="W28" i="55"/>
  <c r="S127" i="47"/>
  <c r="N92" i="56"/>
  <c r="R128" i="47"/>
  <c r="V34" i="55"/>
  <c r="AB53" i="56"/>
  <c r="AB80" i="56" s="1"/>
  <c r="AB96" i="56" s="1"/>
  <c r="AB57" i="56"/>
  <c r="AB84" i="56" s="1"/>
  <c r="AB100" i="56" s="1"/>
  <c r="AB55" i="56"/>
  <c r="AB82" i="56" s="1"/>
  <c r="AB98" i="56" s="1"/>
  <c r="AB59" i="56"/>
  <c r="AB86" i="56" s="1"/>
  <c r="AB51" i="56"/>
  <c r="AB78" i="56" s="1"/>
  <c r="AB94" i="56" s="1"/>
  <c r="AB56" i="56"/>
  <c r="AB83" i="56" s="1"/>
  <c r="AB99" i="56" s="1"/>
  <c r="AB54" i="56"/>
  <c r="AB81" i="56" s="1"/>
  <c r="AB97" i="56" s="1"/>
  <c r="AB58" i="56"/>
  <c r="AB85" i="56" s="1"/>
  <c r="AB101" i="56" s="1"/>
  <c r="AB52" i="56"/>
  <c r="AB79" i="56" s="1"/>
  <c r="AB95" i="56" s="1"/>
  <c r="AC60" i="56"/>
  <c r="N102" i="56"/>
  <c r="N86" i="56"/>
  <c r="AT78" i="56" s="1"/>
  <c r="AG9" i="47"/>
  <c r="AK24" i="35"/>
  <c r="AH6" i="47"/>
  <c r="AL25" i="35"/>
  <c r="AK26" i="35"/>
  <c r="AG7" i="47"/>
  <c r="AK23" i="35"/>
  <c r="AG8" i="47"/>
  <c r="AK22" i="35"/>
  <c r="AG5" i="47"/>
  <c r="K49" i="57" l="1"/>
  <c r="U49" i="57" s="1"/>
  <c r="U50" i="57" s="1"/>
  <c r="U110" i="57" s="1"/>
  <c r="U111" i="57" s="1"/>
  <c r="T57" i="57"/>
  <c r="K57" i="57" s="1"/>
  <c r="AC110" i="57"/>
  <c r="AR77" i="56"/>
  <c r="AP118" i="56" a="1"/>
  <c r="AP118" i="56" s="1"/>
  <c r="AQ118" i="56" s="1" a="1"/>
  <c r="AQ118" i="56" s="1"/>
  <c r="AR118" i="56" s="1" a="1"/>
  <c r="AR118" i="56" s="1"/>
  <c r="AS118" i="56" s="1" a="1"/>
  <c r="AS118" i="56" s="1"/>
  <c r="AT118" i="56" s="1" a="1"/>
  <c r="AT118" i="56" s="1"/>
  <c r="AU118" i="56" s="1" a="1"/>
  <c r="AU118" i="56" s="1"/>
  <c r="AV118" i="56" s="1" a="1"/>
  <c r="AV118" i="56" s="1"/>
  <c r="AW118" i="56" s="1" a="1"/>
  <c r="AW118" i="56" s="1"/>
  <c r="AX118" i="56" s="1" a="1"/>
  <c r="AX118" i="56" s="1"/>
  <c r="AY118" i="56" a="1"/>
  <c r="AY118" i="56" s="1"/>
  <c r="AZ118" i="56" s="1" a="1"/>
  <c r="AZ118" i="56" s="1"/>
  <c r="BA118" i="56" s="1" a="1"/>
  <c r="BA118" i="56" s="1"/>
  <c r="AP111" i="56" a="1"/>
  <c r="AP111" i="56" s="1"/>
  <c r="AQ111" i="56" s="1" a="1"/>
  <c r="AQ111" i="56" s="1"/>
  <c r="AR111" i="56" s="1" a="1"/>
  <c r="AR111" i="56" s="1"/>
  <c r="AS111" i="56" s="1" a="1"/>
  <c r="AS111" i="56" s="1"/>
  <c r="AT111" i="56" s="1" a="1"/>
  <c r="AT111" i="56" s="1"/>
  <c r="AU111" i="56" s="1" a="1"/>
  <c r="AU111" i="56" s="1"/>
  <c r="AV111" i="56" s="1" a="1"/>
  <c r="AV111" i="56" s="1"/>
  <c r="AW111" i="56" s="1" a="1"/>
  <c r="AW111" i="56" s="1"/>
  <c r="AX111" i="56" s="1" a="1"/>
  <c r="AX111" i="56" s="1"/>
  <c r="AY111" i="56" a="1"/>
  <c r="AY111" i="56" s="1"/>
  <c r="AZ111" i="56" s="1" a="1"/>
  <c r="AZ111" i="56" s="1"/>
  <c r="BA111" i="56" s="1" a="1"/>
  <c r="BA111" i="56" s="1"/>
  <c r="N85" i="56"/>
  <c r="AP120" i="56" a="1"/>
  <c r="AP120" i="56" s="1"/>
  <c r="AQ120" i="56" s="1" a="1"/>
  <c r="AQ120" i="56" s="1"/>
  <c r="AR120" i="56" s="1" a="1"/>
  <c r="AR120" i="56" s="1"/>
  <c r="AS120" i="56" s="1" a="1"/>
  <c r="AS120" i="56" s="1"/>
  <c r="AT120" i="56" s="1" a="1"/>
  <c r="AT120" i="56" s="1"/>
  <c r="AU120" i="56" s="1" a="1"/>
  <c r="AU120" i="56" s="1"/>
  <c r="AV120" i="56" s="1" a="1"/>
  <c r="AV120" i="56" s="1"/>
  <c r="AW120" i="56" s="1" a="1"/>
  <c r="AW120" i="56" s="1"/>
  <c r="AX120" i="56" s="1" a="1"/>
  <c r="AX120" i="56" s="1"/>
  <c r="AY120" i="56" a="1"/>
  <c r="AY120" i="56" s="1"/>
  <c r="AZ120" i="56" s="1" a="1"/>
  <c r="AZ120" i="56" s="1"/>
  <c r="BA120" i="56" s="1" a="1"/>
  <c r="BA120" i="56" s="1"/>
  <c r="AP117" i="56" a="1"/>
  <c r="AP117" i="56" s="1"/>
  <c r="AQ117" i="56" s="1" a="1"/>
  <c r="AQ117" i="56" s="1"/>
  <c r="AR117" i="56" s="1" a="1"/>
  <c r="AR117" i="56" s="1"/>
  <c r="AS117" i="56" s="1" a="1"/>
  <c r="AS117" i="56" s="1"/>
  <c r="AT117" i="56" s="1" a="1"/>
  <c r="AT117" i="56" s="1"/>
  <c r="AU117" i="56" s="1" a="1"/>
  <c r="AU117" i="56" s="1"/>
  <c r="AV117" i="56" s="1" a="1"/>
  <c r="AV117" i="56" s="1"/>
  <c r="AW117" i="56" s="1" a="1"/>
  <c r="AW117" i="56" s="1"/>
  <c r="AX117" i="56" s="1" a="1"/>
  <c r="AX117" i="56" s="1"/>
  <c r="AY117" i="56" a="1"/>
  <c r="AY117" i="56" s="1"/>
  <c r="AZ117" i="56" s="1" a="1"/>
  <c r="AZ117" i="56" s="1"/>
  <c r="BA117" i="56" s="1" a="1"/>
  <c r="BA117" i="56" s="1"/>
  <c r="AP113" i="56" a="1"/>
  <c r="AP113" i="56" s="1"/>
  <c r="AQ113" i="56" s="1" a="1"/>
  <c r="AQ113" i="56" s="1"/>
  <c r="AR113" i="56" s="1" a="1"/>
  <c r="AR113" i="56" s="1"/>
  <c r="AS113" i="56" s="1" a="1"/>
  <c r="AS113" i="56" s="1"/>
  <c r="AT113" i="56" s="1" a="1"/>
  <c r="AT113" i="56" s="1"/>
  <c r="AU113" i="56" s="1" a="1"/>
  <c r="AU113" i="56" s="1"/>
  <c r="AV113" i="56" s="1" a="1"/>
  <c r="AV113" i="56" s="1"/>
  <c r="AW113" i="56" s="1" a="1"/>
  <c r="AW113" i="56" s="1"/>
  <c r="AX113" i="56" s="1" a="1"/>
  <c r="AX113" i="56" s="1"/>
  <c r="AY113" i="56" a="1"/>
  <c r="AY113" i="56" s="1"/>
  <c r="AZ113" i="56" s="1" a="1"/>
  <c r="AZ113" i="56" s="1"/>
  <c r="BA113" i="56" s="1" a="1"/>
  <c r="BA113" i="56" s="1"/>
  <c r="AP121" i="56" a="1"/>
  <c r="AP121" i="56" s="1"/>
  <c r="AQ121" i="56" s="1" a="1"/>
  <c r="AQ121" i="56" s="1"/>
  <c r="AR121" i="56" s="1" a="1"/>
  <c r="AR121" i="56" s="1"/>
  <c r="AS121" i="56" s="1" a="1"/>
  <c r="AS121" i="56" s="1"/>
  <c r="AT121" i="56" s="1" a="1"/>
  <c r="AT121" i="56" s="1"/>
  <c r="AU121" i="56" s="1" a="1"/>
  <c r="AU121" i="56" s="1"/>
  <c r="AV121" i="56" s="1" a="1"/>
  <c r="AV121" i="56" s="1"/>
  <c r="AW121" i="56" s="1" a="1"/>
  <c r="AW121" i="56" s="1"/>
  <c r="AX121" i="56" s="1" a="1"/>
  <c r="AX121" i="56" s="1"/>
  <c r="AY121" i="56" a="1"/>
  <c r="AY121" i="56" s="1"/>
  <c r="AZ121" i="56" s="1" a="1"/>
  <c r="AZ121" i="56" s="1"/>
  <c r="BA121" i="56" s="1" a="1"/>
  <c r="BA121" i="56" s="1"/>
  <c r="AP115" i="56" a="1"/>
  <c r="AP115" i="56" s="1"/>
  <c r="AQ115" i="56" s="1" a="1"/>
  <c r="AQ115" i="56" s="1"/>
  <c r="AR115" i="56" s="1" a="1"/>
  <c r="AR115" i="56" s="1"/>
  <c r="AS115" i="56" s="1" a="1"/>
  <c r="AS115" i="56" s="1"/>
  <c r="AT115" i="56" s="1" a="1"/>
  <c r="AT115" i="56" s="1"/>
  <c r="AU115" i="56" s="1" a="1"/>
  <c r="AU115" i="56" s="1"/>
  <c r="AV115" i="56" s="1" a="1"/>
  <c r="AV115" i="56" s="1"/>
  <c r="AW115" i="56" s="1" a="1"/>
  <c r="AW115" i="56" s="1"/>
  <c r="AX115" i="56" s="1" a="1"/>
  <c r="AX115" i="56" s="1"/>
  <c r="AY115" i="56" a="1"/>
  <c r="AY115" i="56" s="1"/>
  <c r="AZ115" i="56" s="1" a="1"/>
  <c r="AZ115" i="56" s="1"/>
  <c r="BA115" i="56" s="1" a="1"/>
  <c r="BA115" i="56" s="1"/>
  <c r="AP114" i="56" a="1"/>
  <c r="AP114" i="56" s="1"/>
  <c r="AQ114" i="56" s="1" a="1"/>
  <c r="AQ114" i="56" s="1"/>
  <c r="AR114" i="56" s="1" a="1"/>
  <c r="AR114" i="56" s="1"/>
  <c r="AS114" i="56" s="1" a="1"/>
  <c r="AS114" i="56" s="1"/>
  <c r="AT114" i="56" s="1" a="1"/>
  <c r="AT114" i="56" s="1"/>
  <c r="AU114" i="56" s="1" a="1"/>
  <c r="AU114" i="56" s="1"/>
  <c r="AV114" i="56" s="1" a="1"/>
  <c r="AV114" i="56" s="1"/>
  <c r="AW114" i="56" s="1" a="1"/>
  <c r="AW114" i="56" s="1"/>
  <c r="AX114" i="56" s="1" a="1"/>
  <c r="AX114" i="56" s="1"/>
  <c r="AY114" i="56" a="1"/>
  <c r="AY114" i="56" s="1"/>
  <c r="AZ114" i="56" s="1" a="1"/>
  <c r="AZ114" i="56" s="1"/>
  <c r="BA114" i="56" s="1" a="1"/>
  <c r="BA114" i="56" s="1"/>
  <c r="AP119" i="56" a="1"/>
  <c r="AP119" i="56" s="1"/>
  <c r="AQ119" i="56" s="1" a="1"/>
  <c r="AQ119" i="56" s="1"/>
  <c r="AR119" i="56" s="1" a="1"/>
  <c r="AR119" i="56" s="1"/>
  <c r="AS119" i="56" s="1" a="1"/>
  <c r="AS119" i="56" s="1"/>
  <c r="AT119" i="56" s="1" a="1"/>
  <c r="AT119" i="56" s="1"/>
  <c r="AU119" i="56" s="1" a="1"/>
  <c r="AU119" i="56" s="1"/>
  <c r="AV119" i="56" s="1" a="1"/>
  <c r="AV119" i="56" s="1"/>
  <c r="AW119" i="56" s="1" a="1"/>
  <c r="AW119" i="56" s="1"/>
  <c r="AX119" i="56" s="1" a="1"/>
  <c r="AX119" i="56" s="1"/>
  <c r="AY119" i="56" a="1"/>
  <c r="AY119" i="56" s="1"/>
  <c r="AZ119" i="56" s="1" a="1"/>
  <c r="AZ119" i="56" s="1"/>
  <c r="BA119" i="56" s="1" a="1"/>
  <c r="BA119" i="56" s="1"/>
  <c r="AP116" i="56" a="1"/>
  <c r="AP116" i="56" s="1"/>
  <c r="AQ116" i="56" s="1" a="1"/>
  <c r="AQ116" i="56" s="1"/>
  <c r="AR116" i="56" s="1" a="1"/>
  <c r="AR116" i="56" s="1"/>
  <c r="AS116" i="56" s="1" a="1"/>
  <c r="AS116" i="56" s="1"/>
  <c r="AT116" i="56" s="1" a="1"/>
  <c r="AT116" i="56" s="1"/>
  <c r="AU116" i="56" s="1" a="1"/>
  <c r="AU116" i="56" s="1"/>
  <c r="AV116" i="56" s="1" a="1"/>
  <c r="AV116" i="56" s="1"/>
  <c r="AW116" i="56" s="1" a="1"/>
  <c r="AW116" i="56" s="1"/>
  <c r="AX116" i="56" s="1" a="1"/>
  <c r="AX116" i="56" s="1"/>
  <c r="AY116" i="56" a="1"/>
  <c r="AY116" i="56" s="1"/>
  <c r="AZ116" i="56" s="1" a="1"/>
  <c r="AZ116" i="56" s="1"/>
  <c r="BA116" i="56" s="1" a="1"/>
  <c r="BA116" i="56" s="1"/>
  <c r="I58" i="57"/>
  <c r="AB61" i="57"/>
  <c r="AD57" i="57"/>
  <c r="AB110" i="57"/>
  <c r="J110" i="57" s="1"/>
  <c r="S111" i="57"/>
  <c r="AB111" i="57" s="1"/>
  <c r="J111" i="57" s="1"/>
  <c r="J58" i="57"/>
  <c r="S59" i="57"/>
  <c r="T51" i="57"/>
  <c r="K51" i="57" s="1"/>
  <c r="T110" i="57"/>
  <c r="T111" i="57" s="1"/>
  <c r="AA61" i="57"/>
  <c r="T58" i="57"/>
  <c r="T59" i="57" s="1"/>
  <c r="T60" i="57" s="1"/>
  <c r="K50" i="57"/>
  <c r="AD50" i="57"/>
  <c r="U86" i="56"/>
  <c r="AM78" i="56" s="1"/>
  <c r="AD43" i="56"/>
  <c r="AD76" i="56" s="1"/>
  <c r="AC76" i="56"/>
  <c r="AC92" i="56" s="1"/>
  <c r="R60" i="57"/>
  <c r="I59" i="57"/>
  <c r="I60" i="57" s="1"/>
  <c r="AE49" i="57"/>
  <c r="Q147" i="56"/>
  <c r="N97" i="47" s="1"/>
  <c r="Q139" i="56"/>
  <c r="N89" i="47" s="1"/>
  <c r="Q146" i="56"/>
  <c r="N96" i="47" s="1"/>
  <c r="Q141" i="56"/>
  <c r="N91" i="47" s="1"/>
  <c r="Q143" i="56"/>
  <c r="N93" i="47" s="1"/>
  <c r="S149" i="56"/>
  <c r="Q142" i="56"/>
  <c r="N92" i="47" s="1"/>
  <c r="S188" i="56"/>
  <c r="O99" i="47"/>
  <c r="Q144" i="56"/>
  <c r="N94" i="47" s="1"/>
  <c r="Q140" i="56"/>
  <c r="N90" i="47" s="1"/>
  <c r="Q145" i="56"/>
  <c r="N95" i="47" s="1"/>
  <c r="R137" i="56"/>
  <c r="O87" i="47" s="1"/>
  <c r="AQ31" i="58"/>
  <c r="AQ34" i="58" s="1"/>
  <c r="AR23" i="58"/>
  <c r="AO169" i="58"/>
  <c r="AO168" i="58"/>
  <c r="AO36" i="58"/>
  <c r="AO41" i="58" s="1"/>
  <c r="AP35" i="58"/>
  <c r="AQ24" i="58"/>
  <c r="AS77" i="56"/>
  <c r="N83" i="56"/>
  <c r="N82" i="56"/>
  <c r="N81" i="56"/>
  <c r="N79" i="56"/>
  <c r="N78" i="56"/>
  <c r="N84" i="56"/>
  <c r="N76" i="56"/>
  <c r="N80" i="56"/>
  <c r="AC86" i="47"/>
  <c r="AD108" i="47"/>
  <c r="AB85" i="47"/>
  <c r="AL77" i="56"/>
  <c r="AL80" i="56" s="1"/>
  <c r="AL81" i="56" s="1"/>
  <c r="X28" i="55"/>
  <c r="T127" i="47"/>
  <c r="S128" i="47"/>
  <c r="W34" i="55"/>
  <c r="R135" i="47"/>
  <c r="AC52" i="56"/>
  <c r="AC79" i="56" s="1"/>
  <c r="AC95" i="56" s="1"/>
  <c r="AC55" i="56"/>
  <c r="AC82" i="56" s="1"/>
  <c r="AC98" i="56" s="1"/>
  <c r="AC59" i="56"/>
  <c r="AC86" i="56" s="1"/>
  <c r="AC51" i="56"/>
  <c r="AC78" i="56" s="1"/>
  <c r="AC94" i="56" s="1"/>
  <c r="AC57" i="56"/>
  <c r="AC84" i="56" s="1"/>
  <c r="AC100" i="56" s="1"/>
  <c r="AC56" i="56"/>
  <c r="AC83" i="56" s="1"/>
  <c r="AC99" i="56" s="1"/>
  <c r="AC54" i="56"/>
  <c r="AC81" i="56" s="1"/>
  <c r="AC97" i="56" s="1"/>
  <c r="AC53" i="56"/>
  <c r="AC80" i="56" s="1"/>
  <c r="AC96" i="56" s="1"/>
  <c r="AC58" i="56"/>
  <c r="AC85" i="56" s="1"/>
  <c r="AC101" i="56" s="1"/>
  <c r="AD60" i="56"/>
  <c r="W32" i="55"/>
  <c r="S131" i="47"/>
  <c r="V57" i="56"/>
  <c r="V84" i="56" s="1"/>
  <c r="V100" i="56" s="1"/>
  <c r="V55" i="56"/>
  <c r="V82" i="56" s="1"/>
  <c r="V98" i="56" s="1"/>
  <c r="V59" i="56"/>
  <c r="V51" i="56"/>
  <c r="V78" i="56" s="1"/>
  <c r="V94" i="56" s="1"/>
  <c r="V53" i="56"/>
  <c r="V80" i="56" s="1"/>
  <c r="V96" i="56" s="1"/>
  <c r="V52" i="56"/>
  <c r="V79" i="56" s="1"/>
  <c r="V95" i="56" s="1"/>
  <c r="V56" i="56"/>
  <c r="V83" i="56" s="1"/>
  <c r="V99" i="56" s="1"/>
  <c r="V54" i="56"/>
  <c r="V81" i="56" s="1"/>
  <c r="V97" i="56" s="1"/>
  <c r="V58" i="56"/>
  <c r="V85" i="56" s="1"/>
  <c r="V101" i="56" s="1"/>
  <c r="W37" i="55"/>
  <c r="S134" i="47"/>
  <c r="V31" i="55"/>
  <c r="R129" i="47"/>
  <c r="W33" i="55"/>
  <c r="S130" i="47"/>
  <c r="V36" i="55"/>
  <c r="R133" i="47"/>
  <c r="AQ80" i="56"/>
  <c r="AQ81" i="56" s="1"/>
  <c r="AL22" i="35"/>
  <c r="AH5" i="47"/>
  <c r="AH8" i="47"/>
  <c r="AL23" i="35"/>
  <c r="AI6" i="47"/>
  <c r="AM25" i="35"/>
  <c r="AH9" i="47"/>
  <c r="AL24" i="35"/>
  <c r="AL26" i="35"/>
  <c r="AH7" i="47"/>
  <c r="L50" i="57" l="1"/>
  <c r="L49" i="57"/>
  <c r="V49" i="57" s="1"/>
  <c r="V50" i="57" s="1"/>
  <c r="V110" i="57" s="1"/>
  <c r="U57" i="57"/>
  <c r="U58" i="57" s="1"/>
  <c r="U59" i="57" s="1"/>
  <c r="U60" i="57" s="1"/>
  <c r="U51" i="57"/>
  <c r="AD51" i="57"/>
  <c r="AD110" i="57"/>
  <c r="L110" i="57" s="1"/>
  <c r="K110" i="57"/>
  <c r="S60" i="57"/>
  <c r="J59" i="57"/>
  <c r="J60" i="57" s="1"/>
  <c r="T61" i="57"/>
  <c r="V86" i="56"/>
  <c r="AN78" i="56" s="1"/>
  <c r="AD92" i="56"/>
  <c r="AE57" i="57"/>
  <c r="AE50" i="57"/>
  <c r="R186" i="56"/>
  <c r="R144" i="56"/>
  <c r="O94" i="47" s="1"/>
  <c r="R142" i="56"/>
  <c r="O92" i="47" s="1"/>
  <c r="S137" i="56"/>
  <c r="P87" i="47" s="1"/>
  <c r="T149" i="56"/>
  <c r="R146" i="56"/>
  <c r="O96" i="47" s="1"/>
  <c r="T188" i="56"/>
  <c r="P99" i="47"/>
  <c r="R145" i="56"/>
  <c r="O95" i="47" s="1"/>
  <c r="R143" i="56"/>
  <c r="O93" i="47" s="1"/>
  <c r="R139" i="56"/>
  <c r="O89" i="47" s="1"/>
  <c r="R140" i="56"/>
  <c r="O90" i="47" s="1"/>
  <c r="R147" i="56"/>
  <c r="R141" i="56"/>
  <c r="O91" i="47" s="1"/>
  <c r="AR24" i="58"/>
  <c r="AP169" i="58"/>
  <c r="AP168" i="58"/>
  <c r="AP36" i="58"/>
  <c r="AP41" i="58" s="1"/>
  <c r="AR31" i="58"/>
  <c r="AR34" i="58" s="1"/>
  <c r="AS23" i="58"/>
  <c r="AQ35" i="58"/>
  <c r="AC84" i="47"/>
  <c r="AT77" i="56"/>
  <c r="AD86" i="47"/>
  <c r="AE108" i="47"/>
  <c r="AD84" i="47"/>
  <c r="AC85" i="47"/>
  <c r="S135" i="47"/>
  <c r="X37" i="55"/>
  <c r="T134" i="47"/>
  <c r="X32" i="55"/>
  <c r="T131" i="47"/>
  <c r="W31" i="55"/>
  <c r="S129" i="47"/>
  <c r="AD57" i="56"/>
  <c r="AD84" i="56" s="1"/>
  <c r="AD100" i="56" s="1"/>
  <c r="AD53" i="56"/>
  <c r="AD80" i="56" s="1"/>
  <c r="AD96" i="56" s="1"/>
  <c r="AD55" i="56"/>
  <c r="AD82" i="56" s="1"/>
  <c r="AD98" i="56" s="1"/>
  <c r="AD56" i="56"/>
  <c r="AD83" i="56" s="1"/>
  <c r="AD99" i="56" s="1"/>
  <c r="AD54" i="56"/>
  <c r="AD81" i="56" s="1"/>
  <c r="AD97" i="56" s="1"/>
  <c r="AD58" i="56"/>
  <c r="AD85" i="56" s="1"/>
  <c r="AD101" i="56" s="1"/>
  <c r="AD52" i="56"/>
  <c r="AD79" i="56" s="1"/>
  <c r="AD95" i="56" s="1"/>
  <c r="AD59" i="56"/>
  <c r="AD86" i="56" s="1"/>
  <c r="AD51" i="56"/>
  <c r="AD78" i="56" s="1"/>
  <c r="AD94" i="56" s="1"/>
  <c r="AR80" i="56"/>
  <c r="AR81" i="56" s="1"/>
  <c r="W36" i="55"/>
  <c r="S133" i="47"/>
  <c r="Y28" i="55"/>
  <c r="U127" i="47"/>
  <c r="AM77" i="56"/>
  <c r="AM80" i="56" s="1"/>
  <c r="AM81" i="56" s="1"/>
  <c r="X34" i="55"/>
  <c r="T128" i="47"/>
  <c r="X33" i="55"/>
  <c r="T130" i="47"/>
  <c r="AM24" i="35"/>
  <c r="AI9" i="47"/>
  <c r="AI7" i="47"/>
  <c r="AM26" i="35"/>
  <c r="AN25" i="35"/>
  <c r="AJ6" i="47"/>
  <c r="AM23" i="35"/>
  <c r="AI8" i="47"/>
  <c r="AM22" i="35"/>
  <c r="AI5" i="47"/>
  <c r="M49" i="57" l="1"/>
  <c r="L57" i="57"/>
  <c r="L51" i="57"/>
  <c r="V57" i="57"/>
  <c r="V58" i="57" s="1"/>
  <c r="V59" i="57" s="1"/>
  <c r="V60" i="57" s="1"/>
  <c r="U61" i="57"/>
  <c r="M57" i="57"/>
  <c r="V51" i="57"/>
  <c r="M50" i="57"/>
  <c r="AE110" i="57"/>
  <c r="M110" i="57" s="1"/>
  <c r="AE51" i="57"/>
  <c r="V111" i="57"/>
  <c r="Q99" i="47"/>
  <c r="U188" i="56"/>
  <c r="S139" i="56"/>
  <c r="P89" i="47" s="1"/>
  <c r="T137" i="56"/>
  <c r="Q87" i="47" s="1"/>
  <c r="S143" i="56"/>
  <c r="P93" i="47" s="1"/>
  <c r="S142" i="56"/>
  <c r="P92" i="47" s="1"/>
  <c r="S145" i="56"/>
  <c r="P95" i="47" s="1"/>
  <c r="S140" i="56"/>
  <c r="P90" i="47" s="1"/>
  <c r="S141" i="56"/>
  <c r="P91" i="47" s="1"/>
  <c r="S144" i="56"/>
  <c r="P94" i="47" s="1"/>
  <c r="U149" i="56"/>
  <c r="S147" i="56"/>
  <c r="S146" i="56"/>
  <c r="P96" i="47" s="1"/>
  <c r="S186" i="56"/>
  <c r="O97" i="47"/>
  <c r="AS24" i="58"/>
  <c r="AS31" i="58"/>
  <c r="AS34" i="58" s="1"/>
  <c r="AT23" i="58"/>
  <c r="AR35" i="58"/>
  <c r="AQ169" i="58"/>
  <c r="AQ168" i="58"/>
  <c r="AQ36" i="58"/>
  <c r="AQ41" i="58" s="1"/>
  <c r="AF108" i="47"/>
  <c r="AI108" i="47"/>
  <c r="AD85" i="47"/>
  <c r="AE84" i="47"/>
  <c r="AN77" i="56"/>
  <c r="AN80" i="56" s="1"/>
  <c r="AN81" i="56" s="1"/>
  <c r="X31" i="55"/>
  <c r="T129" i="47"/>
  <c r="Y33" i="55"/>
  <c r="U130" i="47"/>
  <c r="AS80" i="56"/>
  <c r="AS81" i="56" s="1"/>
  <c r="Z28" i="55"/>
  <c r="V127" i="47"/>
  <c r="T135" i="47"/>
  <c r="X36" i="55"/>
  <c r="T133" i="47"/>
  <c r="Y32" i="55"/>
  <c r="U131" i="47"/>
  <c r="Y37" i="55"/>
  <c r="U134" i="47"/>
  <c r="Y34" i="55"/>
  <c r="U128" i="47"/>
  <c r="AN26" i="35"/>
  <c r="AJ7" i="47"/>
  <c r="AJ5" i="47"/>
  <c r="AN22" i="35"/>
  <c r="AN24" i="35"/>
  <c r="AJ9" i="47"/>
  <c r="AO25" i="35"/>
  <c r="AK6" i="47"/>
  <c r="AN23" i="35"/>
  <c r="AJ8" i="47"/>
  <c r="V162" i="57" l="1"/>
  <c r="M51" i="57"/>
  <c r="V61" i="57"/>
  <c r="T147" i="56"/>
  <c r="T145" i="56"/>
  <c r="Q95" i="47" s="1"/>
  <c r="T186" i="56"/>
  <c r="P97" i="47"/>
  <c r="V149" i="56"/>
  <c r="T142" i="56"/>
  <c r="Q92" i="47" s="1"/>
  <c r="R99" i="47"/>
  <c r="V188" i="56"/>
  <c r="T144" i="56"/>
  <c r="Q94" i="47" s="1"/>
  <c r="T143" i="56"/>
  <c r="Q93" i="47" s="1"/>
  <c r="T141" i="56"/>
  <c r="Q91" i="47" s="1"/>
  <c r="U137" i="56"/>
  <c r="R87" i="47" s="1"/>
  <c r="T140" i="56"/>
  <c r="Q90" i="47" s="1"/>
  <c r="T139" i="56"/>
  <c r="Q89" i="47" s="1"/>
  <c r="T146" i="56"/>
  <c r="Q96" i="47" s="1"/>
  <c r="AR169" i="58"/>
  <c r="AR168" i="58"/>
  <c r="AR36" i="58"/>
  <c r="AR41" i="58" s="1"/>
  <c r="AU23" i="58"/>
  <c r="AT31" i="58"/>
  <c r="AT34" i="58" s="1"/>
  <c r="AS35" i="58"/>
  <c r="AT24" i="58"/>
  <c r="AE86" i="47"/>
  <c r="AG108" i="47"/>
  <c r="AH108" i="47"/>
  <c r="AF84" i="47"/>
  <c r="AE85" i="47"/>
  <c r="AF86" i="47"/>
  <c r="Z32" i="55"/>
  <c r="V131" i="47"/>
  <c r="Z33" i="55"/>
  <c r="V130" i="47"/>
  <c r="AT80" i="56"/>
  <c r="AT81" i="56" s="1"/>
  <c r="U135" i="47"/>
  <c r="V128" i="47"/>
  <c r="Z34" i="55"/>
  <c r="Y36" i="55"/>
  <c r="U133" i="47"/>
  <c r="Y31" i="55"/>
  <c r="U129" i="47"/>
  <c r="AA28" i="55"/>
  <c r="W127" i="47"/>
  <c r="V134" i="47"/>
  <c r="Z37" i="55"/>
  <c r="AO23" i="35"/>
  <c r="AK8" i="47"/>
  <c r="AP25" i="35"/>
  <c r="AM6" i="47" s="1"/>
  <c r="AL6" i="47"/>
  <c r="AK5" i="47"/>
  <c r="AO22" i="35"/>
  <c r="AK9" i="47"/>
  <c r="AO24" i="35"/>
  <c r="AO26" i="35"/>
  <c r="AK7" i="47"/>
  <c r="U142" i="56" l="1"/>
  <c r="R92" i="47" s="1"/>
  <c r="V137" i="56"/>
  <c r="S87" i="47" s="1"/>
  <c r="W149" i="56"/>
  <c r="S99" i="47"/>
  <c r="W188" i="56"/>
  <c r="U146" i="56"/>
  <c r="R96" i="47" s="1"/>
  <c r="U141" i="56"/>
  <c r="R91" i="47" s="1"/>
  <c r="U143" i="56"/>
  <c r="R93" i="47" s="1"/>
  <c r="U145" i="56"/>
  <c r="R95" i="47" s="1"/>
  <c r="U140" i="56"/>
  <c r="R90" i="47" s="1"/>
  <c r="U144" i="56"/>
  <c r="R94" i="47" s="1"/>
  <c r="U147" i="56"/>
  <c r="U139" i="56"/>
  <c r="R89" i="47" s="1"/>
  <c r="Q97" i="47"/>
  <c r="U186" i="56"/>
  <c r="AU24" i="58"/>
  <c r="AS168" i="58"/>
  <c r="AS169" i="58"/>
  <c r="AS36" i="58"/>
  <c r="AS41" i="58" s="1"/>
  <c r="AT35" i="58"/>
  <c r="AU31" i="58"/>
  <c r="AU34" i="58" s="1"/>
  <c r="AV23" i="58"/>
  <c r="AG86" i="47"/>
  <c r="AH86" i="47"/>
  <c r="AF85" i="47"/>
  <c r="AH84" i="47"/>
  <c r="AG84" i="47"/>
  <c r="Z36" i="55"/>
  <c r="V133" i="47"/>
  <c r="AA37" i="55"/>
  <c r="W134" i="47"/>
  <c r="V129" i="47"/>
  <c r="Z31" i="55"/>
  <c r="AA34" i="55"/>
  <c r="W128" i="47"/>
  <c r="V135" i="47"/>
  <c r="AA32" i="55"/>
  <c r="W131" i="47"/>
  <c r="X127" i="47"/>
  <c r="AB28" i="55"/>
  <c r="AA33" i="55"/>
  <c r="W130" i="47"/>
  <c r="AL7" i="47"/>
  <c r="AP26" i="35"/>
  <c r="AM7" i="47" s="1"/>
  <c r="AP24" i="35"/>
  <c r="AM9" i="47" s="1"/>
  <c r="AL9" i="47"/>
  <c r="AP22" i="35"/>
  <c r="AM5" i="47" s="1"/>
  <c r="AL5" i="47"/>
  <c r="AP23" i="35"/>
  <c r="AM8" i="47" s="1"/>
  <c r="AL8" i="47"/>
  <c r="T99" i="47" l="1"/>
  <c r="X188" i="56"/>
  <c r="W137" i="56"/>
  <c r="T87" i="47" s="1"/>
  <c r="X149" i="56"/>
  <c r="V145" i="56"/>
  <c r="S95" i="47" s="1"/>
  <c r="V143" i="56"/>
  <c r="S93" i="47" s="1"/>
  <c r="V139" i="56"/>
  <c r="S89" i="47" s="1"/>
  <c r="V141" i="56"/>
  <c r="S91" i="47" s="1"/>
  <c r="V147" i="56"/>
  <c r="R97" i="47"/>
  <c r="V186" i="56"/>
  <c r="V146" i="56"/>
  <c r="S96" i="47" s="1"/>
  <c r="V142" i="56"/>
  <c r="S92" i="47" s="1"/>
  <c r="V144" i="56"/>
  <c r="S94" i="47" s="1"/>
  <c r="V140" i="56"/>
  <c r="S90" i="47" s="1"/>
  <c r="AV24" i="58"/>
  <c r="AV31" i="58"/>
  <c r="AV34" i="58" s="1"/>
  <c r="AU35" i="58"/>
  <c r="AT168" i="58"/>
  <c r="AT169" i="58"/>
  <c r="AT36" i="58"/>
  <c r="AT41" i="58" s="1"/>
  <c r="AH85" i="47"/>
  <c r="AG85" i="47"/>
  <c r="AB33" i="55"/>
  <c r="X130" i="47"/>
  <c r="AB37" i="55"/>
  <c r="X134" i="47"/>
  <c r="W135" i="47"/>
  <c r="AA31" i="55"/>
  <c r="W129" i="47"/>
  <c r="AB34" i="55"/>
  <c r="X128" i="47"/>
  <c r="AB32" i="55"/>
  <c r="X131" i="47"/>
  <c r="AC28" i="55"/>
  <c r="Y127" i="47"/>
  <c r="AA36" i="55"/>
  <c r="W133" i="47"/>
  <c r="W143" i="56" l="1"/>
  <c r="T93" i="47" s="1"/>
  <c r="W146" i="56"/>
  <c r="T96" i="47" s="1"/>
  <c r="W145" i="56"/>
  <c r="T95" i="47" s="1"/>
  <c r="W147" i="56"/>
  <c r="W140" i="56"/>
  <c r="T90" i="47" s="1"/>
  <c r="W186" i="56"/>
  <c r="S97" i="47"/>
  <c r="U99" i="47"/>
  <c r="Y188" i="56"/>
  <c r="W141" i="56"/>
  <c r="T91" i="47" s="1"/>
  <c r="Y149" i="56"/>
  <c r="X137" i="56"/>
  <c r="U87" i="47" s="1"/>
  <c r="W139" i="56"/>
  <c r="T89" i="47" s="1"/>
  <c r="W144" i="56"/>
  <c r="T94" i="47" s="1"/>
  <c r="W142" i="56"/>
  <c r="T92" i="47" s="1"/>
  <c r="AU168" i="58"/>
  <c r="AU169" i="58"/>
  <c r="AU36" i="58"/>
  <c r="AU41" i="58" s="1"/>
  <c r="AV35" i="58"/>
  <c r="AB36" i="55"/>
  <c r="X133" i="47"/>
  <c r="AB31" i="55"/>
  <c r="X129" i="47"/>
  <c r="AC37" i="55"/>
  <c r="Y134" i="47"/>
  <c r="AC32" i="55"/>
  <c r="Y131" i="47"/>
  <c r="X135" i="47"/>
  <c r="Y130" i="47"/>
  <c r="AC33" i="55"/>
  <c r="AD28" i="55"/>
  <c r="Z127" i="47"/>
  <c r="AC34" i="55"/>
  <c r="Y128" i="47"/>
  <c r="X140" i="56" l="1"/>
  <c r="U90" i="47" s="1"/>
  <c r="Z149" i="56"/>
  <c r="X147" i="56"/>
  <c r="V99" i="47"/>
  <c r="Z188" i="56"/>
  <c r="T97" i="47"/>
  <c r="X186" i="56"/>
  <c r="X142" i="56"/>
  <c r="U92" i="47" s="1"/>
  <c r="X144" i="56"/>
  <c r="U94" i="47" s="1"/>
  <c r="X145" i="56"/>
  <c r="U95" i="47" s="1"/>
  <c r="X141" i="56"/>
  <c r="U91" i="47" s="1"/>
  <c r="X139" i="56"/>
  <c r="U89" i="47" s="1"/>
  <c r="X146" i="56"/>
  <c r="U96" i="47" s="1"/>
  <c r="X143" i="56"/>
  <c r="U93" i="47" s="1"/>
  <c r="Y137" i="56"/>
  <c r="V87" i="47" s="1"/>
  <c r="AV169" i="58"/>
  <c r="AV168" i="58"/>
  <c r="AV36" i="58"/>
  <c r="AV41" i="58" s="1"/>
  <c r="AD34" i="55"/>
  <c r="Z128" i="47"/>
  <c r="AD32" i="55"/>
  <c r="Z131" i="47"/>
  <c r="AC31" i="55"/>
  <c r="Y129" i="47"/>
  <c r="AE28" i="55"/>
  <c r="AA127" i="47"/>
  <c r="AD33" i="55"/>
  <c r="Z130" i="47"/>
  <c r="Y135" i="47"/>
  <c r="AD37" i="55"/>
  <c r="Z134" i="47"/>
  <c r="AC36" i="55"/>
  <c r="Y133" i="47"/>
  <c r="AU46" i="58" l="1" a="1"/>
  <c r="AU46" i="58" s="1"/>
  <c r="AQ43" i="58" a="1"/>
  <c r="AQ43" i="58" s="1"/>
  <c r="AH43" i="58" a="1"/>
  <c r="AH43" i="58" s="1"/>
  <c r="R46" i="58" a="1"/>
  <c r="R46" i="58" s="1"/>
  <c r="Z46" i="58" a="1"/>
  <c r="Z46" i="58" s="1"/>
  <c r="L46" i="58" a="1"/>
  <c r="L46" i="58" s="1"/>
  <c r="Q46" i="58" a="1"/>
  <c r="Q46" i="58" s="1"/>
  <c r="AR43" i="58" a="1"/>
  <c r="AR43" i="58" s="1"/>
  <c r="X44" i="58" a="1"/>
  <c r="X44" i="58" s="1"/>
  <c r="AJ44" i="58" a="1"/>
  <c r="AJ44" i="58" s="1"/>
  <c r="V46" i="58" a="1"/>
  <c r="V46" i="58" s="1"/>
  <c r="AV43" i="58" a="1"/>
  <c r="AV43" i="58" s="1"/>
  <c r="AA44" i="58" a="1"/>
  <c r="AA44" i="58" s="1"/>
  <c r="Y44" i="58" a="1"/>
  <c r="Y44" i="58" s="1"/>
  <c r="AD44" i="58" a="1"/>
  <c r="AD44" i="58" s="1"/>
  <c r="AT46" i="58" a="1"/>
  <c r="AT46" i="58" s="1"/>
  <c r="J44" i="58" a="1"/>
  <c r="J44" i="58" s="1"/>
  <c r="J43" i="58" a="1"/>
  <c r="J43" i="58" s="1"/>
  <c r="N46" i="58" a="1"/>
  <c r="N46" i="58" s="1"/>
  <c r="AB44" i="58" a="1"/>
  <c r="AB44" i="58" s="1"/>
  <c r="AM45" i="58" a="1"/>
  <c r="AM45" i="58" s="1"/>
  <c r="AG44" i="58" a="1"/>
  <c r="AG44" i="58" s="1"/>
  <c r="AF45" i="58" a="1"/>
  <c r="AF45" i="58" s="1"/>
  <c r="AM46" i="58" a="1"/>
  <c r="AM46" i="58" s="1"/>
  <c r="AC46" i="58" a="1"/>
  <c r="AC46" i="58" s="1"/>
  <c r="AI46" i="58" a="1"/>
  <c r="AI46" i="58" s="1"/>
  <c r="AO44" i="58" a="1"/>
  <c r="AO44" i="58" s="1"/>
  <c r="AL44" i="58" a="1"/>
  <c r="AL44" i="58" s="1"/>
  <c r="K45" i="58" a="1"/>
  <c r="K45" i="58" s="1"/>
  <c r="K51" i="58" s="1"/>
  <c r="V43" i="58" a="1"/>
  <c r="V43" i="58" s="1"/>
  <c r="W44" i="58" a="1"/>
  <c r="W44" i="58" s="1"/>
  <c r="W43" i="58" a="1"/>
  <c r="W43" i="58" s="1"/>
  <c r="O45" i="58" a="1"/>
  <c r="O45" i="58" s="1"/>
  <c r="AR44" i="58" a="1"/>
  <c r="AR44" i="58" s="1"/>
  <c r="AP46" i="58" a="1"/>
  <c r="AP46" i="58" s="1"/>
  <c r="AM44" i="58" a="1"/>
  <c r="AM44" i="58" s="1"/>
  <c r="V44" i="58" a="1"/>
  <c r="V44" i="58" s="1"/>
  <c r="AQ46" i="58" a="1"/>
  <c r="AQ46" i="58" s="1"/>
  <c r="R43" i="58" a="1"/>
  <c r="R43" i="58" s="1"/>
  <c r="X46" i="58" a="1"/>
  <c r="X46" i="58" s="1"/>
  <c r="AU44" i="58" a="1"/>
  <c r="AU44" i="58" s="1"/>
  <c r="O44" i="58" a="1"/>
  <c r="O44" i="58" s="1"/>
  <c r="AO46" i="58" a="1"/>
  <c r="AO46" i="58" s="1"/>
  <c r="M43" i="58" a="1"/>
  <c r="M43" i="58" s="1"/>
  <c r="Y45" i="58" a="1"/>
  <c r="Y45" i="58" s="1"/>
  <c r="AE45" i="58" a="1"/>
  <c r="AE45" i="58" s="1"/>
  <c r="AB45" i="58" a="1"/>
  <c r="AB45" i="58" s="1"/>
  <c r="AN45" i="58" a="1"/>
  <c r="AN45" i="58" s="1"/>
  <c r="Z44" i="58" a="1"/>
  <c r="Z44" i="58" s="1"/>
  <c r="M45" i="58" a="1"/>
  <c r="M45" i="58" s="1"/>
  <c r="M44" i="58" a="1"/>
  <c r="M44" i="58" s="1"/>
  <c r="AC45" i="58" a="1"/>
  <c r="AC45" i="58" s="1"/>
  <c r="AH45" i="58" a="1"/>
  <c r="AH45" i="58" s="1"/>
  <c r="T46" i="58" a="1"/>
  <c r="T46" i="58" s="1"/>
  <c r="N45" i="58" a="1"/>
  <c r="N45" i="58" s="1"/>
  <c r="L45" i="58" a="1"/>
  <c r="L45" i="58" s="1"/>
  <c r="AJ43" i="58" a="1"/>
  <c r="AJ43" i="58" s="1"/>
  <c r="AA43" i="58" a="1"/>
  <c r="AA43" i="58" s="1"/>
  <c r="AH46" i="58" a="1"/>
  <c r="AH46" i="58" s="1"/>
  <c r="AK45" i="58" a="1"/>
  <c r="AK45" i="58" s="1"/>
  <c r="L43" i="58" a="1"/>
  <c r="L43" i="58" s="1"/>
  <c r="O43" i="58" a="1"/>
  <c r="O43" i="58" s="1"/>
  <c r="AB43" i="58" a="1"/>
  <c r="AB43" i="58" s="1"/>
  <c r="Y43" i="58" a="1"/>
  <c r="Y43" i="58" s="1"/>
  <c r="O46" i="58" a="1"/>
  <c r="O46" i="58" s="1"/>
  <c r="K46" i="58" a="1"/>
  <c r="K46" i="58" s="1"/>
  <c r="K52" i="58" s="1"/>
  <c r="Y46" i="58" a="1"/>
  <c r="Y46" i="58" s="1"/>
  <c r="P45" i="58" a="1"/>
  <c r="P45" i="58" s="1"/>
  <c r="AP45" i="58" a="1"/>
  <c r="AP45" i="58" s="1"/>
  <c r="AP44" i="58" a="1"/>
  <c r="AP44" i="58" s="1"/>
  <c r="X43" i="58" a="1"/>
  <c r="X43" i="58" s="1"/>
  <c r="J46" i="58" a="1"/>
  <c r="J46" i="58" s="1"/>
  <c r="AR46" i="58" a="1"/>
  <c r="AR46" i="58" s="1"/>
  <c r="AQ45" i="58" a="1"/>
  <c r="AQ45" i="58" s="1"/>
  <c r="Z45" i="58" a="1"/>
  <c r="Z45" i="58" s="1"/>
  <c r="AD43" i="58" a="1"/>
  <c r="AD43" i="58" s="1"/>
  <c r="AO43" i="58" a="1"/>
  <c r="AO43" i="58" s="1"/>
  <c r="N44" i="58" a="1"/>
  <c r="N44" i="58" s="1"/>
  <c r="M46" i="58" a="1"/>
  <c r="M46" i="58" s="1"/>
  <c r="Z43" i="58" a="1"/>
  <c r="Z43" i="58" s="1"/>
  <c r="AK43" i="58" a="1"/>
  <c r="AK43" i="58" s="1"/>
  <c r="R44" i="58" a="1"/>
  <c r="R44" i="58" s="1"/>
  <c r="AU43" i="58" a="1"/>
  <c r="AU43" i="58" s="1"/>
  <c r="AG46" i="58" a="1"/>
  <c r="AG46" i="58" s="1"/>
  <c r="AP43" i="58" a="1"/>
  <c r="AP43" i="58" s="1"/>
  <c r="P46" i="58" a="1"/>
  <c r="P46" i="58" s="1"/>
  <c r="AS45" i="58" a="1"/>
  <c r="AS45" i="58" s="1"/>
  <c r="AK46" i="58" a="1"/>
  <c r="AK46" i="58" s="1"/>
  <c r="Q45" i="58" a="1"/>
  <c r="Q45" i="58" s="1"/>
  <c r="K44" i="58" a="1"/>
  <c r="K44" i="58" s="1"/>
  <c r="K50" i="58" s="1"/>
  <c r="U44" i="58" a="1"/>
  <c r="U44" i="58" s="1"/>
  <c r="AL46" i="58" a="1"/>
  <c r="AL46" i="58" s="1"/>
  <c r="U46" i="58" a="1"/>
  <c r="U46" i="58" s="1"/>
  <c r="AA46" i="58" a="1"/>
  <c r="AA46" i="58" s="1"/>
  <c r="AH44" i="58" a="1"/>
  <c r="AH44" i="58" s="1"/>
  <c r="AE44" i="58" a="1"/>
  <c r="AE44" i="58" s="1"/>
  <c r="AQ44" i="58" a="1"/>
  <c r="AQ44" i="58" s="1"/>
  <c r="N43" i="58" a="1"/>
  <c r="N43" i="58" s="1"/>
  <c r="P44" i="58" a="1"/>
  <c r="P44" i="58" s="1"/>
  <c r="P43" i="58" a="1"/>
  <c r="P43" i="58" s="1"/>
  <c r="AF44" i="58" a="1"/>
  <c r="AF44" i="58" s="1"/>
  <c r="AK44" i="58" a="1"/>
  <c r="AK44" i="58" s="1"/>
  <c r="AJ46" i="58" a="1"/>
  <c r="AJ46" i="58" s="1"/>
  <c r="Q44" i="58" a="1"/>
  <c r="Q44" i="58" s="1"/>
  <c r="AF43" i="58" a="1"/>
  <c r="AF43" i="58" s="1"/>
  <c r="AE46" i="58" a="1"/>
  <c r="AE46" i="58" s="1"/>
  <c r="AU45" i="58" a="1"/>
  <c r="AU45" i="58" s="1"/>
  <c r="AT45" i="58" a="1"/>
  <c r="AT45" i="58" s="1"/>
  <c r="AN44" i="58" a="1"/>
  <c r="AN44" i="58" s="1"/>
  <c r="AM43" i="58" a="1"/>
  <c r="AM43" i="58" s="1"/>
  <c r="AS46" i="58" a="1"/>
  <c r="AS46" i="58" s="1"/>
  <c r="AN46" i="58" a="1"/>
  <c r="AN46" i="58" s="1"/>
  <c r="AL43" i="58" a="1"/>
  <c r="AL43" i="58" s="1"/>
  <c r="X45" i="58" a="1"/>
  <c r="X45" i="58" s="1"/>
  <c r="U45" i="58" a="1"/>
  <c r="U45" i="58" s="1"/>
  <c r="AG45" i="58" a="1"/>
  <c r="AG45" i="58" s="1"/>
  <c r="S44" i="58" a="1"/>
  <c r="S44" i="58" s="1"/>
  <c r="AS44" i="58" a="1"/>
  <c r="AS44" i="58" s="1"/>
  <c r="AS43" i="58" a="1"/>
  <c r="AS43" i="58" s="1"/>
  <c r="V45" i="58" a="1"/>
  <c r="V45" i="58" s="1"/>
  <c r="AA45" i="58" a="1"/>
  <c r="AA45" i="58" s="1"/>
  <c r="AV46" i="58" a="1"/>
  <c r="AV46" i="58" s="1"/>
  <c r="AT44" i="58" a="1"/>
  <c r="AT44" i="58" s="1"/>
  <c r="AC44" i="58" a="1"/>
  <c r="AC44" i="58" s="1"/>
  <c r="AI44" i="58" a="1"/>
  <c r="AI44" i="58" s="1"/>
  <c r="AG43" i="58" a="1"/>
  <c r="AG43" i="58" s="1"/>
  <c r="R45" i="58" a="1"/>
  <c r="R45" i="58" s="1"/>
  <c r="AD45" i="58" a="1"/>
  <c r="AD45" i="58" s="1"/>
  <c r="K43" i="58" a="1"/>
  <c r="K43" i="58" s="1"/>
  <c r="K49" i="58" s="1"/>
  <c r="T43" i="58" a="1"/>
  <c r="T43" i="58" s="1"/>
  <c r="U43" i="58" a="1"/>
  <c r="U43" i="58" s="1"/>
  <c r="Q43" i="58" a="1"/>
  <c r="Q43" i="58" s="1"/>
  <c r="AL45" i="58" a="1"/>
  <c r="AL45" i="58" s="1"/>
  <c r="AI45" i="58" a="1"/>
  <c r="AI45" i="58" s="1"/>
  <c r="AV45" i="58" a="1"/>
  <c r="AV45" i="58" s="1"/>
  <c r="AV44" i="58" a="1"/>
  <c r="AV44" i="58" s="1"/>
  <c r="T45" i="58" a="1"/>
  <c r="T45" i="58" s="1"/>
  <c r="T44" i="58" a="1"/>
  <c r="T44" i="58" s="1"/>
  <c r="AD46" i="58" a="1"/>
  <c r="AD46" i="58" s="1"/>
  <c r="AO45" i="58" a="1"/>
  <c r="AO45" i="58" s="1"/>
  <c r="AF46" i="58" a="1"/>
  <c r="AF46" i="58" s="1"/>
  <c r="AJ45" i="58" a="1"/>
  <c r="AJ45" i="58" s="1"/>
  <c r="S45" i="58" a="1"/>
  <c r="S45" i="58" s="1"/>
  <c r="AC43" i="58" a="1"/>
  <c r="AC43" i="58" s="1"/>
  <c r="AT43" i="58" a="1"/>
  <c r="AT43" i="58" s="1"/>
  <c r="AR45" i="58" a="1"/>
  <c r="AR45" i="58" s="1"/>
  <c r="S43" i="58" a="1"/>
  <c r="S43" i="58" s="1"/>
  <c r="L44" i="58" a="1"/>
  <c r="L44" i="58" s="1"/>
  <c r="AI43" i="58" a="1"/>
  <c r="AI43" i="58" s="1"/>
  <c r="AN43" i="58" a="1"/>
  <c r="AN43" i="58" s="1"/>
  <c r="W46" i="58" a="1"/>
  <c r="W46" i="58" s="1"/>
  <c r="S46" i="58" a="1"/>
  <c r="S46" i="58" s="1"/>
  <c r="AE43" i="58" a="1"/>
  <c r="AE43" i="58" s="1"/>
  <c r="W45" i="58" a="1"/>
  <c r="W45" i="58" s="1"/>
  <c r="AB46" i="58" a="1"/>
  <c r="AB46" i="58" s="1"/>
  <c r="J45" i="58" a="1"/>
  <c r="J45" i="58" s="1"/>
  <c r="Y142" i="56"/>
  <c r="V92" i="47" s="1"/>
  <c r="Z137" i="56"/>
  <c r="W87" i="47" s="1"/>
  <c r="Y139" i="56"/>
  <c r="V89" i="47" s="1"/>
  <c r="Y143" i="56"/>
  <c r="V93" i="47" s="1"/>
  <c r="Y141" i="56"/>
  <c r="V91" i="47" s="1"/>
  <c r="U97" i="47"/>
  <c r="Y186" i="56"/>
  <c r="Y147" i="56"/>
  <c r="Y146" i="56"/>
  <c r="V96" i="47" s="1"/>
  <c r="Y145" i="56"/>
  <c r="V95" i="47" s="1"/>
  <c r="AA149" i="56"/>
  <c r="W99" i="47"/>
  <c r="AA188" i="56"/>
  <c r="Y140" i="56"/>
  <c r="V90" i="47" s="1"/>
  <c r="Y144" i="56"/>
  <c r="V94" i="47" s="1"/>
  <c r="AE37" i="55"/>
  <c r="AA134" i="47"/>
  <c r="Z135" i="47"/>
  <c r="AF28" i="55"/>
  <c r="AB127" i="47"/>
  <c r="AD31" i="55"/>
  <c r="Z129" i="47"/>
  <c r="AE33" i="55"/>
  <c r="AA130" i="47"/>
  <c r="AE32" i="55"/>
  <c r="AA131" i="47"/>
  <c r="AD36" i="55"/>
  <c r="Z133" i="47"/>
  <c r="AA128" i="47"/>
  <c r="AE34" i="55"/>
  <c r="K53" i="58" l="1"/>
  <c r="K181" i="58"/>
  <c r="L49" i="58"/>
  <c r="K180" i="58"/>
  <c r="K193" i="58"/>
  <c r="K192" i="58"/>
  <c r="L50" i="58"/>
  <c r="K214" i="58"/>
  <c r="L52" i="58"/>
  <c r="K215" i="58"/>
  <c r="K203" i="58"/>
  <c r="K204" i="58"/>
  <c r="L51" i="58"/>
  <c r="Z141" i="56"/>
  <c r="W91" i="47" s="1"/>
  <c r="AB149" i="56"/>
  <c r="Z143" i="56"/>
  <c r="W93" i="47" s="1"/>
  <c r="Z144" i="56"/>
  <c r="W94" i="47" s="1"/>
  <c r="Z145" i="56"/>
  <c r="W95" i="47" s="1"/>
  <c r="Z139" i="56"/>
  <c r="W89" i="47" s="1"/>
  <c r="Z146" i="56"/>
  <c r="W96" i="47" s="1"/>
  <c r="AA137" i="56"/>
  <c r="X87" i="47" s="1"/>
  <c r="Z140" i="56"/>
  <c r="W90" i="47" s="1"/>
  <c r="Z147" i="56"/>
  <c r="V97" i="47"/>
  <c r="Z186" i="56"/>
  <c r="Z142" i="56"/>
  <c r="W92" i="47" s="1"/>
  <c r="X99" i="47"/>
  <c r="AB188" i="56"/>
  <c r="AF32" i="55"/>
  <c r="AB131" i="47"/>
  <c r="AF34" i="55"/>
  <c r="AB128" i="47"/>
  <c r="AG28" i="55"/>
  <c r="AC127" i="47"/>
  <c r="AA135" i="47"/>
  <c r="AE31" i="55"/>
  <c r="AA129" i="47"/>
  <c r="AF33" i="55"/>
  <c r="AB130" i="47"/>
  <c r="AE36" i="55"/>
  <c r="AA133" i="47"/>
  <c r="AF37" i="55"/>
  <c r="AB134" i="47"/>
  <c r="L215" i="58" l="1"/>
  <c r="L214" i="58"/>
  <c r="M52" i="58"/>
  <c r="L192" i="58"/>
  <c r="M50" i="58"/>
  <c r="L193" i="58"/>
  <c r="K226" i="58"/>
  <c r="K264" i="58" s="1"/>
  <c r="H119" i="47" s="1"/>
  <c r="K227" i="58"/>
  <c r="K265" i="58" s="1"/>
  <c r="H125" i="47" s="1"/>
  <c r="L181" i="58"/>
  <c r="L180" i="58"/>
  <c r="M49" i="58"/>
  <c r="L53" i="58"/>
  <c r="M51" i="58"/>
  <c r="L204" i="58"/>
  <c r="L203" i="58"/>
  <c r="AA145" i="56"/>
  <c r="X95" i="47" s="1"/>
  <c r="AA147" i="56"/>
  <c r="W97" i="47"/>
  <c r="AA186" i="56"/>
  <c r="AA144" i="56"/>
  <c r="X94" i="47" s="1"/>
  <c r="AA142" i="56"/>
  <c r="X92" i="47" s="1"/>
  <c r="AA140" i="56"/>
  <c r="X90" i="47" s="1"/>
  <c r="AA143" i="56"/>
  <c r="X93" i="47" s="1"/>
  <c r="AB137" i="56"/>
  <c r="Y87" i="47" s="1"/>
  <c r="AC149" i="56"/>
  <c r="AA139" i="56"/>
  <c r="X89" i="47" s="1"/>
  <c r="AC188" i="56"/>
  <c r="Y99" i="47"/>
  <c r="AA146" i="56"/>
  <c r="X96" i="47" s="1"/>
  <c r="AA141" i="56"/>
  <c r="X91" i="47" s="1"/>
  <c r="AF31" i="55"/>
  <c r="AB129" i="47"/>
  <c r="AG32" i="55"/>
  <c r="AC131" i="47"/>
  <c r="AD127" i="47"/>
  <c r="AH28" i="55"/>
  <c r="AB135" i="47"/>
  <c r="AC128" i="47"/>
  <c r="AG34" i="55"/>
  <c r="AF36" i="55"/>
  <c r="AB133" i="47"/>
  <c r="AG33" i="55"/>
  <c r="AC130" i="47"/>
  <c r="AC134" i="47"/>
  <c r="AG37" i="55"/>
  <c r="L226" i="58" l="1"/>
  <c r="L264" i="58" s="1"/>
  <c r="I119" i="47" s="1"/>
  <c r="L227" i="58"/>
  <c r="L265" i="58" s="1"/>
  <c r="I125" i="47" s="1"/>
  <c r="M180" i="58"/>
  <c r="M53" i="58"/>
  <c r="N49" i="58"/>
  <c r="M181" i="58"/>
  <c r="M193" i="58"/>
  <c r="M192" i="58"/>
  <c r="N50" i="58"/>
  <c r="M215" i="58"/>
  <c r="M214" i="58"/>
  <c r="N52" i="58"/>
  <c r="M203" i="58"/>
  <c r="N51" i="58"/>
  <c r="M204" i="58"/>
  <c r="AB144" i="56"/>
  <c r="Y94" i="47" s="1"/>
  <c r="AB139" i="56"/>
  <c r="Y89" i="47" s="1"/>
  <c r="AB141" i="56"/>
  <c r="Y91" i="47" s="1"/>
  <c r="AC137" i="56"/>
  <c r="Z87" i="47" s="1"/>
  <c r="AB146" i="56"/>
  <c r="Y96" i="47" s="1"/>
  <c r="AB143" i="56"/>
  <c r="Y93" i="47" s="1"/>
  <c r="AB147" i="56"/>
  <c r="AD188" i="56"/>
  <c r="Z99" i="47"/>
  <c r="X97" i="47"/>
  <c r="AB186" i="56"/>
  <c r="AB142" i="56"/>
  <c r="Y92" i="47" s="1"/>
  <c r="AD149" i="56"/>
  <c r="AB140" i="56"/>
  <c r="Y90" i="47" s="1"/>
  <c r="AB145" i="56"/>
  <c r="Y95" i="47" s="1"/>
  <c r="AH34" i="55"/>
  <c r="AD128" i="47"/>
  <c r="AC135" i="47"/>
  <c r="AH32" i="55"/>
  <c r="AD131" i="47"/>
  <c r="AC133" i="47"/>
  <c r="AG36" i="55"/>
  <c r="AC129" i="47"/>
  <c r="AG31" i="55"/>
  <c r="AH37" i="55"/>
  <c r="AD134" i="47"/>
  <c r="AI28" i="55"/>
  <c r="AE127" i="47"/>
  <c r="AH33" i="55"/>
  <c r="AD130" i="47"/>
  <c r="N203" i="58" l="1"/>
  <c r="N204" i="58"/>
  <c r="O51" i="58"/>
  <c r="N215" i="58"/>
  <c r="N214" i="58"/>
  <c r="O52" i="58"/>
  <c r="N193" i="58"/>
  <c r="N192" i="58"/>
  <c r="O50" i="58"/>
  <c r="M226" i="58"/>
  <c r="M264" i="58" s="1"/>
  <c r="J119" i="47" s="1"/>
  <c r="M227" i="58"/>
  <c r="M265" i="58" s="1"/>
  <c r="J125" i="47" s="1"/>
  <c r="N53" i="58"/>
  <c r="N180" i="58"/>
  <c r="N181" i="58"/>
  <c r="O49" i="58"/>
  <c r="AC146" i="56"/>
  <c r="Z96" i="47" s="1"/>
  <c r="AC145" i="56"/>
  <c r="Z95" i="47" s="1"/>
  <c r="AC147" i="56"/>
  <c r="AD137" i="56"/>
  <c r="AA87" i="47" s="1"/>
  <c r="Y97" i="47"/>
  <c r="AC186" i="56"/>
  <c r="AC140" i="56"/>
  <c r="Z90" i="47" s="1"/>
  <c r="AC143" i="56"/>
  <c r="Z93" i="47" s="1"/>
  <c r="AC141" i="56"/>
  <c r="Z91" i="47" s="1"/>
  <c r="AE149" i="56"/>
  <c r="AC139" i="56"/>
  <c r="Z89" i="47" s="1"/>
  <c r="AE188" i="56"/>
  <c r="AA99" i="47"/>
  <c r="AC142" i="56"/>
  <c r="Z92" i="47" s="1"/>
  <c r="AC144" i="56"/>
  <c r="Z94" i="47" s="1"/>
  <c r="AH36" i="55"/>
  <c r="AD133" i="47"/>
  <c r="AD129" i="47"/>
  <c r="AH31" i="55"/>
  <c r="AI32" i="55"/>
  <c r="AE131" i="47"/>
  <c r="AI34" i="55"/>
  <c r="AE128" i="47"/>
  <c r="AD135" i="47"/>
  <c r="AJ28" i="55"/>
  <c r="AF127" i="47"/>
  <c r="AI37" i="55"/>
  <c r="AE134" i="47"/>
  <c r="AE130" i="47"/>
  <c r="AI33" i="55"/>
  <c r="N227" i="58" l="1"/>
  <c r="N265" i="58" s="1"/>
  <c r="K125" i="47" s="1"/>
  <c r="N226" i="58"/>
  <c r="N264" i="58" s="1"/>
  <c r="K119" i="47" s="1"/>
  <c r="P50" i="58"/>
  <c r="O193" i="58"/>
  <c r="O192" i="58"/>
  <c r="O215" i="58"/>
  <c r="O214" i="58"/>
  <c r="P52" i="58"/>
  <c r="P49" i="58"/>
  <c r="O181" i="58"/>
  <c r="O180" i="58"/>
  <c r="O53" i="58"/>
  <c r="P51" i="58"/>
  <c r="O204" i="58"/>
  <c r="O203" i="58"/>
  <c r="AE137" i="56"/>
  <c r="AB87" i="47" s="1"/>
  <c r="AD147" i="56"/>
  <c r="Z97" i="47"/>
  <c r="AD186" i="56"/>
  <c r="AD144" i="56"/>
  <c r="AA94" i="47" s="1"/>
  <c r="AD141" i="56"/>
  <c r="AA91" i="47" s="1"/>
  <c r="AD145" i="56"/>
  <c r="AA95" i="47" s="1"/>
  <c r="AF149" i="56"/>
  <c r="AD142" i="56"/>
  <c r="AA92" i="47" s="1"/>
  <c r="AD143" i="56"/>
  <c r="AA93" i="47" s="1"/>
  <c r="AD146" i="56"/>
  <c r="AA96" i="47" s="1"/>
  <c r="AD140" i="56"/>
  <c r="AA90" i="47" s="1"/>
  <c r="AD139" i="56"/>
  <c r="AA89" i="47" s="1"/>
  <c r="AB99" i="47"/>
  <c r="AF188" i="56"/>
  <c r="AI31" i="55"/>
  <c r="AE129" i="47"/>
  <c r="AF134" i="47"/>
  <c r="AJ37" i="55"/>
  <c r="AJ34" i="55"/>
  <c r="AF128" i="47"/>
  <c r="AE135" i="47"/>
  <c r="AF131" i="47"/>
  <c r="AJ32" i="55"/>
  <c r="AK28" i="55"/>
  <c r="AG127" i="47"/>
  <c r="AE133" i="47"/>
  <c r="AI36" i="55"/>
  <c r="AF130" i="47"/>
  <c r="AJ33" i="55"/>
  <c r="Q51" i="58" l="1"/>
  <c r="P204" i="58"/>
  <c r="P203" i="58"/>
  <c r="P53" i="58"/>
  <c r="Q49" i="58"/>
  <c r="P181" i="58"/>
  <c r="P180" i="58"/>
  <c r="Q52" i="58"/>
  <c r="P215" i="58"/>
  <c r="P214" i="58"/>
  <c r="O226" i="58"/>
  <c r="O264" i="58" s="1"/>
  <c r="L119" i="47" s="1"/>
  <c r="O227" i="58"/>
  <c r="O265" i="58" s="1"/>
  <c r="L125" i="47" s="1"/>
  <c r="Q50" i="58"/>
  <c r="P192" i="58"/>
  <c r="P193" i="58"/>
  <c r="AE144" i="56"/>
  <c r="AB94" i="47" s="1"/>
  <c r="AG149" i="56"/>
  <c r="AC99" i="47"/>
  <c r="AG188" i="56"/>
  <c r="AE143" i="56"/>
  <c r="AB93" i="47" s="1"/>
  <c r="AE139" i="56"/>
  <c r="AB89" i="47" s="1"/>
  <c r="AE145" i="56"/>
  <c r="AB95" i="47" s="1"/>
  <c r="AE147" i="56"/>
  <c r="AA97" i="47"/>
  <c r="AE186" i="56"/>
  <c r="AE142" i="56"/>
  <c r="AB92" i="47" s="1"/>
  <c r="AE141" i="56"/>
  <c r="AB91" i="47" s="1"/>
  <c r="AE140" i="56"/>
  <c r="AB90" i="47" s="1"/>
  <c r="AE146" i="56"/>
  <c r="AB96" i="47" s="1"/>
  <c r="AF137" i="56"/>
  <c r="AC87" i="47" s="1"/>
  <c r="AK32" i="55"/>
  <c r="AG131" i="47"/>
  <c r="AF135" i="47"/>
  <c r="AK37" i="55"/>
  <c r="AG134" i="47"/>
  <c r="AJ36" i="55"/>
  <c r="AF133" i="47"/>
  <c r="AL28" i="55"/>
  <c r="AH127" i="47"/>
  <c r="AJ31" i="55"/>
  <c r="AF129" i="47"/>
  <c r="AK33" i="55"/>
  <c r="AG130" i="47"/>
  <c r="AG128" i="47"/>
  <c r="AK34" i="55"/>
  <c r="R52" i="58" l="1"/>
  <c r="Q215" i="58"/>
  <c r="Q214" i="58"/>
  <c r="R49" i="58"/>
  <c r="Q53" i="58"/>
  <c r="Q180" i="58"/>
  <c r="Q181" i="58"/>
  <c r="P227" i="58"/>
  <c r="P265" i="58" s="1"/>
  <c r="M125" i="47" s="1"/>
  <c r="P226" i="58"/>
  <c r="P264" i="58" s="1"/>
  <c r="M119" i="47" s="1"/>
  <c r="Q192" i="58"/>
  <c r="R50" i="58"/>
  <c r="Q193" i="58"/>
  <c r="R51" i="58"/>
  <c r="Q204" i="58"/>
  <c r="Q203" i="58"/>
  <c r="AF142" i="56"/>
  <c r="AC92" i="47" s="1"/>
  <c r="AF143" i="56"/>
  <c r="AC93" i="47" s="1"/>
  <c r="AF146" i="56"/>
  <c r="AC96" i="47" s="1"/>
  <c r="AG137" i="56"/>
  <c r="AD87" i="47" s="1"/>
  <c r="AD99" i="47"/>
  <c r="AH188" i="56"/>
  <c r="AF141" i="56"/>
  <c r="AC91" i="47" s="1"/>
  <c r="AF140" i="56"/>
  <c r="AC90" i="47" s="1"/>
  <c r="AH149" i="56"/>
  <c r="AF145" i="56"/>
  <c r="AC95" i="47" s="1"/>
  <c r="AF139" i="56"/>
  <c r="AC89" i="47" s="1"/>
  <c r="AF147" i="56"/>
  <c r="AF144" i="56"/>
  <c r="AC94" i="47" s="1"/>
  <c r="AB97" i="47"/>
  <c r="AF186" i="56"/>
  <c r="AG135" i="47"/>
  <c r="AM28" i="55"/>
  <c r="AI127" i="47"/>
  <c r="AK36" i="55"/>
  <c r="AG133" i="47"/>
  <c r="AL32" i="55"/>
  <c r="AH131" i="47"/>
  <c r="AL33" i="55"/>
  <c r="AH130" i="47"/>
  <c r="AK31" i="55"/>
  <c r="AG129" i="47"/>
  <c r="AL37" i="55"/>
  <c r="AH134" i="47"/>
  <c r="AH128" i="47"/>
  <c r="AL34" i="55"/>
  <c r="Q227" i="58" l="1"/>
  <c r="Q265" i="58" s="1"/>
  <c r="N125" i="47" s="1"/>
  <c r="Q226" i="58"/>
  <c r="Q264" i="58" s="1"/>
  <c r="N119" i="47" s="1"/>
  <c r="S50" i="58"/>
  <c r="R192" i="58"/>
  <c r="R193" i="58"/>
  <c r="R180" i="58"/>
  <c r="R181" i="58"/>
  <c r="R53" i="58"/>
  <c r="S49" i="58"/>
  <c r="R204" i="58"/>
  <c r="S51" i="58"/>
  <c r="R203" i="58"/>
  <c r="R215" i="58"/>
  <c r="R214" i="58"/>
  <c r="S52" i="58"/>
  <c r="AI149" i="56"/>
  <c r="AE99" i="47"/>
  <c r="AI188" i="56"/>
  <c r="AG140" i="56"/>
  <c r="AD90" i="47" s="1"/>
  <c r="AG146" i="56"/>
  <c r="AD96" i="47" s="1"/>
  <c r="AG147" i="56"/>
  <c r="AG143" i="56"/>
  <c r="AD93" i="47" s="1"/>
  <c r="AG144" i="56"/>
  <c r="AD94" i="47" s="1"/>
  <c r="AC97" i="47"/>
  <c r="AG186" i="56"/>
  <c r="AH137" i="56"/>
  <c r="AE87" i="47" s="1"/>
  <c r="AG142" i="56"/>
  <c r="AD92" i="47" s="1"/>
  <c r="AG139" i="56"/>
  <c r="AD89" i="47" s="1"/>
  <c r="AG145" i="56"/>
  <c r="AD95" i="47" s="1"/>
  <c r="AG141" i="56"/>
  <c r="AD91" i="47" s="1"/>
  <c r="AM32" i="55"/>
  <c r="AI131" i="47"/>
  <c r="AL31" i="55"/>
  <c r="AH129" i="47"/>
  <c r="AL36" i="55"/>
  <c r="AH133" i="47"/>
  <c r="AH135" i="47"/>
  <c r="AI134" i="47"/>
  <c r="AM37" i="55"/>
  <c r="AI130" i="47"/>
  <c r="AM33" i="55"/>
  <c r="AN28" i="55"/>
  <c r="AJ127" i="47"/>
  <c r="AM34" i="55"/>
  <c r="AI128" i="47"/>
  <c r="T51" i="58" l="1"/>
  <c r="S204" i="58"/>
  <c r="S203" i="58"/>
  <c r="S53" i="58"/>
  <c r="S180" i="58"/>
  <c r="S181" i="58"/>
  <c r="T49" i="58"/>
  <c r="R227" i="58"/>
  <c r="R265" i="58" s="1"/>
  <c r="O125" i="47" s="1"/>
  <c r="R226" i="58"/>
  <c r="R264" i="58" s="1"/>
  <c r="O119" i="47" s="1"/>
  <c r="T52" i="58"/>
  <c r="S214" i="58"/>
  <c r="S215" i="58"/>
  <c r="S192" i="58"/>
  <c r="T50" i="58"/>
  <c r="S193" i="58"/>
  <c r="AI137" i="56"/>
  <c r="AF87" i="47" s="1"/>
  <c r="AH140" i="56"/>
  <c r="AE90" i="47" s="1"/>
  <c r="AH141" i="56"/>
  <c r="AE91" i="47" s="1"/>
  <c r="AH146" i="56"/>
  <c r="AE96" i="47" s="1"/>
  <c r="AH144" i="56"/>
  <c r="AE94" i="47" s="1"/>
  <c r="AH142" i="56"/>
  <c r="AE92" i="47" s="1"/>
  <c r="AH145" i="56"/>
  <c r="AE95" i="47" s="1"/>
  <c r="AH143" i="56"/>
  <c r="AE93" i="47" s="1"/>
  <c r="AH139" i="56"/>
  <c r="AE89" i="47" s="1"/>
  <c r="AD97" i="47"/>
  <c r="AH186" i="56"/>
  <c r="AF99" i="47"/>
  <c r="AJ188" i="56"/>
  <c r="AH147" i="56"/>
  <c r="AJ149" i="56"/>
  <c r="AI129" i="47"/>
  <c r="AM31" i="55"/>
  <c r="AN32" i="55"/>
  <c r="AJ131" i="47"/>
  <c r="AO28" i="55"/>
  <c r="AK127" i="47"/>
  <c r="AN37" i="55"/>
  <c r="AJ134" i="47"/>
  <c r="AI135" i="47"/>
  <c r="AN34" i="55"/>
  <c r="AJ128" i="47"/>
  <c r="AN33" i="55"/>
  <c r="AJ130" i="47"/>
  <c r="AM36" i="55"/>
  <c r="AI133" i="47"/>
  <c r="T53" i="58" l="1"/>
  <c r="T181" i="58"/>
  <c r="U49" i="58"/>
  <c r="T180" i="58"/>
  <c r="S227" i="58"/>
  <c r="S265" i="58" s="1"/>
  <c r="P125" i="47" s="1"/>
  <c r="T193" i="58"/>
  <c r="U50" i="58"/>
  <c r="T192" i="58"/>
  <c r="T215" i="58"/>
  <c r="U52" i="58"/>
  <c r="T214" i="58"/>
  <c r="S226" i="58"/>
  <c r="S264" i="58" s="1"/>
  <c r="P119" i="47" s="1"/>
  <c r="T204" i="58"/>
  <c r="T203" i="58"/>
  <c r="U51" i="58"/>
  <c r="AI143" i="56"/>
  <c r="AF93" i="47" s="1"/>
  <c r="AG99" i="47"/>
  <c r="AK188" i="56"/>
  <c r="AI145" i="56"/>
  <c r="AF95" i="47" s="1"/>
  <c r="AI139" i="56"/>
  <c r="AF89" i="47" s="1"/>
  <c r="AK149" i="56"/>
  <c r="AI146" i="56"/>
  <c r="AF96" i="47" s="1"/>
  <c r="AE97" i="47"/>
  <c r="AI186" i="56"/>
  <c r="AI142" i="56"/>
  <c r="AF92" i="47" s="1"/>
  <c r="AI141" i="56"/>
  <c r="AF91" i="47" s="1"/>
  <c r="AI140" i="56"/>
  <c r="AF90" i="47" s="1"/>
  <c r="AI147" i="56"/>
  <c r="AI144" i="56"/>
  <c r="AF94" i="47" s="1"/>
  <c r="AJ137" i="56"/>
  <c r="AG87" i="47" s="1"/>
  <c r="AJ129" i="47"/>
  <c r="AN31" i="55"/>
  <c r="AK128" i="47"/>
  <c r="AO34" i="55"/>
  <c r="AP28" i="55"/>
  <c r="AM127" i="47" s="1"/>
  <c r="AL127" i="47"/>
  <c r="AJ135" i="47"/>
  <c r="AO32" i="55"/>
  <c r="AK131" i="47"/>
  <c r="AJ133" i="47"/>
  <c r="AN36" i="55"/>
  <c r="AO33" i="55"/>
  <c r="AK130" i="47"/>
  <c r="AO37" i="55"/>
  <c r="AK134" i="47"/>
  <c r="T227" i="58" l="1"/>
  <c r="T265" i="58" s="1"/>
  <c r="Q125" i="47" s="1"/>
  <c r="T226" i="58"/>
  <c r="T264" i="58" s="1"/>
  <c r="Q119" i="47" s="1"/>
  <c r="U192" i="58"/>
  <c r="V50" i="58"/>
  <c r="U193" i="58"/>
  <c r="U215" i="58"/>
  <c r="U214" i="58"/>
  <c r="V52" i="58"/>
  <c r="U203" i="58"/>
  <c r="U204" i="58"/>
  <c r="V51" i="58"/>
  <c r="V49" i="58"/>
  <c r="U180" i="58"/>
  <c r="U53" i="58"/>
  <c r="U181" i="58"/>
  <c r="AH99" i="47"/>
  <c r="AL188" i="56"/>
  <c r="AL149" i="56"/>
  <c r="AJ139" i="56"/>
  <c r="AG89" i="47" s="1"/>
  <c r="AJ142" i="56"/>
  <c r="AG92" i="47" s="1"/>
  <c r="AJ145" i="56"/>
  <c r="AG95" i="47" s="1"/>
  <c r="AJ141" i="56"/>
  <c r="AG91" i="47" s="1"/>
  <c r="AJ144" i="56"/>
  <c r="AG94" i="47" s="1"/>
  <c r="AF97" i="47"/>
  <c r="AJ186" i="56"/>
  <c r="AJ147" i="56"/>
  <c r="AJ146" i="56"/>
  <c r="AG96" i="47" s="1"/>
  <c r="AK137" i="56"/>
  <c r="AH87" i="47" s="1"/>
  <c r="AJ140" i="56"/>
  <c r="AG90" i="47" s="1"/>
  <c r="AJ143" i="56"/>
  <c r="AG93" i="47" s="1"/>
  <c r="AK135" i="47"/>
  <c r="AO36" i="55"/>
  <c r="AK133" i="47"/>
  <c r="AP37" i="55"/>
  <c r="AM134" i="47" s="1"/>
  <c r="AL134" i="47"/>
  <c r="AK129" i="47"/>
  <c r="AO31" i="55"/>
  <c r="AP33" i="55"/>
  <c r="AM130" i="47" s="1"/>
  <c r="AL130" i="47"/>
  <c r="AP32" i="55"/>
  <c r="AM131" i="47" s="1"/>
  <c r="AL131" i="47"/>
  <c r="AP34" i="55"/>
  <c r="AM128" i="47" s="1"/>
  <c r="AL128" i="47"/>
  <c r="V203" i="58" l="1"/>
  <c r="V204" i="58"/>
  <c r="W51" i="58"/>
  <c r="V214" i="58"/>
  <c r="V215" i="58"/>
  <c r="W52" i="58"/>
  <c r="U226" i="58"/>
  <c r="U264" i="58" s="1"/>
  <c r="R119" i="47" s="1"/>
  <c r="V180" i="58"/>
  <c r="W49" i="58"/>
  <c r="V53" i="58"/>
  <c r="V181" i="58"/>
  <c r="U227" i="58"/>
  <c r="U265" i="58" s="1"/>
  <c r="R125" i="47" s="1"/>
  <c r="V193" i="58"/>
  <c r="V192" i="58"/>
  <c r="W50" i="58"/>
  <c r="AK142" i="56"/>
  <c r="AH92" i="47" s="1"/>
  <c r="AK147" i="56"/>
  <c r="AK143" i="56"/>
  <c r="AH93" i="47" s="1"/>
  <c r="AK140" i="56"/>
  <c r="AH90" i="47" s="1"/>
  <c r="AK144" i="56"/>
  <c r="AH94" i="47" s="1"/>
  <c r="AK139" i="56"/>
  <c r="AH89" i="47" s="1"/>
  <c r="AM149" i="56"/>
  <c r="AG97" i="47"/>
  <c r="AK186" i="56"/>
  <c r="AK141" i="56"/>
  <c r="AH91" i="47" s="1"/>
  <c r="AM188" i="56"/>
  <c r="AI99" i="47"/>
  <c r="AL137" i="56"/>
  <c r="AI87" i="47" s="1"/>
  <c r="AK145" i="56"/>
  <c r="AH95" i="47" s="1"/>
  <c r="AK146" i="56"/>
  <c r="AH96" i="47" s="1"/>
  <c r="AP31" i="55"/>
  <c r="AM129" i="47" s="1"/>
  <c r="AL129" i="47"/>
  <c r="AM135" i="47"/>
  <c r="AL135" i="47"/>
  <c r="AL133" i="47"/>
  <c r="AP36" i="55"/>
  <c r="AM133" i="47" s="1"/>
  <c r="V226" i="58" l="1"/>
  <c r="V264" i="58" s="1"/>
  <c r="S119" i="47" s="1"/>
  <c r="X49" i="58"/>
  <c r="W53" i="58"/>
  <c r="W180" i="58"/>
  <c r="W181" i="58"/>
  <c r="W215" i="58"/>
  <c r="W214" i="58"/>
  <c r="X52" i="58"/>
  <c r="X50" i="58"/>
  <c r="W193" i="58"/>
  <c r="W192" i="58"/>
  <c r="X51" i="58"/>
  <c r="W204" i="58"/>
  <c r="W203" i="58"/>
  <c r="V227" i="58"/>
  <c r="V265" i="58" s="1"/>
  <c r="S125" i="47" s="1"/>
  <c r="AL147" i="56"/>
  <c r="AH97" i="47"/>
  <c r="AL186" i="56"/>
  <c r="AN149" i="56"/>
  <c r="AL143" i="56"/>
  <c r="AI93" i="47" s="1"/>
  <c r="AN188" i="56"/>
  <c r="AJ99" i="47"/>
  <c r="AL145" i="56"/>
  <c r="AI95" i="47" s="1"/>
  <c r="AL139" i="56"/>
  <c r="AI89" i="47" s="1"/>
  <c r="AL140" i="56"/>
  <c r="AI90" i="47" s="1"/>
  <c r="AL141" i="56"/>
  <c r="AI91" i="47" s="1"/>
  <c r="AM137" i="56"/>
  <c r="AJ87" i="47" s="1"/>
  <c r="AL144" i="56"/>
  <c r="AI94" i="47" s="1"/>
  <c r="AL142" i="56"/>
  <c r="AI92" i="47" s="1"/>
  <c r="AL146" i="56"/>
  <c r="AI96" i="47" s="1"/>
  <c r="W226" i="58" l="1"/>
  <c r="W264" i="58" s="1"/>
  <c r="T119" i="47" s="1"/>
  <c r="W227" i="58"/>
  <c r="W265" i="58" s="1"/>
  <c r="T125" i="47" s="1"/>
  <c r="X193" i="58"/>
  <c r="Y50" i="58"/>
  <c r="X192" i="58"/>
  <c r="X215" i="58"/>
  <c r="X214" i="58"/>
  <c r="Y52" i="58"/>
  <c r="Y51" i="58"/>
  <c r="X204" i="58"/>
  <c r="X203" i="58"/>
  <c r="X181" i="58"/>
  <c r="Y49" i="58"/>
  <c r="X180" i="58"/>
  <c r="X53" i="58"/>
  <c r="AM143" i="56"/>
  <c r="AJ93" i="47" s="1"/>
  <c r="AM139" i="56"/>
  <c r="AJ89" i="47" s="1"/>
  <c r="AO188" i="56"/>
  <c r="AK99" i="47"/>
  <c r="AO149" i="56"/>
  <c r="AP149" i="56"/>
  <c r="AM140" i="56"/>
  <c r="AJ90" i="47" s="1"/>
  <c r="AM146" i="56"/>
  <c r="AJ96" i="47" s="1"/>
  <c r="AM145" i="56"/>
  <c r="AJ95" i="47" s="1"/>
  <c r="AM142" i="56"/>
  <c r="AJ92" i="47" s="1"/>
  <c r="AM147" i="56"/>
  <c r="AM144" i="56"/>
  <c r="AJ94" i="47" s="1"/>
  <c r="AI97" i="47"/>
  <c r="AM186" i="56"/>
  <c r="AM141" i="56"/>
  <c r="AJ91" i="47" s="1"/>
  <c r="AN137" i="56"/>
  <c r="AK87" i="47" s="1"/>
  <c r="Y215" i="58" l="1"/>
  <c r="Y214" i="58"/>
  <c r="Z52" i="58"/>
  <c r="Y204" i="58"/>
  <c r="Y203" i="58"/>
  <c r="Z51" i="58"/>
  <c r="X226" i="58"/>
  <c r="X264" i="58" s="1"/>
  <c r="U119" i="47" s="1"/>
  <c r="Y180" i="58"/>
  <c r="Y181" i="58"/>
  <c r="Y53" i="58"/>
  <c r="Z49" i="58"/>
  <c r="Z50" i="58"/>
  <c r="Y192" i="58"/>
  <c r="Y193" i="58"/>
  <c r="X227" i="58"/>
  <c r="X265" i="58" s="1"/>
  <c r="U125" i="47" s="1"/>
  <c r="AL99" i="47"/>
  <c r="AP188" i="56"/>
  <c r="AN144" i="56"/>
  <c r="AK94" i="47" s="1"/>
  <c r="AN147" i="56"/>
  <c r="AM99" i="47"/>
  <c r="AQ188" i="56"/>
  <c r="AJ97" i="47"/>
  <c r="AN186" i="56"/>
  <c r="AN142" i="56"/>
  <c r="AK92" i="47" s="1"/>
  <c r="AN139" i="56"/>
  <c r="AK89" i="47" s="1"/>
  <c r="AO137" i="56"/>
  <c r="AL87" i="47" s="1"/>
  <c r="AP137" i="56"/>
  <c r="AM87" i="47" s="1"/>
  <c r="AN145" i="56"/>
  <c r="AK95" i="47" s="1"/>
  <c r="AN143" i="56"/>
  <c r="AK93" i="47" s="1"/>
  <c r="AN141" i="56"/>
  <c r="AK91" i="47" s="1"/>
  <c r="AN146" i="56"/>
  <c r="AK96" i="47" s="1"/>
  <c r="AN140" i="56"/>
  <c r="AK90" i="47" s="1"/>
  <c r="Y227" i="58" l="1"/>
  <c r="Y265" i="58" s="1"/>
  <c r="V125" i="47" s="1"/>
  <c r="Z193" i="58"/>
  <c r="AA50" i="58"/>
  <c r="Z192" i="58"/>
  <c r="AA49" i="58"/>
  <c r="Z181" i="58"/>
  <c r="Z53" i="58"/>
  <c r="Z180" i="58"/>
  <c r="AA51" i="58"/>
  <c r="Z203" i="58"/>
  <c r="Z204" i="58"/>
  <c r="Z214" i="58"/>
  <c r="AA52" i="58"/>
  <c r="Z215" i="58"/>
  <c r="Y226" i="58"/>
  <c r="Y264" i="58" s="1"/>
  <c r="V119" i="47" s="1"/>
  <c r="AO145" i="56"/>
  <c r="AL95" i="47" s="1"/>
  <c r="AP145" i="56"/>
  <c r="AM95" i="47" s="1"/>
  <c r="AO147" i="56"/>
  <c r="AP147" i="56"/>
  <c r="AP140" i="56"/>
  <c r="AM90" i="47" s="1"/>
  <c r="AO140" i="56"/>
  <c r="AL90" i="47" s="1"/>
  <c r="AP146" i="56"/>
  <c r="AM96" i="47" s="1"/>
  <c r="AO146" i="56"/>
  <c r="AL96" i="47" s="1"/>
  <c r="AK97" i="47"/>
  <c r="AO186" i="56"/>
  <c r="AO144" i="56"/>
  <c r="AL94" i="47" s="1"/>
  <c r="AP144" i="56"/>
  <c r="AM94" i="47" s="1"/>
  <c r="AP142" i="56"/>
  <c r="AM92" i="47" s="1"/>
  <c r="AO142" i="56"/>
  <c r="AL92" i="47" s="1"/>
  <c r="AO141" i="56"/>
  <c r="AL91" i="47" s="1"/>
  <c r="AP141" i="56"/>
  <c r="AM91" i="47" s="1"/>
  <c r="AO143" i="56"/>
  <c r="AL93" i="47" s="1"/>
  <c r="AP143" i="56"/>
  <c r="AM93" i="47" s="1"/>
  <c r="AP139" i="56"/>
  <c r="AM89" i="47" s="1"/>
  <c r="AO139" i="56"/>
  <c r="AL89" i="47" s="1"/>
  <c r="AA214" i="58" l="1"/>
  <c r="AA215" i="58"/>
  <c r="AB52" i="58"/>
  <c r="AA203" i="58"/>
  <c r="AA204" i="58"/>
  <c r="AB51" i="58"/>
  <c r="AA180" i="58"/>
  <c r="AA181" i="58"/>
  <c r="AA53" i="58"/>
  <c r="AB49" i="58"/>
  <c r="Z226" i="58"/>
  <c r="Z264" i="58" s="1"/>
  <c r="W119" i="47" s="1"/>
  <c r="AA192" i="58"/>
  <c r="AA193" i="58"/>
  <c r="AB50" i="58"/>
  <c r="Z227" i="58"/>
  <c r="Z265" i="58" s="1"/>
  <c r="W125" i="47" s="1"/>
  <c r="AM97" i="47"/>
  <c r="AQ186" i="56"/>
  <c r="AL97" i="47"/>
  <c r="AP186" i="56"/>
  <c r="AA226" i="58" l="1"/>
  <c r="AA264" i="58" s="1"/>
  <c r="X119" i="47" s="1"/>
  <c r="AB204" i="58"/>
  <c r="AB203" i="58"/>
  <c r="AC51" i="58"/>
  <c r="AB180" i="58"/>
  <c r="AB181" i="58"/>
  <c r="AC49" i="58"/>
  <c r="AB53" i="58"/>
  <c r="AB215" i="58"/>
  <c r="AB214" i="58"/>
  <c r="AC52" i="58"/>
  <c r="AB193" i="58"/>
  <c r="AB192" i="58"/>
  <c r="AC50" i="58"/>
  <c r="AA227" i="58"/>
  <c r="AA265" i="58" s="1"/>
  <c r="X125" i="47" s="1"/>
  <c r="AB227" i="58" l="1"/>
  <c r="AB265" i="58" s="1"/>
  <c r="Y125" i="47" s="1"/>
  <c r="AB226" i="58"/>
  <c r="AB264" i="58" s="1"/>
  <c r="Y119" i="47" s="1"/>
  <c r="AC215" i="58"/>
  <c r="AD52" i="58"/>
  <c r="AC214" i="58"/>
  <c r="AC203" i="58"/>
  <c r="AC204" i="58"/>
  <c r="AD51" i="58"/>
  <c r="AC181" i="58"/>
  <c r="AC53" i="58"/>
  <c r="AC180" i="58"/>
  <c r="AD49" i="58"/>
  <c r="AC193" i="58"/>
  <c r="AC192" i="58"/>
  <c r="AD50" i="58"/>
  <c r="T137" i="57"/>
  <c r="K137" i="57" s="1"/>
  <c r="AC226" i="58" l="1"/>
  <c r="AC264" i="58" s="1"/>
  <c r="Z119" i="47" s="1"/>
  <c r="AC227" i="58"/>
  <c r="AC265" i="58" s="1"/>
  <c r="Z125" i="47" s="1"/>
  <c r="AE49" i="58"/>
  <c r="AD180" i="58"/>
  <c r="AD53" i="58"/>
  <c r="AD181" i="58"/>
  <c r="AD214" i="58"/>
  <c r="AE52" i="58"/>
  <c r="AD215" i="58"/>
  <c r="AD203" i="58"/>
  <c r="AD204" i="58"/>
  <c r="AE51" i="58"/>
  <c r="AD192" i="58"/>
  <c r="AE50" i="58"/>
  <c r="AD193" i="58"/>
  <c r="U137" i="57"/>
  <c r="L137" i="57" s="1"/>
  <c r="AE192" i="58" l="1"/>
  <c r="AE193" i="58"/>
  <c r="AF50" i="58"/>
  <c r="AE203" i="58"/>
  <c r="AF51" i="58"/>
  <c r="AE204" i="58"/>
  <c r="AE215" i="58"/>
  <c r="AF52" i="58"/>
  <c r="AE214" i="58"/>
  <c r="AD226" i="58"/>
  <c r="AD264" i="58" s="1"/>
  <c r="AA119" i="47" s="1"/>
  <c r="AD227" i="58"/>
  <c r="AD265" i="58" s="1"/>
  <c r="AA125" i="47" s="1"/>
  <c r="AE181" i="58"/>
  <c r="AF49" i="58"/>
  <c r="AE53" i="58"/>
  <c r="AE180" i="58"/>
  <c r="V137" i="57"/>
  <c r="AF204" i="58" l="1"/>
  <c r="AG51" i="58"/>
  <c r="AF203" i="58"/>
  <c r="AG52" i="58"/>
  <c r="AF214" i="58"/>
  <c r="AF215" i="58"/>
  <c r="AG50" i="58"/>
  <c r="AF193" i="58"/>
  <c r="AF192" i="58"/>
  <c r="AE227" i="58"/>
  <c r="AE265" i="58" s="1"/>
  <c r="AB125" i="47" s="1"/>
  <c r="AF53" i="58"/>
  <c r="AF180" i="58"/>
  <c r="AF181" i="58"/>
  <c r="AG49" i="58"/>
  <c r="AE226" i="58"/>
  <c r="AE264" i="58" s="1"/>
  <c r="AB119" i="47" s="1"/>
  <c r="C9" i="15"/>
  <c r="D9" i="15"/>
  <c r="AF226" i="58" l="1"/>
  <c r="AF264" i="58" s="1"/>
  <c r="AC119" i="47" s="1"/>
  <c r="AF227" i="58"/>
  <c r="AF265" i="58" s="1"/>
  <c r="AC125" i="47" s="1"/>
  <c r="AG214" i="58"/>
  <c r="AG215" i="58"/>
  <c r="AH52" i="58"/>
  <c r="AH50" i="58"/>
  <c r="AG193" i="58"/>
  <c r="AG192" i="58"/>
  <c r="AH49" i="58"/>
  <c r="AG53" i="58"/>
  <c r="AG181" i="58"/>
  <c r="AG180" i="58"/>
  <c r="AG203" i="58"/>
  <c r="AG204" i="58"/>
  <c r="AH51" i="58"/>
  <c r="L133" i="55"/>
  <c r="K211" i="55"/>
  <c r="J211" i="55"/>
  <c r="J154" i="55"/>
  <c r="AN154" i="55"/>
  <c r="AC154" i="55"/>
  <c r="AB154" i="55"/>
  <c r="R154" i="55"/>
  <c r="AN192" i="55"/>
  <c r="AB192" i="55"/>
  <c r="T192" i="55"/>
  <c r="S192" i="55"/>
  <c r="R192" i="55"/>
  <c r="K173" i="55"/>
  <c r="J173" i="55"/>
  <c r="J133" i="55"/>
  <c r="AN133" i="55"/>
  <c r="AB133" i="55"/>
  <c r="S133" i="55"/>
  <c r="R133" i="55"/>
  <c r="K133" i="55"/>
  <c r="AN91" i="55"/>
  <c r="AE91" i="55"/>
  <c r="AD91" i="55"/>
  <c r="AC91" i="55"/>
  <c r="AB91" i="55"/>
  <c r="S91" i="55"/>
  <c r="R91" i="55"/>
  <c r="AN230" i="55"/>
  <c r="AB230" i="55"/>
  <c r="U230" i="55"/>
  <c r="T230" i="55"/>
  <c r="S230" i="55"/>
  <c r="R230" i="55"/>
  <c r="AN112" i="55"/>
  <c r="AD112" i="55"/>
  <c r="AC112" i="55"/>
  <c r="AB112" i="55"/>
  <c r="R112" i="55"/>
  <c r="L112" i="55"/>
  <c r="K112" i="55"/>
  <c r="J112" i="55"/>
  <c r="J70" i="55"/>
  <c r="AN70" i="55"/>
  <c r="AC70" i="55"/>
  <c r="R70" i="55"/>
  <c r="K70" i="55"/>
  <c r="AI49" i="58" l="1"/>
  <c r="AH53" i="58"/>
  <c r="AH180" i="58"/>
  <c r="AH181" i="58"/>
  <c r="AG226" i="58"/>
  <c r="AG264" i="58" s="1"/>
  <c r="AD119" i="47" s="1"/>
  <c r="AG227" i="58"/>
  <c r="AG265" i="58" s="1"/>
  <c r="AD125" i="47" s="1"/>
  <c r="AI50" i="58"/>
  <c r="AH193" i="58"/>
  <c r="AH192" i="58"/>
  <c r="AH215" i="58"/>
  <c r="AH214" i="58"/>
  <c r="AI52" i="58"/>
  <c r="AH204" i="58"/>
  <c r="AH203" i="58"/>
  <c r="AI51" i="58"/>
  <c r="K85" i="55"/>
  <c r="L70" i="55"/>
  <c r="K91" i="55"/>
  <c r="K218" i="55"/>
  <c r="K223" i="55"/>
  <c r="K227" i="55"/>
  <c r="K216" i="55"/>
  <c r="K222" i="55"/>
  <c r="K212" i="55"/>
  <c r="K219" i="55"/>
  <c r="K221" i="55"/>
  <c r="K215" i="55"/>
  <c r="K220" i="55"/>
  <c r="K224" i="55"/>
  <c r="K214" i="55"/>
  <c r="K228" i="55"/>
  <c r="K225" i="55"/>
  <c r="K217" i="55"/>
  <c r="K213" i="55"/>
  <c r="K226" i="55"/>
  <c r="K229" i="55"/>
  <c r="K230" i="55"/>
  <c r="T211" i="55"/>
  <c r="K154" i="55"/>
  <c r="K192" i="55"/>
  <c r="K179" i="55"/>
  <c r="K183" i="55"/>
  <c r="K189" i="55"/>
  <c r="K188" i="55"/>
  <c r="K176" i="55"/>
  <c r="K178" i="55"/>
  <c r="K175" i="55"/>
  <c r="K181" i="55"/>
  <c r="K174" i="55"/>
  <c r="K186" i="55"/>
  <c r="K182" i="55"/>
  <c r="K187" i="55"/>
  <c r="K180" i="55"/>
  <c r="K184" i="55"/>
  <c r="K177" i="55"/>
  <c r="K185" i="55"/>
  <c r="K129" i="55"/>
  <c r="L129" i="55" s="1"/>
  <c r="K130" i="55"/>
  <c r="L130" i="55" s="1"/>
  <c r="K128" i="55"/>
  <c r="L128" i="55" s="1"/>
  <c r="K123" i="55"/>
  <c r="L123" i="55" s="1"/>
  <c r="K115" i="55"/>
  <c r="L115" i="55" s="1"/>
  <c r="K126" i="55"/>
  <c r="L126" i="55" s="1"/>
  <c r="K120" i="55"/>
  <c r="L120" i="55" s="1"/>
  <c r="K121" i="55"/>
  <c r="L121" i="55" s="1"/>
  <c r="K114" i="55"/>
  <c r="L114" i="55" s="1"/>
  <c r="K127" i="55"/>
  <c r="L127" i="55" s="1"/>
  <c r="K131" i="55"/>
  <c r="L131" i="55" s="1"/>
  <c r="K117" i="55"/>
  <c r="L117" i="55" s="1"/>
  <c r="K118" i="55"/>
  <c r="L118" i="55" s="1"/>
  <c r="K125" i="55"/>
  <c r="L125" i="55" s="1"/>
  <c r="K132" i="55"/>
  <c r="L132" i="55" s="1"/>
  <c r="K119" i="55"/>
  <c r="L119" i="55" s="1"/>
  <c r="K113" i="55"/>
  <c r="L113" i="55" s="1"/>
  <c r="K116" i="55"/>
  <c r="L116" i="55" s="1"/>
  <c r="K124" i="55"/>
  <c r="L124" i="55" s="1"/>
  <c r="K122" i="55"/>
  <c r="L122" i="55" s="1"/>
  <c r="K153" i="55"/>
  <c r="L153" i="55" s="1"/>
  <c r="K135" i="55"/>
  <c r="H10" i="47" s="1"/>
  <c r="K148" i="55"/>
  <c r="L148" i="55" s="1"/>
  <c r="K137" i="55"/>
  <c r="H11" i="47" s="1"/>
  <c r="K144" i="55"/>
  <c r="H19" i="47" s="1"/>
  <c r="K151" i="55"/>
  <c r="H20" i="47" s="1"/>
  <c r="K152" i="55"/>
  <c r="L152" i="55" s="1"/>
  <c r="K134" i="55"/>
  <c r="H15" i="47" s="1"/>
  <c r="K139" i="55"/>
  <c r="H18" i="47" s="1"/>
  <c r="K136" i="55"/>
  <c r="H16" i="47" s="1"/>
  <c r="K150" i="55"/>
  <c r="L150" i="55" s="1"/>
  <c r="K140" i="55"/>
  <c r="H13" i="47" s="1"/>
  <c r="K141" i="55"/>
  <c r="H17" i="47" s="1"/>
  <c r="K146" i="55"/>
  <c r="L146" i="55" s="1"/>
  <c r="K147" i="55"/>
  <c r="L147" i="55" s="1"/>
  <c r="K143" i="55"/>
  <c r="L143" i="55" s="1"/>
  <c r="K149" i="55"/>
  <c r="L149" i="55" s="1"/>
  <c r="K142" i="55"/>
  <c r="H12" i="47" s="1"/>
  <c r="K138" i="55"/>
  <c r="H14" i="47" s="1"/>
  <c r="K145" i="55"/>
  <c r="L145" i="55" s="1"/>
  <c r="N133" i="55"/>
  <c r="K74" i="55"/>
  <c r="H32" i="47" s="1"/>
  <c r="K79" i="55"/>
  <c r="H33" i="47" s="1"/>
  <c r="K77" i="55"/>
  <c r="H34" i="47" s="1"/>
  <c r="K89" i="55"/>
  <c r="K78" i="55"/>
  <c r="H38" i="47" s="1"/>
  <c r="K82" i="55"/>
  <c r="K71" i="55"/>
  <c r="H36" i="47" s="1"/>
  <c r="K80" i="55"/>
  <c r="K72" i="55"/>
  <c r="H31" i="47" s="1"/>
  <c r="K83" i="55"/>
  <c r="K86" i="55"/>
  <c r="K81" i="55"/>
  <c r="H41" i="47" s="1"/>
  <c r="K75" i="55"/>
  <c r="H35" i="47" s="1"/>
  <c r="J230" i="55"/>
  <c r="K88" i="55"/>
  <c r="H40" i="47" s="1"/>
  <c r="AO91" i="55"/>
  <c r="AP91" i="55"/>
  <c r="J192" i="55"/>
  <c r="K73" i="55"/>
  <c r="H37" i="47" s="1"/>
  <c r="J91" i="55"/>
  <c r="AP112" i="55"/>
  <c r="AO112" i="55"/>
  <c r="AB173" i="55"/>
  <c r="AN173" i="55"/>
  <c r="AB211" i="55"/>
  <c r="AN211" i="55"/>
  <c r="M133" i="55"/>
  <c r="AP70" i="55"/>
  <c r="AO70" i="55"/>
  <c r="AC173" i="55"/>
  <c r="AO173" i="55"/>
  <c r="AP173" i="55"/>
  <c r="K76" i="55"/>
  <c r="H39" i="47" s="1"/>
  <c r="R173" i="55"/>
  <c r="R211" i="55"/>
  <c r="K90" i="55"/>
  <c r="S211" i="55"/>
  <c r="S173" i="55"/>
  <c r="K84" i="55"/>
  <c r="K87" i="55"/>
  <c r="AO154" i="55"/>
  <c r="AP154" i="55"/>
  <c r="AI214" i="58" l="1"/>
  <c r="AI215" i="58"/>
  <c r="AJ52" i="58"/>
  <c r="AH226" i="58"/>
  <c r="AH264" i="58" s="1"/>
  <c r="AE119" i="47" s="1"/>
  <c r="AH227" i="58"/>
  <c r="AH265" i="58" s="1"/>
  <c r="AE125" i="47" s="1"/>
  <c r="AI192" i="58"/>
  <c r="AJ50" i="58"/>
  <c r="AI193" i="58"/>
  <c r="AJ51" i="58"/>
  <c r="AI204" i="58"/>
  <c r="AI203" i="58"/>
  <c r="AJ49" i="58"/>
  <c r="AI180" i="58"/>
  <c r="AI53" i="58"/>
  <c r="AI181" i="58"/>
  <c r="L135" i="55"/>
  <c r="I10" i="47" s="1"/>
  <c r="L136" i="55"/>
  <c r="I16" i="47" s="1"/>
  <c r="L138" i="55"/>
  <c r="I14" i="47" s="1"/>
  <c r="L151" i="55"/>
  <c r="I20" i="47" s="1"/>
  <c r="L134" i="55"/>
  <c r="I15" i="47" s="1"/>
  <c r="L139" i="55"/>
  <c r="I18" i="47" s="1"/>
  <c r="L137" i="55"/>
  <c r="I11" i="47" s="1"/>
  <c r="L144" i="55"/>
  <c r="I19" i="47" s="1"/>
  <c r="T173" i="55"/>
  <c r="AO211" i="55"/>
  <c r="AP211" i="55"/>
  <c r="AD70" i="55"/>
  <c r="U192" i="55"/>
  <c r="AC211" i="55"/>
  <c r="L173" i="55"/>
  <c r="L142" i="55"/>
  <c r="I12" i="47" s="1"/>
  <c r="AD173" i="55"/>
  <c r="M152" i="55"/>
  <c r="N152" i="55" s="1"/>
  <c r="M145" i="55"/>
  <c r="N145" i="55" s="1"/>
  <c r="M150" i="55"/>
  <c r="N150" i="55" s="1"/>
  <c r="M146" i="55"/>
  <c r="N146" i="55" s="1"/>
  <c r="M153" i="55"/>
  <c r="N153" i="55" s="1"/>
  <c r="M143" i="55"/>
  <c r="N143" i="55" s="1"/>
  <c r="M149" i="55"/>
  <c r="N149" i="55" s="1"/>
  <c r="M147" i="55"/>
  <c r="N147" i="55" s="1"/>
  <c r="M148" i="55"/>
  <c r="N148" i="55" s="1"/>
  <c r="L211" i="55"/>
  <c r="L192" i="55"/>
  <c r="AO230" i="55"/>
  <c r="AP230" i="55"/>
  <c r="T133" i="55"/>
  <c r="O133" i="55"/>
  <c r="AC133" i="55"/>
  <c r="AF91" i="55"/>
  <c r="AC230" i="55"/>
  <c r="L154" i="55"/>
  <c r="L140" i="55"/>
  <c r="I13" i="47" s="1"/>
  <c r="S70" i="55"/>
  <c r="AD154" i="55"/>
  <c r="T91" i="55"/>
  <c r="S154" i="55"/>
  <c r="K168" i="55"/>
  <c r="K155" i="55"/>
  <c r="H47" i="47" s="1"/>
  <c r="K160" i="55"/>
  <c r="H50" i="47" s="1"/>
  <c r="K165" i="55"/>
  <c r="H51" i="47" s="1"/>
  <c r="K163" i="55"/>
  <c r="H44" i="47" s="1"/>
  <c r="K170" i="55"/>
  <c r="K161" i="55"/>
  <c r="H45" i="47" s="1"/>
  <c r="K157" i="55"/>
  <c r="H48" i="47" s="1"/>
  <c r="K171" i="55"/>
  <c r="K169" i="55"/>
  <c r="K167" i="55"/>
  <c r="K162" i="55"/>
  <c r="H49" i="47" s="1"/>
  <c r="K156" i="55"/>
  <c r="H42" i="47" s="1"/>
  <c r="K158" i="55"/>
  <c r="H43" i="47" s="1"/>
  <c r="K166" i="55"/>
  <c r="K172" i="55"/>
  <c r="K164" i="55"/>
  <c r="K159" i="55"/>
  <c r="H46" i="47" s="1"/>
  <c r="L91" i="55"/>
  <c r="K200" i="55"/>
  <c r="H28" i="47" s="1"/>
  <c r="K203" i="55"/>
  <c r="H30" i="47" s="1"/>
  <c r="K194" i="55"/>
  <c r="H21" i="47" s="1"/>
  <c r="K202" i="55"/>
  <c r="K201" i="55"/>
  <c r="H23" i="47" s="1"/>
  <c r="K207" i="55"/>
  <c r="K195" i="55"/>
  <c r="H27" i="47" s="1"/>
  <c r="K193" i="55"/>
  <c r="H26" i="47" s="1"/>
  <c r="K198" i="55"/>
  <c r="H29" i="47" s="1"/>
  <c r="K208" i="55"/>
  <c r="K204" i="55"/>
  <c r="K197" i="55"/>
  <c r="H25" i="47" s="1"/>
  <c r="K206" i="55"/>
  <c r="K199" i="55"/>
  <c r="H24" i="47" s="1"/>
  <c r="K196" i="55"/>
  <c r="H22" i="47" s="1"/>
  <c r="K205" i="55"/>
  <c r="V230" i="55"/>
  <c r="M112" i="55"/>
  <c r="U211" i="55"/>
  <c r="K111" i="55"/>
  <c r="K105" i="55"/>
  <c r="K96" i="55"/>
  <c r="K99" i="55"/>
  <c r="K103" i="55"/>
  <c r="K100" i="55"/>
  <c r="K95" i="55"/>
  <c r="K92" i="55"/>
  <c r="K94" i="55"/>
  <c r="K106" i="55"/>
  <c r="K108" i="55"/>
  <c r="K98" i="55"/>
  <c r="K93" i="55"/>
  <c r="K110" i="55"/>
  <c r="K101" i="55"/>
  <c r="K107" i="55"/>
  <c r="K102" i="55"/>
  <c r="K109" i="55"/>
  <c r="K97" i="55"/>
  <c r="K104" i="55"/>
  <c r="AO133" i="55"/>
  <c r="AP133" i="55"/>
  <c r="AE112" i="55"/>
  <c r="M70" i="55"/>
  <c r="S112" i="55"/>
  <c r="L141" i="55"/>
  <c r="I17" i="47" s="1"/>
  <c r="AO192" i="55"/>
  <c r="AP192" i="55"/>
  <c r="K242" i="55"/>
  <c r="K248" i="55"/>
  <c r="K245" i="55"/>
  <c r="K249" i="55"/>
  <c r="K235" i="55"/>
  <c r="H58" i="47" s="1"/>
  <c r="K247" i="55"/>
  <c r="K237" i="55"/>
  <c r="H56" i="47" s="1"/>
  <c r="K252" i="55"/>
  <c r="K241" i="55"/>
  <c r="H54" i="47" s="1"/>
  <c r="K231" i="55"/>
  <c r="K234" i="55"/>
  <c r="H52" i="47" s="1"/>
  <c r="K238" i="55"/>
  <c r="H60" i="47" s="1"/>
  <c r="K232" i="55"/>
  <c r="K236" i="55"/>
  <c r="H53" i="47" s="1"/>
  <c r="K253" i="55"/>
  <c r="H132" i="47" s="1"/>
  <c r="K250" i="55"/>
  <c r="K239" i="55"/>
  <c r="H55" i="47" s="1"/>
  <c r="K251" i="55"/>
  <c r="K246" i="55"/>
  <c r="K233" i="55"/>
  <c r="H57" i="47" s="1"/>
  <c r="K243" i="55"/>
  <c r="H61" i="47" s="1"/>
  <c r="K240" i="55"/>
  <c r="H59" i="47" s="1"/>
  <c r="K244" i="55"/>
  <c r="L88" i="55"/>
  <c r="I40" i="47" s="1"/>
  <c r="L76" i="55"/>
  <c r="I39" i="47" s="1"/>
  <c r="L82" i="55"/>
  <c r="L74" i="55"/>
  <c r="I32" i="47" s="1"/>
  <c r="L77" i="55"/>
  <c r="I34" i="47" s="1"/>
  <c r="L80" i="55"/>
  <c r="L83" i="55"/>
  <c r="L81" i="55"/>
  <c r="I41" i="47" s="1"/>
  <c r="L78" i="55"/>
  <c r="I38" i="47" s="1"/>
  <c r="L86" i="55"/>
  <c r="L75" i="55"/>
  <c r="I35" i="47" s="1"/>
  <c r="L79" i="55"/>
  <c r="I33" i="47" s="1"/>
  <c r="L89" i="55"/>
  <c r="L85" i="55"/>
  <c r="L87" i="55"/>
  <c r="L84" i="55"/>
  <c r="L90" i="55"/>
  <c r="L72" i="55"/>
  <c r="I31" i="47" s="1"/>
  <c r="L71" i="55"/>
  <c r="I36" i="47" s="1"/>
  <c r="L73" i="55"/>
  <c r="I37" i="47" s="1"/>
  <c r="AC192" i="55"/>
  <c r="L230" i="55"/>
  <c r="AJ180" i="58" l="1"/>
  <c r="AJ181" i="58"/>
  <c r="AJ53" i="58"/>
  <c r="AK49" i="58"/>
  <c r="AJ204" i="58"/>
  <c r="AK51" i="58"/>
  <c r="AJ203" i="58"/>
  <c r="AI227" i="58"/>
  <c r="AI265" i="58" s="1"/>
  <c r="AF125" i="47" s="1"/>
  <c r="AJ192" i="58"/>
  <c r="AJ193" i="58"/>
  <c r="AK50" i="58"/>
  <c r="AI226" i="58"/>
  <c r="AI264" i="58" s="1"/>
  <c r="AF119" i="47" s="1"/>
  <c r="AJ215" i="58"/>
  <c r="AJ214" i="58"/>
  <c r="AK52" i="58"/>
  <c r="P133" i="55"/>
  <c r="Q133" i="55"/>
  <c r="L231" i="55"/>
  <c r="L246" i="55"/>
  <c r="L253" i="55"/>
  <c r="I132" i="47" s="1"/>
  <c r="L242" i="55"/>
  <c r="L243" i="55"/>
  <c r="I61" i="47" s="1"/>
  <c r="L240" i="55"/>
  <c r="I59" i="47" s="1"/>
  <c r="L241" i="55"/>
  <c r="I54" i="47" s="1"/>
  <c r="L232" i="55"/>
  <c r="L251" i="55"/>
  <c r="L249" i="55"/>
  <c r="L244" i="55"/>
  <c r="L250" i="55"/>
  <c r="L252" i="55"/>
  <c r="L233" i="55"/>
  <c r="I57" i="47" s="1"/>
  <c r="L234" i="55"/>
  <c r="I52" i="47" s="1"/>
  <c r="L236" i="55"/>
  <c r="I53" i="47" s="1"/>
  <c r="L247" i="55"/>
  <c r="L237" i="55"/>
  <c r="I56" i="47" s="1"/>
  <c r="L238" i="55"/>
  <c r="I60" i="47" s="1"/>
  <c r="L248" i="55"/>
  <c r="L239" i="55"/>
  <c r="I55" i="47" s="1"/>
  <c r="L235" i="55"/>
  <c r="I58" i="47" s="1"/>
  <c r="L245" i="55"/>
  <c r="T112" i="55"/>
  <c r="M91" i="55"/>
  <c r="T70" i="55"/>
  <c r="O145" i="55"/>
  <c r="O143" i="55"/>
  <c r="O148" i="55"/>
  <c r="O146" i="55"/>
  <c r="O147" i="55"/>
  <c r="O152" i="55"/>
  <c r="O150" i="55"/>
  <c r="O153" i="55"/>
  <c r="O149" i="55"/>
  <c r="AD211" i="55"/>
  <c r="AE173" i="55"/>
  <c r="L108" i="55"/>
  <c r="L100" i="55"/>
  <c r="L98" i="55"/>
  <c r="L97" i="55"/>
  <c r="L107" i="55"/>
  <c r="L99" i="55"/>
  <c r="L110" i="55"/>
  <c r="L111" i="55"/>
  <c r="L95" i="55"/>
  <c r="L103" i="55"/>
  <c r="L96" i="55"/>
  <c r="L92" i="55"/>
  <c r="L93" i="55"/>
  <c r="L102" i="55"/>
  <c r="L106" i="55"/>
  <c r="L104" i="55"/>
  <c r="L101" i="55"/>
  <c r="L94" i="55"/>
  <c r="L109" i="55"/>
  <c r="L105" i="55"/>
  <c r="U133" i="55"/>
  <c r="M192" i="55"/>
  <c r="M90" i="55"/>
  <c r="M80" i="55"/>
  <c r="M87" i="55"/>
  <c r="M84" i="55"/>
  <c r="M83" i="55"/>
  <c r="M85" i="55"/>
  <c r="M89" i="55"/>
  <c r="M86" i="55"/>
  <c r="M82" i="55"/>
  <c r="L175" i="55"/>
  <c r="L185" i="55"/>
  <c r="L178" i="55"/>
  <c r="L188" i="55"/>
  <c r="L177" i="55"/>
  <c r="L174" i="55"/>
  <c r="L184" i="55"/>
  <c r="L181" i="55"/>
  <c r="L189" i="55"/>
  <c r="L179" i="55"/>
  <c r="L182" i="55"/>
  <c r="L180" i="55"/>
  <c r="L183" i="55"/>
  <c r="L176" i="55"/>
  <c r="L186" i="55"/>
  <c r="L187" i="55"/>
  <c r="N112" i="55"/>
  <c r="L195" i="55"/>
  <c r="I27" i="47" s="1"/>
  <c r="L199" i="55"/>
  <c r="I24" i="47" s="1"/>
  <c r="L196" i="55"/>
  <c r="I22" i="47" s="1"/>
  <c r="L207" i="55"/>
  <c r="L206" i="55"/>
  <c r="L201" i="55"/>
  <c r="I23" i="47" s="1"/>
  <c r="L205" i="55"/>
  <c r="L194" i="55"/>
  <c r="I21" i="47" s="1"/>
  <c r="L204" i="55"/>
  <c r="L202" i="55"/>
  <c r="L208" i="55"/>
  <c r="L200" i="55"/>
  <c r="I28" i="47" s="1"/>
  <c r="L198" i="55"/>
  <c r="I29" i="47" s="1"/>
  <c r="L193" i="55"/>
  <c r="I26" i="47" s="1"/>
  <c r="L197" i="55"/>
  <c r="I25" i="47" s="1"/>
  <c r="L203" i="55"/>
  <c r="I30" i="47" s="1"/>
  <c r="V192" i="55"/>
  <c r="M130" i="55"/>
  <c r="M126" i="55"/>
  <c r="M114" i="55"/>
  <c r="M117" i="55"/>
  <c r="M122" i="55"/>
  <c r="M123" i="55"/>
  <c r="M132" i="55"/>
  <c r="M113" i="55"/>
  <c r="M115" i="55"/>
  <c r="M125" i="55"/>
  <c r="M118" i="55"/>
  <c r="M120" i="55"/>
  <c r="M131" i="55"/>
  <c r="M127" i="55"/>
  <c r="M124" i="55"/>
  <c r="M128" i="55"/>
  <c r="M116" i="55"/>
  <c r="M119" i="55"/>
  <c r="M129" i="55"/>
  <c r="M121" i="55"/>
  <c r="M211" i="55"/>
  <c r="L221" i="55"/>
  <c r="L217" i="55"/>
  <c r="L225" i="55"/>
  <c r="L215" i="55"/>
  <c r="L216" i="55"/>
  <c r="L229" i="55"/>
  <c r="L214" i="55"/>
  <c r="L226" i="55"/>
  <c r="L222" i="55"/>
  <c r="L212" i="55"/>
  <c r="L227" i="55"/>
  <c r="L213" i="55"/>
  <c r="L220" i="55"/>
  <c r="L223" i="55"/>
  <c r="L218" i="55"/>
  <c r="L219" i="55"/>
  <c r="L228" i="55"/>
  <c r="L224" i="55"/>
  <c r="AE70" i="55"/>
  <c r="M173" i="55"/>
  <c r="AD192" i="55"/>
  <c r="AE154" i="55"/>
  <c r="AF112" i="55"/>
  <c r="V211" i="55"/>
  <c r="M154" i="55"/>
  <c r="AG91" i="55"/>
  <c r="W230" i="55"/>
  <c r="T154" i="55"/>
  <c r="U91" i="55"/>
  <c r="L172" i="55"/>
  <c r="L162" i="55"/>
  <c r="I49" i="47" s="1"/>
  <c r="L166" i="55"/>
  <c r="L161" i="55"/>
  <c r="I45" i="47" s="1"/>
  <c r="L163" i="55"/>
  <c r="I44" i="47" s="1"/>
  <c r="L167" i="55"/>
  <c r="L155" i="55"/>
  <c r="I47" i="47" s="1"/>
  <c r="L168" i="55"/>
  <c r="L157" i="55"/>
  <c r="I48" i="47" s="1"/>
  <c r="L165" i="55"/>
  <c r="I51" i="47" s="1"/>
  <c r="L156" i="55"/>
  <c r="I42" i="47" s="1"/>
  <c r="L170" i="55"/>
  <c r="L164" i="55"/>
  <c r="L171" i="55"/>
  <c r="L160" i="55"/>
  <c r="I50" i="47" s="1"/>
  <c r="L169" i="55"/>
  <c r="L158" i="55"/>
  <c r="I43" i="47" s="1"/>
  <c r="L159" i="55"/>
  <c r="I46" i="47" s="1"/>
  <c r="U173" i="55"/>
  <c r="N70" i="55"/>
  <c r="M230" i="55"/>
  <c r="AD230" i="55"/>
  <c r="AD133" i="55"/>
  <c r="AJ227" i="58" l="1"/>
  <c r="AJ265" i="58" s="1"/>
  <c r="AG125" i="47" s="1"/>
  <c r="AK193" i="58"/>
  <c r="AK192" i="58"/>
  <c r="AL50" i="58"/>
  <c r="AJ226" i="58"/>
  <c r="AJ264" i="58" s="1"/>
  <c r="AG119" i="47" s="1"/>
  <c r="AK204" i="58"/>
  <c r="AK203" i="58"/>
  <c r="AL51" i="58"/>
  <c r="AK53" i="58"/>
  <c r="AK180" i="58"/>
  <c r="AK181" i="58"/>
  <c r="AL49" i="58"/>
  <c r="AK215" i="58"/>
  <c r="AK214" i="58"/>
  <c r="AL52" i="58"/>
  <c r="AF154" i="55"/>
  <c r="P138" i="55"/>
  <c r="M14" i="47" s="1"/>
  <c r="P140" i="55"/>
  <c r="M13" i="47" s="1"/>
  <c r="P146" i="55"/>
  <c r="Q146" i="55" s="1"/>
  <c r="R146" i="55" s="1"/>
  <c r="S146" i="55" s="1"/>
  <c r="T146" i="55" s="1"/>
  <c r="U146" i="55" s="1"/>
  <c r="P151" i="55"/>
  <c r="M20" i="47" s="1"/>
  <c r="P152" i="55"/>
  <c r="Q152" i="55" s="1"/>
  <c r="R152" i="55" s="1"/>
  <c r="S152" i="55" s="1"/>
  <c r="T152" i="55" s="1"/>
  <c r="U152" i="55" s="1"/>
  <c r="P134" i="55"/>
  <c r="M15" i="47" s="1"/>
  <c r="P139" i="55"/>
  <c r="M18" i="47" s="1"/>
  <c r="P143" i="55"/>
  <c r="Q143" i="55" s="1"/>
  <c r="R143" i="55" s="1"/>
  <c r="S143" i="55" s="1"/>
  <c r="T143" i="55" s="1"/>
  <c r="U143" i="55" s="1"/>
  <c r="P153" i="55"/>
  <c r="Q153" i="55" s="1"/>
  <c r="R153" i="55" s="1"/>
  <c r="S153" i="55" s="1"/>
  <c r="T153" i="55" s="1"/>
  <c r="U153" i="55" s="1"/>
  <c r="P145" i="55"/>
  <c r="Q145" i="55" s="1"/>
  <c r="R145" i="55" s="1"/>
  <c r="S145" i="55" s="1"/>
  <c r="T145" i="55" s="1"/>
  <c r="U145" i="55" s="1"/>
  <c r="P150" i="55"/>
  <c r="Q150" i="55" s="1"/>
  <c r="R150" i="55" s="1"/>
  <c r="S150" i="55" s="1"/>
  <c r="T150" i="55" s="1"/>
  <c r="U150" i="55" s="1"/>
  <c r="P148" i="55"/>
  <c r="Q148" i="55" s="1"/>
  <c r="R148" i="55" s="1"/>
  <c r="S148" i="55" s="1"/>
  <c r="T148" i="55" s="1"/>
  <c r="U148" i="55" s="1"/>
  <c r="P149" i="55"/>
  <c r="Q149" i="55" s="1"/>
  <c r="R149" i="55" s="1"/>
  <c r="S149" i="55" s="1"/>
  <c r="T149" i="55" s="1"/>
  <c r="U149" i="55" s="1"/>
  <c r="P147" i="55"/>
  <c r="Q147" i="55" s="1"/>
  <c r="R147" i="55" s="1"/>
  <c r="S147" i="55" s="1"/>
  <c r="T147" i="55" s="1"/>
  <c r="U147" i="55" s="1"/>
  <c r="P141" i="55"/>
  <c r="M17" i="47" s="1"/>
  <c r="P137" i="55"/>
  <c r="M11" i="47" s="1"/>
  <c r="P144" i="55"/>
  <c r="M19" i="47" s="1"/>
  <c r="P136" i="55"/>
  <c r="M16" i="47" s="1"/>
  <c r="P142" i="55"/>
  <c r="M12" i="47" s="1"/>
  <c r="P135" i="55"/>
  <c r="M10" i="47" s="1"/>
  <c r="M205" i="55"/>
  <c r="M202" i="55"/>
  <c r="M207" i="55"/>
  <c r="M208" i="55"/>
  <c r="M204" i="55"/>
  <c r="M206" i="55"/>
  <c r="AE230" i="55"/>
  <c r="V133" i="55"/>
  <c r="N173" i="55"/>
  <c r="N85" i="55"/>
  <c r="N87" i="55"/>
  <c r="N83" i="55"/>
  <c r="N89" i="55"/>
  <c r="N86" i="55"/>
  <c r="N90" i="55"/>
  <c r="N84" i="55"/>
  <c r="N80" i="55"/>
  <c r="N82" i="55"/>
  <c r="N192" i="55"/>
  <c r="AH91" i="55"/>
  <c r="W211" i="55"/>
  <c r="M251" i="55"/>
  <c r="M247" i="55"/>
  <c r="M249" i="55"/>
  <c r="M242" i="55"/>
  <c r="M250" i="55"/>
  <c r="M248" i="55"/>
  <c r="M252" i="55"/>
  <c r="M244" i="55"/>
  <c r="M246" i="55"/>
  <c r="M231" i="55"/>
  <c r="M245" i="55"/>
  <c r="M232" i="55"/>
  <c r="M188" i="55"/>
  <c r="M181" i="55"/>
  <c r="M182" i="55"/>
  <c r="M184" i="55"/>
  <c r="M185" i="55"/>
  <c r="M186" i="55"/>
  <c r="M180" i="55"/>
  <c r="M178" i="55"/>
  <c r="M177" i="55"/>
  <c r="M176" i="55"/>
  <c r="M187" i="55"/>
  <c r="M189" i="55"/>
  <c r="M179" i="55"/>
  <c r="M183" i="55"/>
  <c r="M174" i="55"/>
  <c r="M175" i="55"/>
  <c r="AF173" i="55"/>
  <c r="AG112" i="55"/>
  <c r="W192" i="55"/>
  <c r="U70" i="55"/>
  <c r="O70" i="55"/>
  <c r="V91" i="55"/>
  <c r="N154" i="55"/>
  <c r="M167" i="55"/>
  <c r="M169" i="55"/>
  <c r="M164" i="55"/>
  <c r="M170" i="55"/>
  <c r="M171" i="55"/>
  <c r="M166" i="55"/>
  <c r="M168" i="55"/>
  <c r="M172" i="55"/>
  <c r="AE211" i="55"/>
  <c r="U154" i="55"/>
  <c r="O112" i="55"/>
  <c r="N91" i="55"/>
  <c r="AE133" i="55"/>
  <c r="V173" i="55"/>
  <c r="N211" i="55"/>
  <c r="N116" i="55"/>
  <c r="N113" i="55"/>
  <c r="N121" i="55"/>
  <c r="N131" i="55"/>
  <c r="N132" i="55"/>
  <c r="N114" i="55"/>
  <c r="N124" i="55"/>
  <c r="N127" i="55"/>
  <c r="N125" i="55"/>
  <c r="N117" i="55"/>
  <c r="N128" i="55"/>
  <c r="N126" i="55"/>
  <c r="N115" i="55"/>
  <c r="N129" i="55"/>
  <c r="N119" i="55"/>
  <c r="N130" i="55"/>
  <c r="N118" i="55"/>
  <c r="N122" i="55"/>
  <c r="N120" i="55"/>
  <c r="N123" i="55"/>
  <c r="M104" i="55"/>
  <c r="M111" i="55"/>
  <c r="M99" i="55"/>
  <c r="M103" i="55"/>
  <c r="M96" i="55"/>
  <c r="M93" i="55"/>
  <c r="M95" i="55"/>
  <c r="M102" i="55"/>
  <c r="M97" i="55"/>
  <c r="M109" i="55"/>
  <c r="M107" i="55"/>
  <c r="M98" i="55"/>
  <c r="M101" i="55"/>
  <c r="M110" i="55"/>
  <c r="M92" i="55"/>
  <c r="M106" i="55"/>
  <c r="M105" i="55"/>
  <c r="M100" i="55"/>
  <c r="M108" i="55"/>
  <c r="M94" i="55"/>
  <c r="AF70" i="55"/>
  <c r="N230" i="55"/>
  <c r="X230" i="55"/>
  <c r="AE192" i="55"/>
  <c r="M215" i="55"/>
  <c r="M216" i="55"/>
  <c r="M218" i="55"/>
  <c r="M220" i="55"/>
  <c r="M221" i="55"/>
  <c r="M214" i="55"/>
  <c r="M229" i="55"/>
  <c r="M227" i="55"/>
  <c r="M224" i="55"/>
  <c r="M217" i="55"/>
  <c r="M226" i="55"/>
  <c r="M228" i="55"/>
  <c r="M225" i="55"/>
  <c r="M222" i="55"/>
  <c r="M219" i="55"/>
  <c r="M212" i="55"/>
  <c r="M213" i="55"/>
  <c r="M223" i="55"/>
  <c r="U112" i="55"/>
  <c r="AL180" i="58" l="1"/>
  <c r="AL181" i="58"/>
  <c r="AM49" i="58"/>
  <c r="AL53" i="58"/>
  <c r="AL203" i="58"/>
  <c r="AL204" i="58"/>
  <c r="AM51" i="58"/>
  <c r="AL192" i="58"/>
  <c r="AM50" i="58"/>
  <c r="AL193" i="58"/>
  <c r="AL214" i="58"/>
  <c r="AM52" i="58"/>
  <c r="AL215" i="58"/>
  <c r="AK226" i="58"/>
  <c r="AK264" i="58" s="1"/>
  <c r="AH119" i="47" s="1"/>
  <c r="AK227" i="58"/>
  <c r="AK265" i="58" s="1"/>
  <c r="AH125" i="47" s="1"/>
  <c r="Q138" i="55"/>
  <c r="N14" i="47" s="1"/>
  <c r="Q134" i="55"/>
  <c r="N15" i="47" s="1"/>
  <c r="Q139" i="55"/>
  <c r="N18" i="47" s="1"/>
  <c r="Q142" i="55"/>
  <c r="N12" i="47" s="1"/>
  <c r="Q140" i="55"/>
  <c r="N13" i="47" s="1"/>
  <c r="Q141" i="55"/>
  <c r="N17" i="47" s="1"/>
  <c r="Q137" i="55"/>
  <c r="N11" i="47" s="1"/>
  <c r="Q151" i="55"/>
  <c r="N20" i="47" s="1"/>
  <c r="Q136" i="55"/>
  <c r="N16" i="47" s="1"/>
  <c r="Q144" i="55"/>
  <c r="N19" i="47" s="1"/>
  <c r="Q135" i="55"/>
  <c r="X211" i="55"/>
  <c r="N245" i="55"/>
  <c r="N231" i="55"/>
  <c r="N248" i="55"/>
  <c r="N244" i="55"/>
  <c r="N251" i="55"/>
  <c r="N252" i="55"/>
  <c r="N246" i="55"/>
  <c r="N247" i="55"/>
  <c r="N242" i="55"/>
  <c r="N250" i="55"/>
  <c r="N249" i="55"/>
  <c r="N232" i="55"/>
  <c r="AI91" i="55"/>
  <c r="O173" i="55"/>
  <c r="AF211" i="55"/>
  <c r="N202" i="55"/>
  <c r="N207" i="55"/>
  <c r="N204" i="55"/>
  <c r="N206" i="55"/>
  <c r="N208" i="55"/>
  <c r="N205" i="55"/>
  <c r="N175" i="55"/>
  <c r="N185" i="55"/>
  <c r="N188" i="55"/>
  <c r="N186" i="55"/>
  <c r="N178" i="55"/>
  <c r="N187" i="55"/>
  <c r="N184" i="55"/>
  <c r="N177" i="55"/>
  <c r="N179" i="55"/>
  <c r="N189" i="55"/>
  <c r="N181" i="55"/>
  <c r="N183" i="55"/>
  <c r="N180" i="55"/>
  <c r="N182" i="55"/>
  <c r="N176" i="55"/>
  <c r="N174" i="55"/>
  <c r="AG70" i="55"/>
  <c r="O130" i="55"/>
  <c r="O117" i="55"/>
  <c r="O121" i="55"/>
  <c r="O126" i="55"/>
  <c r="O122" i="55"/>
  <c r="O120" i="55"/>
  <c r="O115" i="55"/>
  <c r="O132" i="55"/>
  <c r="O127" i="55"/>
  <c r="O124" i="55"/>
  <c r="O119" i="55"/>
  <c r="O128" i="55"/>
  <c r="O125" i="55"/>
  <c r="O123" i="55"/>
  <c r="O113" i="55"/>
  <c r="O116" i="55"/>
  <c r="O129" i="55"/>
  <c r="O114" i="55"/>
  <c r="O118" i="55"/>
  <c r="O131" i="55"/>
  <c r="X192" i="55"/>
  <c r="O192" i="55"/>
  <c r="W133" i="55"/>
  <c r="AF133" i="55"/>
  <c r="V154" i="55"/>
  <c r="V153" i="55"/>
  <c r="V148" i="55"/>
  <c r="V146" i="55"/>
  <c r="V147" i="55"/>
  <c r="V150" i="55"/>
  <c r="V145" i="55"/>
  <c r="V149" i="55"/>
  <c r="V152" i="55"/>
  <c r="V143" i="55"/>
  <c r="AH112" i="55"/>
  <c r="AF230" i="55"/>
  <c r="V112" i="55"/>
  <c r="P112" i="55"/>
  <c r="Q112" i="55"/>
  <c r="O211" i="55"/>
  <c r="O91" i="55"/>
  <c r="W173" i="55"/>
  <c r="N220" i="55"/>
  <c r="N222" i="55"/>
  <c r="N225" i="55"/>
  <c r="N213" i="55"/>
  <c r="N223" i="55"/>
  <c r="N224" i="55"/>
  <c r="N219" i="55"/>
  <c r="N218" i="55"/>
  <c r="N216" i="55"/>
  <c r="N212" i="55"/>
  <c r="N214" i="55"/>
  <c r="N228" i="55"/>
  <c r="N217" i="55"/>
  <c r="N229" i="55"/>
  <c r="N215" i="55"/>
  <c r="N221" i="55"/>
  <c r="N227" i="55"/>
  <c r="N226" i="55"/>
  <c r="N100" i="55"/>
  <c r="N102" i="55"/>
  <c r="N105" i="55"/>
  <c r="N99" i="55"/>
  <c r="N110" i="55"/>
  <c r="N92" i="55"/>
  <c r="N107" i="55"/>
  <c r="N106" i="55"/>
  <c r="N94" i="55"/>
  <c r="N93" i="55"/>
  <c r="N111" i="55"/>
  <c r="N108" i="55"/>
  <c r="N104" i="55"/>
  <c r="N101" i="55"/>
  <c r="N95" i="55"/>
  <c r="N103" i="55"/>
  <c r="N109" i="55"/>
  <c r="N96" i="55"/>
  <c r="N97" i="55"/>
  <c r="N98" i="55"/>
  <c r="AG173" i="55"/>
  <c r="O230" i="55"/>
  <c r="AF192" i="55"/>
  <c r="O154" i="55"/>
  <c r="P70" i="55"/>
  <c r="Q70" i="55"/>
  <c r="N168" i="55"/>
  <c r="N164" i="55"/>
  <c r="N169" i="55"/>
  <c r="N172" i="55"/>
  <c r="N171" i="55"/>
  <c r="N170" i="55"/>
  <c r="N166" i="55"/>
  <c r="N167" i="55"/>
  <c r="O80" i="55"/>
  <c r="O85" i="55"/>
  <c r="O87" i="55"/>
  <c r="O84" i="55"/>
  <c r="O89" i="55"/>
  <c r="O86" i="55"/>
  <c r="O90" i="55"/>
  <c r="O83" i="55"/>
  <c r="O82" i="55"/>
  <c r="V70" i="55"/>
  <c r="AG154" i="55"/>
  <c r="Y230" i="55"/>
  <c r="W91" i="55"/>
  <c r="AL227" i="58" l="1"/>
  <c r="AL265" i="58" s="1"/>
  <c r="AI125" i="47" s="1"/>
  <c r="AM215" i="58"/>
  <c r="AM214" i="58"/>
  <c r="AN52" i="58"/>
  <c r="AN50" i="58"/>
  <c r="AM192" i="58"/>
  <c r="AM193" i="58"/>
  <c r="AL226" i="58"/>
  <c r="AL264" i="58" s="1"/>
  <c r="AI119" i="47" s="1"/>
  <c r="AM204" i="58"/>
  <c r="AM203" i="58"/>
  <c r="AN51" i="58"/>
  <c r="AN49" i="58"/>
  <c r="AM181" i="58"/>
  <c r="AM53" i="58"/>
  <c r="AM180" i="58"/>
  <c r="R134" i="55"/>
  <c r="S134" i="55" s="1"/>
  <c r="R139" i="55"/>
  <c r="O18" i="47" s="1"/>
  <c r="R140" i="55"/>
  <c r="O13" i="47" s="1"/>
  <c r="R138" i="55"/>
  <c r="O14" i="47" s="1"/>
  <c r="R151" i="55"/>
  <c r="O20" i="47" s="1"/>
  <c r="R144" i="55"/>
  <c r="O19" i="47" s="1"/>
  <c r="R142" i="55"/>
  <c r="S142" i="55" s="1"/>
  <c r="P12" i="47" s="1"/>
  <c r="R136" i="55"/>
  <c r="O16" i="47" s="1"/>
  <c r="R137" i="55"/>
  <c r="R141" i="55"/>
  <c r="O17" i="47" s="1"/>
  <c r="N10" i="47"/>
  <c r="R135" i="55"/>
  <c r="O242" i="55"/>
  <c r="O246" i="55"/>
  <c r="O231" i="55"/>
  <c r="O247" i="55"/>
  <c r="O248" i="55"/>
  <c r="O251" i="55"/>
  <c r="O245" i="55"/>
  <c r="O250" i="55"/>
  <c r="O252" i="55"/>
  <c r="O249" i="55"/>
  <c r="O232" i="55"/>
  <c r="O244" i="55"/>
  <c r="AG133" i="55"/>
  <c r="P173" i="55"/>
  <c r="Q173" i="55"/>
  <c r="AJ91" i="55"/>
  <c r="W153" i="55"/>
  <c r="W148" i="55"/>
  <c r="W146" i="55"/>
  <c r="W147" i="55"/>
  <c r="W150" i="55"/>
  <c r="W145" i="55"/>
  <c r="W149" i="55"/>
  <c r="W143" i="55"/>
  <c r="W152" i="55"/>
  <c r="AH173" i="55"/>
  <c r="X133" i="55"/>
  <c r="Q91" i="55"/>
  <c r="P91" i="55"/>
  <c r="P192" i="55"/>
  <c r="Q192" i="55"/>
  <c r="Y211" i="55"/>
  <c r="P72" i="55"/>
  <c r="M31" i="47" s="1"/>
  <c r="P83" i="55"/>
  <c r="Q83" i="55" s="1"/>
  <c r="R83" i="55" s="1"/>
  <c r="S83" i="55" s="1"/>
  <c r="T83" i="55" s="1"/>
  <c r="U83" i="55" s="1"/>
  <c r="V83" i="55" s="1"/>
  <c r="P73" i="55"/>
  <c r="M37" i="47" s="1"/>
  <c r="P88" i="55"/>
  <c r="M40" i="47" s="1"/>
  <c r="P75" i="55"/>
  <c r="M35" i="47" s="1"/>
  <c r="P71" i="55"/>
  <c r="M36" i="47" s="1"/>
  <c r="P82" i="55"/>
  <c r="Q82" i="55" s="1"/>
  <c r="R82" i="55" s="1"/>
  <c r="S82" i="55" s="1"/>
  <c r="T82" i="55" s="1"/>
  <c r="U82" i="55" s="1"/>
  <c r="V82" i="55" s="1"/>
  <c r="P90" i="55"/>
  <c r="Q90" i="55" s="1"/>
  <c r="R90" i="55" s="1"/>
  <c r="S90" i="55" s="1"/>
  <c r="T90" i="55" s="1"/>
  <c r="U90" i="55" s="1"/>
  <c r="V90" i="55" s="1"/>
  <c r="P87" i="55"/>
  <c r="Q87" i="55" s="1"/>
  <c r="R87" i="55" s="1"/>
  <c r="S87" i="55" s="1"/>
  <c r="T87" i="55" s="1"/>
  <c r="U87" i="55" s="1"/>
  <c r="V87" i="55" s="1"/>
  <c r="P78" i="55"/>
  <c r="M38" i="47" s="1"/>
  <c r="P74" i="55"/>
  <c r="M32" i="47" s="1"/>
  <c r="P77" i="55"/>
  <c r="M34" i="47" s="1"/>
  <c r="P81" i="55"/>
  <c r="M41" i="47" s="1"/>
  <c r="P76" i="55"/>
  <c r="M39" i="47" s="1"/>
  <c r="P85" i="55"/>
  <c r="Q85" i="55" s="1"/>
  <c r="R85" i="55" s="1"/>
  <c r="S85" i="55" s="1"/>
  <c r="T85" i="55" s="1"/>
  <c r="U85" i="55" s="1"/>
  <c r="V85" i="55" s="1"/>
  <c r="P89" i="55"/>
  <c r="Q89" i="55" s="1"/>
  <c r="R89" i="55" s="1"/>
  <c r="S89" i="55" s="1"/>
  <c r="T89" i="55" s="1"/>
  <c r="U89" i="55" s="1"/>
  <c r="V89" i="55" s="1"/>
  <c r="P80" i="55"/>
  <c r="Q80" i="55" s="1"/>
  <c r="R80" i="55" s="1"/>
  <c r="S80" i="55" s="1"/>
  <c r="T80" i="55" s="1"/>
  <c r="U80" i="55" s="1"/>
  <c r="V80" i="55" s="1"/>
  <c r="P86" i="55"/>
  <c r="Q86" i="55" s="1"/>
  <c r="R86" i="55" s="1"/>
  <c r="S86" i="55" s="1"/>
  <c r="T86" i="55" s="1"/>
  <c r="U86" i="55" s="1"/>
  <c r="V86" i="55" s="1"/>
  <c r="P84" i="55"/>
  <c r="Q84" i="55" s="1"/>
  <c r="R84" i="55" s="1"/>
  <c r="S84" i="55" s="1"/>
  <c r="T84" i="55" s="1"/>
  <c r="U84" i="55" s="1"/>
  <c r="V84" i="55" s="1"/>
  <c r="P79" i="55"/>
  <c r="M33" i="47" s="1"/>
  <c r="O111" i="55"/>
  <c r="O110" i="55"/>
  <c r="O103" i="55"/>
  <c r="O99" i="55"/>
  <c r="O107" i="55"/>
  <c r="O94" i="55"/>
  <c r="O100" i="55"/>
  <c r="O109" i="55"/>
  <c r="O106" i="55"/>
  <c r="O102" i="55"/>
  <c r="O93" i="55"/>
  <c r="O105" i="55"/>
  <c r="O95" i="55"/>
  <c r="O92" i="55"/>
  <c r="O96" i="55"/>
  <c r="O104" i="55"/>
  <c r="O108" i="55"/>
  <c r="O101" i="55"/>
  <c r="O97" i="55"/>
  <c r="O98" i="55"/>
  <c r="P121" i="55"/>
  <c r="Q121" i="55" s="1"/>
  <c r="R121" i="55" s="1"/>
  <c r="S121" i="55" s="1"/>
  <c r="T121" i="55" s="1"/>
  <c r="U121" i="55" s="1"/>
  <c r="V121" i="55" s="1"/>
  <c r="P123" i="55"/>
  <c r="Q123" i="55" s="1"/>
  <c r="R123" i="55" s="1"/>
  <c r="S123" i="55" s="1"/>
  <c r="T123" i="55" s="1"/>
  <c r="U123" i="55" s="1"/>
  <c r="V123" i="55" s="1"/>
  <c r="P127" i="55"/>
  <c r="Q127" i="55" s="1"/>
  <c r="R127" i="55" s="1"/>
  <c r="S127" i="55" s="1"/>
  <c r="T127" i="55" s="1"/>
  <c r="U127" i="55" s="1"/>
  <c r="V127" i="55" s="1"/>
  <c r="P114" i="55"/>
  <c r="Q114" i="55" s="1"/>
  <c r="R114" i="55" s="1"/>
  <c r="S114" i="55" s="1"/>
  <c r="T114" i="55" s="1"/>
  <c r="U114" i="55" s="1"/>
  <c r="V114" i="55" s="1"/>
  <c r="P129" i="55"/>
  <c r="Q129" i="55" s="1"/>
  <c r="R129" i="55" s="1"/>
  <c r="S129" i="55" s="1"/>
  <c r="T129" i="55" s="1"/>
  <c r="U129" i="55" s="1"/>
  <c r="V129" i="55" s="1"/>
  <c r="P132" i="55"/>
  <c r="Q132" i="55" s="1"/>
  <c r="R132" i="55" s="1"/>
  <c r="S132" i="55" s="1"/>
  <c r="T132" i="55" s="1"/>
  <c r="U132" i="55" s="1"/>
  <c r="V132" i="55" s="1"/>
  <c r="P115" i="55"/>
  <c r="Q115" i="55" s="1"/>
  <c r="R115" i="55" s="1"/>
  <c r="S115" i="55" s="1"/>
  <c r="T115" i="55" s="1"/>
  <c r="U115" i="55" s="1"/>
  <c r="V115" i="55" s="1"/>
  <c r="P124" i="55"/>
  <c r="Q124" i="55" s="1"/>
  <c r="R124" i="55" s="1"/>
  <c r="S124" i="55" s="1"/>
  <c r="T124" i="55" s="1"/>
  <c r="U124" i="55" s="1"/>
  <c r="V124" i="55" s="1"/>
  <c r="P117" i="55"/>
  <c r="Q117" i="55" s="1"/>
  <c r="R117" i="55" s="1"/>
  <c r="S117" i="55" s="1"/>
  <c r="T117" i="55" s="1"/>
  <c r="U117" i="55" s="1"/>
  <c r="V117" i="55" s="1"/>
  <c r="P128" i="55"/>
  <c r="Q128" i="55" s="1"/>
  <c r="R128" i="55" s="1"/>
  <c r="S128" i="55" s="1"/>
  <c r="T128" i="55" s="1"/>
  <c r="U128" i="55" s="1"/>
  <c r="V128" i="55" s="1"/>
  <c r="P113" i="55"/>
  <c r="Q113" i="55" s="1"/>
  <c r="R113" i="55" s="1"/>
  <c r="S113" i="55" s="1"/>
  <c r="T113" i="55" s="1"/>
  <c r="U113" i="55" s="1"/>
  <c r="V113" i="55" s="1"/>
  <c r="P126" i="55"/>
  <c r="Q126" i="55" s="1"/>
  <c r="R126" i="55" s="1"/>
  <c r="S126" i="55" s="1"/>
  <c r="T126" i="55" s="1"/>
  <c r="U126" i="55" s="1"/>
  <c r="V126" i="55" s="1"/>
  <c r="P118" i="55"/>
  <c r="Q118" i="55" s="1"/>
  <c r="R118" i="55" s="1"/>
  <c r="S118" i="55" s="1"/>
  <c r="T118" i="55" s="1"/>
  <c r="U118" i="55" s="1"/>
  <c r="V118" i="55" s="1"/>
  <c r="P125" i="55"/>
  <c r="Q125" i="55" s="1"/>
  <c r="R125" i="55" s="1"/>
  <c r="S125" i="55" s="1"/>
  <c r="T125" i="55" s="1"/>
  <c r="U125" i="55" s="1"/>
  <c r="V125" i="55" s="1"/>
  <c r="P122" i="55"/>
  <c r="Q122" i="55" s="1"/>
  <c r="R122" i="55" s="1"/>
  <c r="S122" i="55" s="1"/>
  <c r="T122" i="55" s="1"/>
  <c r="U122" i="55" s="1"/>
  <c r="V122" i="55" s="1"/>
  <c r="P131" i="55"/>
  <c r="Q131" i="55" s="1"/>
  <c r="R131" i="55" s="1"/>
  <c r="S131" i="55" s="1"/>
  <c r="T131" i="55" s="1"/>
  <c r="U131" i="55" s="1"/>
  <c r="V131" i="55" s="1"/>
  <c r="P116" i="55"/>
  <c r="Q116" i="55" s="1"/>
  <c r="R116" i="55" s="1"/>
  <c r="S116" i="55" s="1"/>
  <c r="T116" i="55" s="1"/>
  <c r="U116" i="55" s="1"/>
  <c r="V116" i="55" s="1"/>
  <c r="P120" i="55"/>
  <c r="Q120" i="55" s="1"/>
  <c r="R120" i="55" s="1"/>
  <c r="S120" i="55" s="1"/>
  <c r="T120" i="55" s="1"/>
  <c r="U120" i="55" s="1"/>
  <c r="V120" i="55" s="1"/>
  <c r="P130" i="55"/>
  <c r="Q130" i="55" s="1"/>
  <c r="R130" i="55" s="1"/>
  <c r="S130" i="55" s="1"/>
  <c r="T130" i="55" s="1"/>
  <c r="U130" i="55" s="1"/>
  <c r="V130" i="55" s="1"/>
  <c r="P119" i="55"/>
  <c r="Q119" i="55" s="1"/>
  <c r="R119" i="55" s="1"/>
  <c r="S119" i="55" s="1"/>
  <c r="T119" i="55" s="1"/>
  <c r="U119" i="55" s="1"/>
  <c r="V119" i="55" s="1"/>
  <c r="O205" i="55"/>
  <c r="O208" i="55"/>
  <c r="O207" i="55"/>
  <c r="O202" i="55"/>
  <c r="O204" i="55"/>
  <c r="O206" i="55"/>
  <c r="AH70" i="55"/>
  <c r="P154" i="55"/>
  <c r="Q154" i="55"/>
  <c r="P211" i="55"/>
  <c r="Q211" i="55"/>
  <c r="W112" i="55"/>
  <c r="Y192" i="55"/>
  <c r="AH154" i="55"/>
  <c r="O166" i="55"/>
  <c r="O168" i="55"/>
  <c r="O170" i="55"/>
  <c r="O169" i="55"/>
  <c r="O172" i="55"/>
  <c r="O164" i="55"/>
  <c r="O167" i="55"/>
  <c r="O171" i="55"/>
  <c r="X173" i="55"/>
  <c r="O228" i="55"/>
  <c r="O226" i="55"/>
  <c r="O222" i="55"/>
  <c r="O224" i="55"/>
  <c r="O217" i="55"/>
  <c r="O227" i="55"/>
  <c r="O216" i="55"/>
  <c r="O220" i="55"/>
  <c r="O229" i="55"/>
  <c r="O212" i="55"/>
  <c r="O225" i="55"/>
  <c r="O221" i="55"/>
  <c r="O219" i="55"/>
  <c r="O218" i="55"/>
  <c r="O223" i="55"/>
  <c r="O214" i="55"/>
  <c r="O213" i="55"/>
  <c r="O215" i="55"/>
  <c r="AG192" i="55"/>
  <c r="AG230" i="55"/>
  <c r="Z230" i="55"/>
  <c r="AA230" i="55"/>
  <c r="W70" i="55"/>
  <c r="AI112" i="55"/>
  <c r="W154" i="55"/>
  <c r="AG211" i="55"/>
  <c r="O174" i="55"/>
  <c r="O181" i="55"/>
  <c r="O188" i="55"/>
  <c r="O177" i="55"/>
  <c r="O180" i="55"/>
  <c r="O179" i="55"/>
  <c r="O175" i="55"/>
  <c r="O182" i="55"/>
  <c r="O176" i="55"/>
  <c r="O185" i="55"/>
  <c r="O187" i="55"/>
  <c r="O178" i="55"/>
  <c r="O183" i="55"/>
  <c r="O186" i="55"/>
  <c r="O184" i="55"/>
  <c r="O189" i="55"/>
  <c r="X91" i="55"/>
  <c r="P230" i="55"/>
  <c r="Q230" i="55"/>
  <c r="AO49" i="58" l="1"/>
  <c r="AN53" i="58"/>
  <c r="AN181" i="58"/>
  <c r="AN180" i="58"/>
  <c r="AO51" i="58"/>
  <c r="AN204" i="58"/>
  <c r="AN203" i="58"/>
  <c r="AM227" i="58"/>
  <c r="AM226" i="58"/>
  <c r="AN192" i="58"/>
  <c r="AO50" i="58"/>
  <c r="AN193" i="58"/>
  <c r="AN215" i="58"/>
  <c r="AO52" i="58"/>
  <c r="AN214" i="58"/>
  <c r="O15" i="47"/>
  <c r="S140" i="55"/>
  <c r="T140" i="55" s="1"/>
  <c r="S139" i="55"/>
  <c r="P18" i="47" s="1"/>
  <c r="S138" i="55"/>
  <c r="P14" i="47" s="1"/>
  <c r="T142" i="55"/>
  <c r="U142" i="55" s="1"/>
  <c r="S151" i="55"/>
  <c r="P20" i="47" s="1"/>
  <c r="S144" i="55"/>
  <c r="P19" i="47" s="1"/>
  <c r="Q71" i="55"/>
  <c r="N36" i="47" s="1"/>
  <c r="O12" i="47"/>
  <c r="S136" i="55"/>
  <c r="P16" i="47" s="1"/>
  <c r="S137" i="55"/>
  <c r="O11" i="47"/>
  <c r="S141" i="55"/>
  <c r="P17" i="47" s="1"/>
  <c r="Q88" i="55"/>
  <c r="N40" i="47" s="1"/>
  <c r="Q75" i="55"/>
  <c r="N35" i="47" s="1"/>
  <c r="Q77" i="55"/>
  <c r="N34" i="47" s="1"/>
  <c r="Q74" i="55"/>
  <c r="N32" i="47" s="1"/>
  <c r="Q78" i="55"/>
  <c r="N38" i="47" s="1"/>
  <c r="Q73" i="55"/>
  <c r="N37" i="47" s="1"/>
  <c r="Q81" i="55"/>
  <c r="N41" i="47" s="1"/>
  <c r="O10" i="47"/>
  <c r="S135" i="55"/>
  <c r="Q79" i="55"/>
  <c r="N33" i="47" s="1"/>
  <c r="Y173" i="55"/>
  <c r="Y91" i="55"/>
  <c r="P93" i="55"/>
  <c r="Q93" i="55" s="1"/>
  <c r="R93" i="55" s="1"/>
  <c r="S93" i="55" s="1"/>
  <c r="T93" i="55" s="1"/>
  <c r="U93" i="55" s="1"/>
  <c r="V93" i="55" s="1"/>
  <c r="W93" i="55" s="1"/>
  <c r="X93" i="55" s="1"/>
  <c r="P92" i="55"/>
  <c r="Q92" i="55" s="1"/>
  <c r="R92" i="55" s="1"/>
  <c r="S92" i="55" s="1"/>
  <c r="T92" i="55" s="1"/>
  <c r="U92" i="55" s="1"/>
  <c r="V92" i="55" s="1"/>
  <c r="W92" i="55" s="1"/>
  <c r="X92" i="55" s="1"/>
  <c r="P101" i="55"/>
  <c r="Q101" i="55" s="1"/>
  <c r="R101" i="55" s="1"/>
  <c r="S101" i="55" s="1"/>
  <c r="T101" i="55" s="1"/>
  <c r="U101" i="55" s="1"/>
  <c r="V101" i="55" s="1"/>
  <c r="W101" i="55" s="1"/>
  <c r="X101" i="55" s="1"/>
  <c r="P108" i="55"/>
  <c r="Q108" i="55" s="1"/>
  <c r="R108" i="55" s="1"/>
  <c r="S108" i="55" s="1"/>
  <c r="T108" i="55" s="1"/>
  <c r="U108" i="55" s="1"/>
  <c r="V108" i="55" s="1"/>
  <c r="W108" i="55" s="1"/>
  <c r="X108" i="55" s="1"/>
  <c r="P104" i="55"/>
  <c r="Q104" i="55" s="1"/>
  <c r="R104" i="55" s="1"/>
  <c r="S104" i="55" s="1"/>
  <c r="T104" i="55" s="1"/>
  <c r="U104" i="55" s="1"/>
  <c r="V104" i="55" s="1"/>
  <c r="W104" i="55" s="1"/>
  <c r="X104" i="55" s="1"/>
  <c r="P96" i="55"/>
  <c r="Q96" i="55" s="1"/>
  <c r="R96" i="55" s="1"/>
  <c r="S96" i="55" s="1"/>
  <c r="T96" i="55" s="1"/>
  <c r="U96" i="55" s="1"/>
  <c r="V96" i="55" s="1"/>
  <c r="W96" i="55" s="1"/>
  <c r="X96" i="55" s="1"/>
  <c r="P107" i="55"/>
  <c r="Q107" i="55" s="1"/>
  <c r="R107" i="55" s="1"/>
  <c r="S107" i="55" s="1"/>
  <c r="T107" i="55" s="1"/>
  <c r="U107" i="55" s="1"/>
  <c r="V107" i="55" s="1"/>
  <c r="W107" i="55" s="1"/>
  <c r="X107" i="55" s="1"/>
  <c r="P95" i="55"/>
  <c r="Q95" i="55" s="1"/>
  <c r="R95" i="55" s="1"/>
  <c r="S95" i="55" s="1"/>
  <c r="T95" i="55" s="1"/>
  <c r="U95" i="55" s="1"/>
  <c r="V95" i="55" s="1"/>
  <c r="W95" i="55" s="1"/>
  <c r="X95" i="55" s="1"/>
  <c r="P97" i="55"/>
  <c r="Q97" i="55" s="1"/>
  <c r="R97" i="55" s="1"/>
  <c r="S97" i="55" s="1"/>
  <c r="T97" i="55" s="1"/>
  <c r="U97" i="55" s="1"/>
  <c r="V97" i="55" s="1"/>
  <c r="W97" i="55" s="1"/>
  <c r="X97" i="55" s="1"/>
  <c r="P94" i="55"/>
  <c r="Q94" i="55" s="1"/>
  <c r="R94" i="55" s="1"/>
  <c r="S94" i="55" s="1"/>
  <c r="T94" i="55" s="1"/>
  <c r="U94" i="55" s="1"/>
  <c r="V94" i="55" s="1"/>
  <c r="W94" i="55" s="1"/>
  <c r="X94" i="55" s="1"/>
  <c r="P103" i="55"/>
  <c r="Q103" i="55" s="1"/>
  <c r="R103" i="55" s="1"/>
  <c r="S103" i="55" s="1"/>
  <c r="T103" i="55" s="1"/>
  <c r="U103" i="55" s="1"/>
  <c r="V103" i="55" s="1"/>
  <c r="W103" i="55" s="1"/>
  <c r="X103" i="55" s="1"/>
  <c r="P98" i="55"/>
  <c r="Q98" i="55" s="1"/>
  <c r="R98" i="55" s="1"/>
  <c r="S98" i="55" s="1"/>
  <c r="T98" i="55" s="1"/>
  <c r="U98" i="55" s="1"/>
  <c r="V98" i="55" s="1"/>
  <c r="W98" i="55" s="1"/>
  <c r="X98" i="55" s="1"/>
  <c r="P100" i="55"/>
  <c r="Q100" i="55" s="1"/>
  <c r="R100" i="55" s="1"/>
  <c r="S100" i="55" s="1"/>
  <c r="T100" i="55" s="1"/>
  <c r="U100" i="55" s="1"/>
  <c r="V100" i="55" s="1"/>
  <c r="W100" i="55" s="1"/>
  <c r="X100" i="55" s="1"/>
  <c r="P106" i="55"/>
  <c r="Q106" i="55" s="1"/>
  <c r="R106" i="55" s="1"/>
  <c r="S106" i="55" s="1"/>
  <c r="T106" i="55" s="1"/>
  <c r="U106" i="55" s="1"/>
  <c r="V106" i="55" s="1"/>
  <c r="W106" i="55" s="1"/>
  <c r="X106" i="55" s="1"/>
  <c r="P111" i="55"/>
  <c r="Q111" i="55" s="1"/>
  <c r="R111" i="55" s="1"/>
  <c r="S111" i="55" s="1"/>
  <c r="T111" i="55" s="1"/>
  <c r="U111" i="55" s="1"/>
  <c r="V111" i="55" s="1"/>
  <c r="W111" i="55" s="1"/>
  <c r="X111" i="55" s="1"/>
  <c r="P109" i="55"/>
  <c r="Q109" i="55" s="1"/>
  <c r="R109" i="55" s="1"/>
  <c r="S109" i="55" s="1"/>
  <c r="T109" i="55" s="1"/>
  <c r="U109" i="55" s="1"/>
  <c r="V109" i="55" s="1"/>
  <c r="W109" i="55" s="1"/>
  <c r="X109" i="55" s="1"/>
  <c r="P99" i="55"/>
  <c r="Q99" i="55" s="1"/>
  <c r="R99" i="55" s="1"/>
  <c r="S99" i="55" s="1"/>
  <c r="T99" i="55" s="1"/>
  <c r="U99" i="55" s="1"/>
  <c r="V99" i="55" s="1"/>
  <c r="W99" i="55" s="1"/>
  <c r="X99" i="55" s="1"/>
  <c r="P102" i="55"/>
  <c r="Q102" i="55" s="1"/>
  <c r="R102" i="55" s="1"/>
  <c r="S102" i="55" s="1"/>
  <c r="T102" i="55" s="1"/>
  <c r="U102" i="55" s="1"/>
  <c r="V102" i="55" s="1"/>
  <c r="W102" i="55" s="1"/>
  <c r="X102" i="55" s="1"/>
  <c r="P110" i="55"/>
  <c r="Q110" i="55" s="1"/>
  <c r="R110" i="55" s="1"/>
  <c r="S110" i="55" s="1"/>
  <c r="T110" i="55" s="1"/>
  <c r="U110" i="55" s="1"/>
  <c r="V110" i="55" s="1"/>
  <c r="W110" i="55" s="1"/>
  <c r="X110" i="55" s="1"/>
  <c r="P105" i="55"/>
  <c r="Q105" i="55" s="1"/>
  <c r="R105" i="55" s="1"/>
  <c r="S105" i="55" s="1"/>
  <c r="T105" i="55" s="1"/>
  <c r="U105" i="55" s="1"/>
  <c r="V105" i="55" s="1"/>
  <c r="W105" i="55" s="1"/>
  <c r="X105" i="55" s="1"/>
  <c r="AH133" i="55"/>
  <c r="X70" i="55"/>
  <c r="Z192" i="55"/>
  <c r="AA192" i="55"/>
  <c r="AI70" i="55"/>
  <c r="X153" i="55"/>
  <c r="X146" i="55"/>
  <c r="X147" i="55"/>
  <c r="X148" i="55"/>
  <c r="X150" i="55"/>
  <c r="X145" i="55"/>
  <c r="X149" i="55"/>
  <c r="X143" i="55"/>
  <c r="X152" i="55"/>
  <c r="W83" i="55"/>
  <c r="W82" i="55"/>
  <c r="W80" i="55"/>
  <c r="W86" i="55"/>
  <c r="W85" i="55"/>
  <c r="W87" i="55"/>
  <c r="W84" i="55"/>
  <c r="W90" i="55"/>
  <c r="W89" i="55"/>
  <c r="Z211" i="55"/>
  <c r="AA211" i="55"/>
  <c r="AI173" i="55"/>
  <c r="AH211" i="55"/>
  <c r="P158" i="55"/>
  <c r="M43" i="47" s="1"/>
  <c r="P161" i="55"/>
  <c r="M45" i="47" s="1"/>
  <c r="P169" i="55"/>
  <c r="Q169" i="55" s="1"/>
  <c r="R169" i="55" s="1"/>
  <c r="S169" i="55" s="1"/>
  <c r="T169" i="55" s="1"/>
  <c r="U169" i="55" s="1"/>
  <c r="V169" i="55" s="1"/>
  <c r="W169" i="55" s="1"/>
  <c r="P166" i="55"/>
  <c r="Q166" i="55" s="1"/>
  <c r="R166" i="55" s="1"/>
  <c r="S166" i="55" s="1"/>
  <c r="T166" i="55" s="1"/>
  <c r="U166" i="55" s="1"/>
  <c r="V166" i="55" s="1"/>
  <c r="W166" i="55" s="1"/>
  <c r="P172" i="55"/>
  <c r="Q172" i="55" s="1"/>
  <c r="R172" i="55" s="1"/>
  <c r="S172" i="55" s="1"/>
  <c r="T172" i="55" s="1"/>
  <c r="U172" i="55" s="1"/>
  <c r="V172" i="55" s="1"/>
  <c r="W172" i="55" s="1"/>
  <c r="P157" i="55"/>
  <c r="M48" i="47" s="1"/>
  <c r="P165" i="55"/>
  <c r="M51" i="47" s="1"/>
  <c r="P163" i="55"/>
  <c r="M44" i="47" s="1"/>
  <c r="P156" i="55"/>
  <c r="M42" i="47" s="1"/>
  <c r="P168" i="55"/>
  <c r="Q168" i="55" s="1"/>
  <c r="R168" i="55" s="1"/>
  <c r="S168" i="55" s="1"/>
  <c r="T168" i="55" s="1"/>
  <c r="U168" i="55" s="1"/>
  <c r="V168" i="55" s="1"/>
  <c r="W168" i="55" s="1"/>
  <c r="P171" i="55"/>
  <c r="Q171" i="55" s="1"/>
  <c r="R171" i="55" s="1"/>
  <c r="S171" i="55" s="1"/>
  <c r="T171" i="55" s="1"/>
  <c r="U171" i="55" s="1"/>
  <c r="V171" i="55" s="1"/>
  <c r="W171" i="55" s="1"/>
  <c r="P155" i="55"/>
  <c r="M47" i="47" s="1"/>
  <c r="P164" i="55"/>
  <c r="Q164" i="55" s="1"/>
  <c r="R164" i="55" s="1"/>
  <c r="S164" i="55" s="1"/>
  <c r="T164" i="55" s="1"/>
  <c r="U164" i="55" s="1"/>
  <c r="V164" i="55" s="1"/>
  <c r="W164" i="55" s="1"/>
  <c r="P159" i="55"/>
  <c r="M46" i="47" s="1"/>
  <c r="P162" i="55"/>
  <c r="M49" i="47" s="1"/>
  <c r="P170" i="55"/>
  <c r="Q170" i="55" s="1"/>
  <c r="R170" i="55" s="1"/>
  <c r="S170" i="55" s="1"/>
  <c r="T170" i="55" s="1"/>
  <c r="U170" i="55" s="1"/>
  <c r="V170" i="55" s="1"/>
  <c r="W170" i="55" s="1"/>
  <c r="P160" i="55"/>
  <c r="M50" i="47" s="1"/>
  <c r="P167" i="55"/>
  <c r="Q167" i="55" s="1"/>
  <c r="R167" i="55" s="1"/>
  <c r="S167" i="55" s="1"/>
  <c r="T167" i="55" s="1"/>
  <c r="U167" i="55" s="1"/>
  <c r="V167" i="55" s="1"/>
  <c r="W167" i="55" s="1"/>
  <c r="X154" i="55"/>
  <c r="AH230" i="55"/>
  <c r="AH192" i="55"/>
  <c r="X112" i="55"/>
  <c r="P193" i="55"/>
  <c r="M26" i="47" s="1"/>
  <c r="P200" i="55"/>
  <c r="M28" i="47" s="1"/>
  <c r="P206" i="55"/>
  <c r="Q206" i="55" s="1"/>
  <c r="R206" i="55" s="1"/>
  <c r="S206" i="55" s="1"/>
  <c r="T206" i="55" s="1"/>
  <c r="U206" i="55" s="1"/>
  <c r="V206" i="55" s="1"/>
  <c r="W206" i="55" s="1"/>
  <c r="X206" i="55" s="1"/>
  <c r="Y206" i="55" s="1"/>
  <c r="P203" i="55"/>
  <c r="M30" i="47" s="1"/>
  <c r="P197" i="55"/>
  <c r="M25" i="47" s="1"/>
  <c r="P198" i="55"/>
  <c r="M29" i="47" s="1"/>
  <c r="P204" i="55"/>
  <c r="Q204" i="55" s="1"/>
  <c r="R204" i="55" s="1"/>
  <c r="S204" i="55" s="1"/>
  <c r="T204" i="55" s="1"/>
  <c r="U204" i="55" s="1"/>
  <c r="V204" i="55" s="1"/>
  <c r="W204" i="55" s="1"/>
  <c r="X204" i="55" s="1"/>
  <c r="Y204" i="55" s="1"/>
  <c r="P208" i="55"/>
  <c r="Q208" i="55" s="1"/>
  <c r="R208" i="55" s="1"/>
  <c r="S208" i="55" s="1"/>
  <c r="T208" i="55" s="1"/>
  <c r="U208" i="55" s="1"/>
  <c r="V208" i="55" s="1"/>
  <c r="W208" i="55" s="1"/>
  <c r="X208" i="55" s="1"/>
  <c r="Y208" i="55" s="1"/>
  <c r="P194" i="55"/>
  <c r="M21" i="47" s="1"/>
  <c r="P199" i="55"/>
  <c r="M24" i="47" s="1"/>
  <c r="P201" i="55"/>
  <c r="M23" i="47" s="1"/>
  <c r="P205" i="55"/>
  <c r="Q205" i="55" s="1"/>
  <c r="R205" i="55" s="1"/>
  <c r="S205" i="55" s="1"/>
  <c r="T205" i="55" s="1"/>
  <c r="U205" i="55" s="1"/>
  <c r="V205" i="55" s="1"/>
  <c r="W205" i="55" s="1"/>
  <c r="X205" i="55" s="1"/>
  <c r="Y205" i="55" s="1"/>
  <c r="P202" i="55"/>
  <c r="Q202" i="55" s="1"/>
  <c r="R202" i="55" s="1"/>
  <c r="S202" i="55" s="1"/>
  <c r="T202" i="55" s="1"/>
  <c r="U202" i="55" s="1"/>
  <c r="V202" i="55" s="1"/>
  <c r="W202" i="55" s="1"/>
  <c r="X202" i="55" s="1"/>
  <c r="Y202" i="55" s="1"/>
  <c r="P195" i="55"/>
  <c r="M27" i="47" s="1"/>
  <c r="P207" i="55"/>
  <c r="Q207" i="55" s="1"/>
  <c r="R207" i="55" s="1"/>
  <c r="S207" i="55" s="1"/>
  <c r="T207" i="55" s="1"/>
  <c r="U207" i="55" s="1"/>
  <c r="V207" i="55" s="1"/>
  <c r="W207" i="55" s="1"/>
  <c r="X207" i="55" s="1"/>
  <c r="Y207" i="55" s="1"/>
  <c r="P196" i="55"/>
  <c r="M22" i="47" s="1"/>
  <c r="AJ112" i="55"/>
  <c r="W127" i="55"/>
  <c r="W125" i="55"/>
  <c r="W124" i="55"/>
  <c r="W132" i="55"/>
  <c r="W121" i="55"/>
  <c r="W116" i="55"/>
  <c r="W118" i="55"/>
  <c r="W131" i="55"/>
  <c r="W126" i="55"/>
  <c r="W113" i="55"/>
  <c r="W123" i="55"/>
  <c r="W117" i="55"/>
  <c r="W114" i="55"/>
  <c r="W122" i="55"/>
  <c r="W128" i="55"/>
  <c r="W130" i="55"/>
  <c r="W119" i="55"/>
  <c r="W120" i="55"/>
  <c r="W115" i="55"/>
  <c r="W129" i="55"/>
  <c r="P15" i="47"/>
  <c r="T134" i="55"/>
  <c r="P185" i="55"/>
  <c r="Q185" i="55" s="1"/>
  <c r="R185" i="55" s="1"/>
  <c r="S185" i="55" s="1"/>
  <c r="T185" i="55" s="1"/>
  <c r="U185" i="55" s="1"/>
  <c r="V185" i="55" s="1"/>
  <c r="W185" i="55" s="1"/>
  <c r="X185" i="55" s="1"/>
  <c r="P183" i="55"/>
  <c r="Q183" i="55" s="1"/>
  <c r="R183" i="55" s="1"/>
  <c r="S183" i="55" s="1"/>
  <c r="T183" i="55" s="1"/>
  <c r="U183" i="55" s="1"/>
  <c r="V183" i="55" s="1"/>
  <c r="W183" i="55" s="1"/>
  <c r="X183" i="55" s="1"/>
  <c r="P182" i="55"/>
  <c r="Q182" i="55" s="1"/>
  <c r="R182" i="55" s="1"/>
  <c r="S182" i="55" s="1"/>
  <c r="T182" i="55" s="1"/>
  <c r="U182" i="55" s="1"/>
  <c r="V182" i="55" s="1"/>
  <c r="W182" i="55" s="1"/>
  <c r="X182" i="55" s="1"/>
  <c r="P180" i="55"/>
  <c r="Q180" i="55" s="1"/>
  <c r="R180" i="55" s="1"/>
  <c r="S180" i="55" s="1"/>
  <c r="T180" i="55" s="1"/>
  <c r="U180" i="55" s="1"/>
  <c r="V180" i="55" s="1"/>
  <c r="W180" i="55" s="1"/>
  <c r="X180" i="55" s="1"/>
  <c r="P174" i="55"/>
  <c r="Q174" i="55" s="1"/>
  <c r="R174" i="55" s="1"/>
  <c r="S174" i="55" s="1"/>
  <c r="T174" i="55" s="1"/>
  <c r="U174" i="55" s="1"/>
  <c r="V174" i="55" s="1"/>
  <c r="W174" i="55" s="1"/>
  <c r="X174" i="55" s="1"/>
  <c r="P189" i="55"/>
  <c r="Q189" i="55" s="1"/>
  <c r="R189" i="55" s="1"/>
  <c r="S189" i="55" s="1"/>
  <c r="T189" i="55" s="1"/>
  <c r="U189" i="55" s="1"/>
  <c r="V189" i="55" s="1"/>
  <c r="W189" i="55" s="1"/>
  <c r="X189" i="55" s="1"/>
  <c r="P181" i="55"/>
  <c r="Q181" i="55" s="1"/>
  <c r="R181" i="55" s="1"/>
  <c r="S181" i="55" s="1"/>
  <c r="T181" i="55" s="1"/>
  <c r="U181" i="55" s="1"/>
  <c r="V181" i="55" s="1"/>
  <c r="W181" i="55" s="1"/>
  <c r="X181" i="55" s="1"/>
  <c r="P186" i="55"/>
  <c r="Q186" i="55" s="1"/>
  <c r="R186" i="55" s="1"/>
  <c r="S186" i="55" s="1"/>
  <c r="T186" i="55" s="1"/>
  <c r="U186" i="55" s="1"/>
  <c r="V186" i="55" s="1"/>
  <c r="W186" i="55" s="1"/>
  <c r="X186" i="55" s="1"/>
  <c r="P187" i="55"/>
  <c r="Q187" i="55" s="1"/>
  <c r="R187" i="55" s="1"/>
  <c r="S187" i="55" s="1"/>
  <c r="T187" i="55" s="1"/>
  <c r="U187" i="55" s="1"/>
  <c r="V187" i="55" s="1"/>
  <c r="W187" i="55" s="1"/>
  <c r="X187" i="55" s="1"/>
  <c r="P188" i="55"/>
  <c r="Q188" i="55" s="1"/>
  <c r="R188" i="55" s="1"/>
  <c r="S188" i="55" s="1"/>
  <c r="T188" i="55" s="1"/>
  <c r="U188" i="55" s="1"/>
  <c r="V188" i="55" s="1"/>
  <c r="W188" i="55" s="1"/>
  <c r="X188" i="55" s="1"/>
  <c r="P175" i="55"/>
  <c r="Q175" i="55" s="1"/>
  <c r="R175" i="55" s="1"/>
  <c r="S175" i="55" s="1"/>
  <c r="T175" i="55" s="1"/>
  <c r="U175" i="55" s="1"/>
  <c r="V175" i="55" s="1"/>
  <c r="W175" i="55" s="1"/>
  <c r="X175" i="55" s="1"/>
  <c r="P178" i="55"/>
  <c r="Q178" i="55" s="1"/>
  <c r="R178" i="55" s="1"/>
  <c r="S178" i="55" s="1"/>
  <c r="T178" i="55" s="1"/>
  <c r="U178" i="55" s="1"/>
  <c r="V178" i="55" s="1"/>
  <c r="W178" i="55" s="1"/>
  <c r="X178" i="55" s="1"/>
  <c r="P177" i="55"/>
  <c r="Q177" i="55" s="1"/>
  <c r="R177" i="55" s="1"/>
  <c r="S177" i="55" s="1"/>
  <c r="T177" i="55" s="1"/>
  <c r="U177" i="55" s="1"/>
  <c r="V177" i="55" s="1"/>
  <c r="W177" i="55" s="1"/>
  <c r="X177" i="55" s="1"/>
  <c r="P184" i="55"/>
  <c r="Q184" i="55" s="1"/>
  <c r="R184" i="55" s="1"/>
  <c r="S184" i="55" s="1"/>
  <c r="T184" i="55" s="1"/>
  <c r="U184" i="55" s="1"/>
  <c r="V184" i="55" s="1"/>
  <c r="W184" i="55" s="1"/>
  <c r="X184" i="55" s="1"/>
  <c r="P179" i="55"/>
  <c r="Q179" i="55" s="1"/>
  <c r="R179" i="55" s="1"/>
  <c r="S179" i="55" s="1"/>
  <c r="T179" i="55" s="1"/>
  <c r="U179" i="55" s="1"/>
  <c r="V179" i="55" s="1"/>
  <c r="W179" i="55" s="1"/>
  <c r="X179" i="55" s="1"/>
  <c r="P176" i="55"/>
  <c r="Q176" i="55" s="1"/>
  <c r="R176" i="55" s="1"/>
  <c r="S176" i="55" s="1"/>
  <c r="T176" i="55" s="1"/>
  <c r="U176" i="55" s="1"/>
  <c r="V176" i="55" s="1"/>
  <c r="W176" i="55" s="1"/>
  <c r="X176" i="55" s="1"/>
  <c r="P236" i="55"/>
  <c r="M53" i="47" s="1"/>
  <c r="P248" i="55"/>
  <c r="Q248" i="55" s="1"/>
  <c r="R248" i="55" s="1"/>
  <c r="S248" i="55" s="1"/>
  <c r="T248" i="55" s="1"/>
  <c r="U248" i="55" s="1"/>
  <c r="V248" i="55" s="1"/>
  <c r="W248" i="55" s="1"/>
  <c r="X248" i="55" s="1"/>
  <c r="Y248" i="55" s="1"/>
  <c r="Z248" i="55" s="1"/>
  <c r="AA248" i="55" s="1"/>
  <c r="AB248" i="55" s="1"/>
  <c r="AC248" i="55" s="1"/>
  <c r="AD248" i="55" s="1"/>
  <c r="AE248" i="55" s="1"/>
  <c r="AF248" i="55" s="1"/>
  <c r="AG248" i="55" s="1"/>
  <c r="P246" i="55"/>
  <c r="Q246" i="55" s="1"/>
  <c r="R246" i="55" s="1"/>
  <c r="S246" i="55" s="1"/>
  <c r="T246" i="55" s="1"/>
  <c r="U246" i="55" s="1"/>
  <c r="V246" i="55" s="1"/>
  <c r="W246" i="55" s="1"/>
  <c r="X246" i="55" s="1"/>
  <c r="Y246" i="55" s="1"/>
  <c r="Z246" i="55" s="1"/>
  <c r="AA246" i="55" s="1"/>
  <c r="AB246" i="55" s="1"/>
  <c r="AC246" i="55" s="1"/>
  <c r="AD246" i="55" s="1"/>
  <c r="AE246" i="55" s="1"/>
  <c r="AF246" i="55" s="1"/>
  <c r="AG246" i="55" s="1"/>
  <c r="P240" i="55"/>
  <c r="M59" i="47" s="1"/>
  <c r="P235" i="55"/>
  <c r="M58" i="47" s="1"/>
  <c r="P233" i="55"/>
  <c r="M57" i="47" s="1"/>
  <c r="P252" i="55"/>
  <c r="Q252" i="55" s="1"/>
  <c r="R252" i="55" s="1"/>
  <c r="S252" i="55" s="1"/>
  <c r="T252" i="55" s="1"/>
  <c r="U252" i="55" s="1"/>
  <c r="V252" i="55" s="1"/>
  <c r="W252" i="55" s="1"/>
  <c r="X252" i="55" s="1"/>
  <c r="Y252" i="55" s="1"/>
  <c r="Z252" i="55" s="1"/>
  <c r="AA252" i="55" s="1"/>
  <c r="AB252" i="55" s="1"/>
  <c r="AC252" i="55" s="1"/>
  <c r="AD252" i="55" s="1"/>
  <c r="AE252" i="55" s="1"/>
  <c r="AF252" i="55" s="1"/>
  <c r="AG252" i="55" s="1"/>
  <c r="P234" i="55"/>
  <c r="M52" i="47" s="1"/>
  <c r="P237" i="55"/>
  <c r="M56" i="47" s="1"/>
  <c r="P231" i="55"/>
  <c r="Q231" i="55" s="1"/>
  <c r="R231" i="55" s="1"/>
  <c r="S231" i="55" s="1"/>
  <c r="T231" i="55" s="1"/>
  <c r="U231" i="55" s="1"/>
  <c r="V231" i="55" s="1"/>
  <c r="W231" i="55" s="1"/>
  <c r="X231" i="55" s="1"/>
  <c r="Y231" i="55" s="1"/>
  <c r="Z231" i="55" s="1"/>
  <c r="AA231" i="55" s="1"/>
  <c r="AB231" i="55" s="1"/>
  <c r="AC231" i="55" s="1"/>
  <c r="AD231" i="55" s="1"/>
  <c r="AE231" i="55" s="1"/>
  <c r="AF231" i="55" s="1"/>
  <c r="AG231" i="55" s="1"/>
  <c r="P249" i="55"/>
  <c r="Q249" i="55" s="1"/>
  <c r="R249" i="55" s="1"/>
  <c r="S249" i="55" s="1"/>
  <c r="T249" i="55" s="1"/>
  <c r="U249" i="55" s="1"/>
  <c r="V249" i="55" s="1"/>
  <c r="W249" i="55" s="1"/>
  <c r="X249" i="55" s="1"/>
  <c r="Y249" i="55" s="1"/>
  <c r="Z249" i="55" s="1"/>
  <c r="AA249" i="55" s="1"/>
  <c r="AB249" i="55" s="1"/>
  <c r="AC249" i="55" s="1"/>
  <c r="AD249" i="55" s="1"/>
  <c r="AE249" i="55" s="1"/>
  <c r="AF249" i="55" s="1"/>
  <c r="AG249" i="55" s="1"/>
  <c r="P241" i="55"/>
  <c r="M54" i="47" s="1"/>
  <c r="P245" i="55"/>
  <c r="Q245" i="55" s="1"/>
  <c r="R245" i="55" s="1"/>
  <c r="S245" i="55" s="1"/>
  <c r="T245" i="55" s="1"/>
  <c r="U245" i="55" s="1"/>
  <c r="V245" i="55" s="1"/>
  <c r="W245" i="55" s="1"/>
  <c r="X245" i="55" s="1"/>
  <c r="Y245" i="55" s="1"/>
  <c r="Z245" i="55" s="1"/>
  <c r="AA245" i="55" s="1"/>
  <c r="AB245" i="55" s="1"/>
  <c r="AC245" i="55" s="1"/>
  <c r="AD245" i="55" s="1"/>
  <c r="AE245" i="55" s="1"/>
  <c r="AF245" i="55" s="1"/>
  <c r="AG245" i="55" s="1"/>
  <c r="P250" i="55"/>
  <c r="Q250" i="55" s="1"/>
  <c r="R250" i="55" s="1"/>
  <c r="S250" i="55" s="1"/>
  <c r="T250" i="55" s="1"/>
  <c r="U250" i="55" s="1"/>
  <c r="V250" i="55" s="1"/>
  <c r="W250" i="55" s="1"/>
  <c r="X250" i="55" s="1"/>
  <c r="Y250" i="55" s="1"/>
  <c r="Z250" i="55" s="1"/>
  <c r="AA250" i="55" s="1"/>
  <c r="AB250" i="55" s="1"/>
  <c r="AC250" i="55" s="1"/>
  <c r="AD250" i="55" s="1"/>
  <c r="AE250" i="55" s="1"/>
  <c r="AF250" i="55" s="1"/>
  <c r="AG250" i="55" s="1"/>
  <c r="P243" i="55"/>
  <c r="M61" i="47" s="1"/>
  <c r="P244" i="55"/>
  <c r="Q244" i="55" s="1"/>
  <c r="R244" i="55" s="1"/>
  <c r="S244" i="55" s="1"/>
  <c r="T244" i="55" s="1"/>
  <c r="U244" i="55" s="1"/>
  <c r="V244" i="55" s="1"/>
  <c r="W244" i="55" s="1"/>
  <c r="X244" i="55" s="1"/>
  <c r="Y244" i="55" s="1"/>
  <c r="Z244" i="55" s="1"/>
  <c r="AA244" i="55" s="1"/>
  <c r="AB244" i="55" s="1"/>
  <c r="AC244" i="55" s="1"/>
  <c r="AD244" i="55" s="1"/>
  <c r="AE244" i="55" s="1"/>
  <c r="AF244" i="55" s="1"/>
  <c r="AG244" i="55" s="1"/>
  <c r="P242" i="55"/>
  <c r="Q242" i="55" s="1"/>
  <c r="R242" i="55" s="1"/>
  <c r="S242" i="55" s="1"/>
  <c r="T242" i="55" s="1"/>
  <c r="U242" i="55" s="1"/>
  <c r="V242" i="55" s="1"/>
  <c r="W242" i="55" s="1"/>
  <c r="X242" i="55" s="1"/>
  <c r="Y242" i="55" s="1"/>
  <c r="Z242" i="55" s="1"/>
  <c r="AA242" i="55" s="1"/>
  <c r="AB242" i="55" s="1"/>
  <c r="AC242" i="55" s="1"/>
  <c r="AD242" i="55" s="1"/>
  <c r="AE242" i="55" s="1"/>
  <c r="AF242" i="55" s="1"/>
  <c r="AG242" i="55" s="1"/>
  <c r="P251" i="55"/>
  <c r="Q251" i="55" s="1"/>
  <c r="R251" i="55" s="1"/>
  <c r="S251" i="55" s="1"/>
  <c r="T251" i="55" s="1"/>
  <c r="U251" i="55" s="1"/>
  <c r="V251" i="55" s="1"/>
  <c r="W251" i="55" s="1"/>
  <c r="X251" i="55" s="1"/>
  <c r="Y251" i="55" s="1"/>
  <c r="Z251" i="55" s="1"/>
  <c r="AA251" i="55" s="1"/>
  <c r="AB251" i="55" s="1"/>
  <c r="AC251" i="55" s="1"/>
  <c r="AD251" i="55" s="1"/>
  <c r="AE251" i="55" s="1"/>
  <c r="AF251" i="55" s="1"/>
  <c r="AG251" i="55" s="1"/>
  <c r="P247" i="55"/>
  <c r="Q247" i="55" s="1"/>
  <c r="R247" i="55" s="1"/>
  <c r="S247" i="55" s="1"/>
  <c r="T247" i="55" s="1"/>
  <c r="U247" i="55" s="1"/>
  <c r="V247" i="55" s="1"/>
  <c r="W247" i="55" s="1"/>
  <c r="X247" i="55" s="1"/>
  <c r="Y247" i="55" s="1"/>
  <c r="Z247" i="55" s="1"/>
  <c r="AA247" i="55" s="1"/>
  <c r="AB247" i="55" s="1"/>
  <c r="AC247" i="55" s="1"/>
  <c r="AD247" i="55" s="1"/>
  <c r="AE247" i="55" s="1"/>
  <c r="AF247" i="55" s="1"/>
  <c r="AG247" i="55" s="1"/>
  <c r="P253" i="55"/>
  <c r="M132" i="47" s="1"/>
  <c r="P239" i="55"/>
  <c r="M55" i="47" s="1"/>
  <c r="P238" i="55"/>
  <c r="M60" i="47" s="1"/>
  <c r="P232" i="55"/>
  <c r="Q232" i="55" s="1"/>
  <c r="R232" i="55" s="1"/>
  <c r="S232" i="55" s="1"/>
  <c r="T232" i="55" s="1"/>
  <c r="U232" i="55" s="1"/>
  <c r="V232" i="55" s="1"/>
  <c r="W232" i="55" s="1"/>
  <c r="X232" i="55" s="1"/>
  <c r="Y232" i="55" s="1"/>
  <c r="Z232" i="55" s="1"/>
  <c r="AA232" i="55" s="1"/>
  <c r="AB232" i="55" s="1"/>
  <c r="AC232" i="55" s="1"/>
  <c r="AD232" i="55" s="1"/>
  <c r="AE232" i="55" s="1"/>
  <c r="AF232" i="55" s="1"/>
  <c r="AG232" i="55" s="1"/>
  <c r="Q76" i="55"/>
  <c r="P222" i="55"/>
  <c r="Q222" i="55" s="1"/>
  <c r="R222" i="55" s="1"/>
  <c r="S222" i="55" s="1"/>
  <c r="T222" i="55" s="1"/>
  <c r="U222" i="55" s="1"/>
  <c r="V222" i="55" s="1"/>
  <c r="W222" i="55" s="1"/>
  <c r="X222" i="55" s="1"/>
  <c r="Y222" i="55" s="1"/>
  <c r="P220" i="55"/>
  <c r="Q220" i="55" s="1"/>
  <c r="R220" i="55" s="1"/>
  <c r="S220" i="55" s="1"/>
  <c r="T220" i="55" s="1"/>
  <c r="U220" i="55" s="1"/>
  <c r="V220" i="55" s="1"/>
  <c r="W220" i="55" s="1"/>
  <c r="X220" i="55" s="1"/>
  <c r="Y220" i="55" s="1"/>
  <c r="P228" i="55"/>
  <c r="Q228" i="55" s="1"/>
  <c r="R228" i="55" s="1"/>
  <c r="S228" i="55" s="1"/>
  <c r="T228" i="55" s="1"/>
  <c r="U228" i="55" s="1"/>
  <c r="V228" i="55" s="1"/>
  <c r="W228" i="55" s="1"/>
  <c r="X228" i="55" s="1"/>
  <c r="Y228" i="55" s="1"/>
  <c r="P212" i="55"/>
  <c r="Q212" i="55" s="1"/>
  <c r="R212" i="55" s="1"/>
  <c r="S212" i="55" s="1"/>
  <c r="T212" i="55" s="1"/>
  <c r="U212" i="55" s="1"/>
  <c r="V212" i="55" s="1"/>
  <c r="W212" i="55" s="1"/>
  <c r="X212" i="55" s="1"/>
  <c r="Y212" i="55" s="1"/>
  <c r="P221" i="55"/>
  <c r="Q221" i="55" s="1"/>
  <c r="R221" i="55" s="1"/>
  <c r="S221" i="55" s="1"/>
  <c r="T221" i="55" s="1"/>
  <c r="U221" i="55" s="1"/>
  <c r="V221" i="55" s="1"/>
  <c r="W221" i="55" s="1"/>
  <c r="X221" i="55" s="1"/>
  <c r="Y221" i="55" s="1"/>
  <c r="P219" i="55"/>
  <c r="Q219" i="55" s="1"/>
  <c r="R219" i="55" s="1"/>
  <c r="S219" i="55" s="1"/>
  <c r="T219" i="55" s="1"/>
  <c r="U219" i="55" s="1"/>
  <c r="V219" i="55" s="1"/>
  <c r="W219" i="55" s="1"/>
  <c r="X219" i="55" s="1"/>
  <c r="Y219" i="55" s="1"/>
  <c r="P217" i="55"/>
  <c r="Q217" i="55" s="1"/>
  <c r="R217" i="55" s="1"/>
  <c r="S217" i="55" s="1"/>
  <c r="T217" i="55" s="1"/>
  <c r="U217" i="55" s="1"/>
  <c r="V217" i="55" s="1"/>
  <c r="W217" i="55" s="1"/>
  <c r="X217" i="55" s="1"/>
  <c r="Y217" i="55" s="1"/>
  <c r="P224" i="55"/>
  <c r="Q224" i="55" s="1"/>
  <c r="R224" i="55" s="1"/>
  <c r="S224" i="55" s="1"/>
  <c r="T224" i="55" s="1"/>
  <c r="U224" i="55" s="1"/>
  <c r="V224" i="55" s="1"/>
  <c r="W224" i="55" s="1"/>
  <c r="X224" i="55" s="1"/>
  <c r="Y224" i="55" s="1"/>
  <c r="P214" i="55"/>
  <c r="Q214" i="55" s="1"/>
  <c r="R214" i="55" s="1"/>
  <c r="S214" i="55" s="1"/>
  <c r="T214" i="55" s="1"/>
  <c r="U214" i="55" s="1"/>
  <c r="V214" i="55" s="1"/>
  <c r="W214" i="55" s="1"/>
  <c r="X214" i="55" s="1"/>
  <c r="Y214" i="55" s="1"/>
  <c r="P216" i="55"/>
  <c r="Q216" i="55" s="1"/>
  <c r="R216" i="55" s="1"/>
  <c r="S216" i="55" s="1"/>
  <c r="T216" i="55" s="1"/>
  <c r="U216" i="55" s="1"/>
  <c r="V216" i="55" s="1"/>
  <c r="W216" i="55" s="1"/>
  <c r="X216" i="55" s="1"/>
  <c r="Y216" i="55" s="1"/>
  <c r="P215" i="55"/>
  <c r="Q215" i="55" s="1"/>
  <c r="R215" i="55" s="1"/>
  <c r="S215" i="55" s="1"/>
  <c r="T215" i="55" s="1"/>
  <c r="U215" i="55" s="1"/>
  <c r="V215" i="55" s="1"/>
  <c r="W215" i="55" s="1"/>
  <c r="X215" i="55" s="1"/>
  <c r="Y215" i="55" s="1"/>
  <c r="P229" i="55"/>
  <c r="Q229" i="55" s="1"/>
  <c r="R229" i="55" s="1"/>
  <c r="S229" i="55" s="1"/>
  <c r="T229" i="55" s="1"/>
  <c r="U229" i="55" s="1"/>
  <c r="V229" i="55" s="1"/>
  <c r="W229" i="55" s="1"/>
  <c r="X229" i="55" s="1"/>
  <c r="Y229" i="55" s="1"/>
  <c r="P225" i="55"/>
  <c r="Q225" i="55" s="1"/>
  <c r="R225" i="55" s="1"/>
  <c r="S225" i="55" s="1"/>
  <c r="T225" i="55" s="1"/>
  <c r="U225" i="55" s="1"/>
  <c r="V225" i="55" s="1"/>
  <c r="W225" i="55" s="1"/>
  <c r="X225" i="55" s="1"/>
  <c r="Y225" i="55" s="1"/>
  <c r="P227" i="55"/>
  <c r="Q227" i="55" s="1"/>
  <c r="R227" i="55" s="1"/>
  <c r="S227" i="55" s="1"/>
  <c r="T227" i="55" s="1"/>
  <c r="U227" i="55" s="1"/>
  <c r="V227" i="55" s="1"/>
  <c r="W227" i="55" s="1"/>
  <c r="X227" i="55" s="1"/>
  <c r="Y227" i="55" s="1"/>
  <c r="P218" i="55"/>
  <c r="Q218" i="55" s="1"/>
  <c r="R218" i="55" s="1"/>
  <c r="S218" i="55" s="1"/>
  <c r="T218" i="55" s="1"/>
  <c r="U218" i="55" s="1"/>
  <c r="V218" i="55" s="1"/>
  <c r="W218" i="55" s="1"/>
  <c r="X218" i="55" s="1"/>
  <c r="Y218" i="55" s="1"/>
  <c r="P213" i="55"/>
  <c r="Q213" i="55" s="1"/>
  <c r="R213" i="55" s="1"/>
  <c r="S213" i="55" s="1"/>
  <c r="T213" i="55" s="1"/>
  <c r="U213" i="55" s="1"/>
  <c r="V213" i="55" s="1"/>
  <c r="W213" i="55" s="1"/>
  <c r="X213" i="55" s="1"/>
  <c r="Y213" i="55" s="1"/>
  <c r="P226" i="55"/>
  <c r="Q226" i="55" s="1"/>
  <c r="R226" i="55" s="1"/>
  <c r="S226" i="55" s="1"/>
  <c r="T226" i="55" s="1"/>
  <c r="U226" i="55" s="1"/>
  <c r="V226" i="55" s="1"/>
  <c r="W226" i="55" s="1"/>
  <c r="X226" i="55" s="1"/>
  <c r="Y226" i="55" s="1"/>
  <c r="P223" i="55"/>
  <c r="Q223" i="55" s="1"/>
  <c r="R223" i="55" s="1"/>
  <c r="S223" i="55" s="1"/>
  <c r="T223" i="55" s="1"/>
  <c r="U223" i="55" s="1"/>
  <c r="V223" i="55" s="1"/>
  <c r="W223" i="55" s="1"/>
  <c r="X223" i="55" s="1"/>
  <c r="Y223" i="55" s="1"/>
  <c r="AK91" i="55"/>
  <c r="Y133" i="55"/>
  <c r="Q72" i="55"/>
  <c r="AI154" i="55"/>
  <c r="AN227" i="58" l="1"/>
  <c r="AN226" i="58"/>
  <c r="AP50" i="58"/>
  <c r="AO193" i="58"/>
  <c r="AO192" i="58"/>
  <c r="AP51" i="58"/>
  <c r="AO203" i="58"/>
  <c r="AO204" i="58"/>
  <c r="AO215" i="58"/>
  <c r="AO214" i="58"/>
  <c r="AP52" i="58"/>
  <c r="AO181" i="58"/>
  <c r="AO180" i="58"/>
  <c r="AO53" i="58"/>
  <c r="AP49" i="58"/>
  <c r="P13" i="47"/>
  <c r="T139" i="55"/>
  <c r="Q18" i="47" s="1"/>
  <c r="T144" i="55"/>
  <c r="Q19" i="47" s="1"/>
  <c r="Q12" i="47"/>
  <c r="T138" i="55"/>
  <c r="Q14" i="47" s="1"/>
  <c r="T151" i="55"/>
  <c r="Q20" i="47" s="1"/>
  <c r="R71" i="55"/>
  <c r="O36" i="47" s="1"/>
  <c r="R75" i="55"/>
  <c r="O35" i="47" s="1"/>
  <c r="R79" i="55"/>
  <c r="S79" i="55" s="1"/>
  <c r="T141" i="55"/>
  <c r="Q17" i="47" s="1"/>
  <c r="R77" i="55"/>
  <c r="O34" i="47" s="1"/>
  <c r="R78" i="55"/>
  <c r="S78" i="55" s="1"/>
  <c r="T136" i="55"/>
  <c r="Q16" i="47" s="1"/>
  <c r="P11" i="47"/>
  <c r="T137" i="55"/>
  <c r="R74" i="55"/>
  <c r="R88" i="55"/>
  <c r="O40" i="47" s="1"/>
  <c r="R81" i="55"/>
  <c r="S81" i="55" s="1"/>
  <c r="R73" i="55"/>
  <c r="S73" i="55" s="1"/>
  <c r="P37" i="47" s="1"/>
  <c r="Q157" i="55"/>
  <c r="N48" i="47" s="1"/>
  <c r="Q162" i="55"/>
  <c r="N49" i="47" s="1"/>
  <c r="Q161" i="55"/>
  <c r="N45" i="47" s="1"/>
  <c r="Q165" i="55"/>
  <c r="N51" i="47" s="1"/>
  <c r="Q155" i="55"/>
  <c r="N47" i="47" s="1"/>
  <c r="Q163" i="55"/>
  <c r="N44" i="47" s="1"/>
  <c r="T135" i="55"/>
  <c r="P10" i="47"/>
  <c r="Q158" i="55"/>
  <c r="Q160" i="55"/>
  <c r="Q236" i="55"/>
  <c r="N53" i="47" s="1"/>
  <c r="Q239" i="55"/>
  <c r="N55" i="47" s="1"/>
  <c r="Q253" i="55"/>
  <c r="N132" i="47" s="1"/>
  <c r="Q197" i="55"/>
  <c r="N25" i="47" s="1"/>
  <c r="Q200" i="55"/>
  <c r="N28" i="47" s="1"/>
  <c r="Q235" i="55"/>
  <c r="N58" i="47" s="1"/>
  <c r="Q233" i="55"/>
  <c r="N57" i="47" s="1"/>
  <c r="Q159" i="55"/>
  <c r="N46" i="47" s="1"/>
  <c r="AI192" i="55"/>
  <c r="AI230" i="55"/>
  <c r="AJ173" i="55"/>
  <c r="Y70" i="55"/>
  <c r="AH247" i="55"/>
  <c r="AH231" i="55"/>
  <c r="AH251" i="55"/>
  <c r="AH250" i="55"/>
  <c r="AH249" i="55"/>
  <c r="AH232" i="55"/>
  <c r="AH246" i="55"/>
  <c r="AH248" i="55"/>
  <c r="AH244" i="55"/>
  <c r="AH245" i="55"/>
  <c r="AH252" i="55"/>
  <c r="AH242" i="55"/>
  <c r="Y154" i="55"/>
  <c r="X80" i="55"/>
  <c r="X83" i="55"/>
  <c r="X82" i="55"/>
  <c r="X86" i="55"/>
  <c r="X85" i="55"/>
  <c r="X84" i="55"/>
  <c r="X87" i="55"/>
  <c r="X90" i="55"/>
  <c r="X89" i="55"/>
  <c r="N31" i="47"/>
  <c r="R72" i="55"/>
  <c r="X168" i="55"/>
  <c r="X164" i="55"/>
  <c r="X169" i="55"/>
  <c r="X170" i="55"/>
  <c r="X172" i="55"/>
  <c r="X166" i="55"/>
  <c r="X167" i="55"/>
  <c r="X171" i="55"/>
  <c r="N39" i="47"/>
  <c r="R76" i="55"/>
  <c r="Q237" i="55"/>
  <c r="Q195" i="55"/>
  <c r="Z225" i="55"/>
  <c r="AA225" i="55" s="1"/>
  <c r="AB225" i="55" s="1"/>
  <c r="AC225" i="55" s="1"/>
  <c r="AD225" i="55" s="1"/>
  <c r="AE225" i="55" s="1"/>
  <c r="AF225" i="55" s="1"/>
  <c r="AG225" i="55" s="1"/>
  <c r="AH225" i="55" s="1"/>
  <c r="Z220" i="55"/>
  <c r="AA220" i="55" s="1"/>
  <c r="AB220" i="55" s="1"/>
  <c r="AC220" i="55" s="1"/>
  <c r="AD220" i="55" s="1"/>
  <c r="AE220" i="55" s="1"/>
  <c r="AF220" i="55" s="1"/>
  <c r="AG220" i="55" s="1"/>
  <c r="AH220" i="55" s="1"/>
  <c r="Z218" i="55"/>
  <c r="AA218" i="55" s="1"/>
  <c r="AB218" i="55" s="1"/>
  <c r="AC218" i="55" s="1"/>
  <c r="AD218" i="55" s="1"/>
  <c r="AE218" i="55" s="1"/>
  <c r="AF218" i="55" s="1"/>
  <c r="AG218" i="55" s="1"/>
  <c r="AH218" i="55" s="1"/>
  <c r="Z226" i="55"/>
  <c r="AA226" i="55" s="1"/>
  <c r="AB226" i="55" s="1"/>
  <c r="AC226" i="55" s="1"/>
  <c r="AD226" i="55" s="1"/>
  <c r="AE226" i="55" s="1"/>
  <c r="AF226" i="55" s="1"/>
  <c r="AG226" i="55" s="1"/>
  <c r="AH226" i="55" s="1"/>
  <c r="Z215" i="55"/>
  <c r="AA215" i="55" s="1"/>
  <c r="AB215" i="55" s="1"/>
  <c r="AC215" i="55" s="1"/>
  <c r="AD215" i="55" s="1"/>
  <c r="AE215" i="55" s="1"/>
  <c r="AF215" i="55" s="1"/>
  <c r="AG215" i="55" s="1"/>
  <c r="AH215" i="55" s="1"/>
  <c r="Z221" i="55"/>
  <c r="AA221" i="55" s="1"/>
  <c r="AB221" i="55" s="1"/>
  <c r="AC221" i="55" s="1"/>
  <c r="AD221" i="55" s="1"/>
  <c r="AE221" i="55" s="1"/>
  <c r="AF221" i="55" s="1"/>
  <c r="AG221" i="55" s="1"/>
  <c r="AH221" i="55" s="1"/>
  <c r="Z213" i="55"/>
  <c r="AA213" i="55" s="1"/>
  <c r="AB213" i="55" s="1"/>
  <c r="AC213" i="55" s="1"/>
  <c r="AD213" i="55" s="1"/>
  <c r="AE213" i="55" s="1"/>
  <c r="AF213" i="55" s="1"/>
  <c r="AG213" i="55" s="1"/>
  <c r="AH213" i="55" s="1"/>
  <c r="Z229" i="55"/>
  <c r="AA229" i="55" s="1"/>
  <c r="AB229" i="55" s="1"/>
  <c r="AC229" i="55" s="1"/>
  <c r="AD229" i="55" s="1"/>
  <c r="AE229" i="55" s="1"/>
  <c r="AF229" i="55" s="1"/>
  <c r="AG229" i="55" s="1"/>
  <c r="AH229" i="55" s="1"/>
  <c r="Z228" i="55"/>
  <c r="AA228" i="55" s="1"/>
  <c r="AB228" i="55" s="1"/>
  <c r="AC228" i="55" s="1"/>
  <c r="AD228" i="55" s="1"/>
  <c r="AE228" i="55" s="1"/>
  <c r="AF228" i="55" s="1"/>
  <c r="AG228" i="55" s="1"/>
  <c r="AH228" i="55" s="1"/>
  <c r="Z222" i="55"/>
  <c r="AA222" i="55" s="1"/>
  <c r="AB222" i="55" s="1"/>
  <c r="AC222" i="55" s="1"/>
  <c r="AD222" i="55" s="1"/>
  <c r="AE222" i="55" s="1"/>
  <c r="AF222" i="55" s="1"/>
  <c r="AG222" i="55" s="1"/>
  <c r="AH222" i="55" s="1"/>
  <c r="Z224" i="55"/>
  <c r="AA224" i="55" s="1"/>
  <c r="AB224" i="55" s="1"/>
  <c r="AC224" i="55" s="1"/>
  <c r="AD224" i="55" s="1"/>
  <c r="AE224" i="55" s="1"/>
  <c r="AF224" i="55" s="1"/>
  <c r="AG224" i="55" s="1"/>
  <c r="AH224" i="55" s="1"/>
  <c r="Z212" i="55"/>
  <c r="AA212" i="55" s="1"/>
  <c r="AB212" i="55" s="1"/>
  <c r="AC212" i="55" s="1"/>
  <c r="AD212" i="55" s="1"/>
  <c r="AE212" i="55" s="1"/>
  <c r="AF212" i="55" s="1"/>
  <c r="AG212" i="55" s="1"/>
  <c r="AH212" i="55" s="1"/>
  <c r="Z227" i="55"/>
  <c r="AA227" i="55" s="1"/>
  <c r="AB227" i="55" s="1"/>
  <c r="AC227" i="55" s="1"/>
  <c r="AD227" i="55" s="1"/>
  <c r="AE227" i="55" s="1"/>
  <c r="AF227" i="55" s="1"/>
  <c r="AG227" i="55" s="1"/>
  <c r="AH227" i="55" s="1"/>
  <c r="Z219" i="55"/>
  <c r="AA219" i="55" s="1"/>
  <c r="AB219" i="55" s="1"/>
  <c r="AC219" i="55" s="1"/>
  <c r="AD219" i="55" s="1"/>
  <c r="AE219" i="55" s="1"/>
  <c r="AF219" i="55" s="1"/>
  <c r="AG219" i="55" s="1"/>
  <c r="AH219" i="55" s="1"/>
  <c r="Z223" i="55"/>
  <c r="AA223" i="55" s="1"/>
  <c r="AB223" i="55" s="1"/>
  <c r="AC223" i="55" s="1"/>
  <c r="AD223" i="55" s="1"/>
  <c r="AE223" i="55" s="1"/>
  <c r="AF223" i="55" s="1"/>
  <c r="AG223" i="55" s="1"/>
  <c r="AH223" i="55" s="1"/>
  <c r="Z217" i="55"/>
  <c r="AA217" i="55" s="1"/>
  <c r="AB217" i="55" s="1"/>
  <c r="AC217" i="55" s="1"/>
  <c r="AD217" i="55" s="1"/>
  <c r="AE217" i="55" s="1"/>
  <c r="AF217" i="55" s="1"/>
  <c r="AG217" i="55" s="1"/>
  <c r="AH217" i="55" s="1"/>
  <c r="Z214" i="55"/>
  <c r="AA214" i="55" s="1"/>
  <c r="AB214" i="55" s="1"/>
  <c r="AC214" i="55" s="1"/>
  <c r="AD214" i="55" s="1"/>
  <c r="AE214" i="55" s="1"/>
  <c r="AF214" i="55" s="1"/>
  <c r="AG214" i="55" s="1"/>
  <c r="AH214" i="55" s="1"/>
  <c r="Z216" i="55"/>
  <c r="AA216" i="55" s="1"/>
  <c r="AB216" i="55" s="1"/>
  <c r="AC216" i="55" s="1"/>
  <c r="AD216" i="55" s="1"/>
  <c r="AE216" i="55" s="1"/>
  <c r="AF216" i="55" s="1"/>
  <c r="AG216" i="55" s="1"/>
  <c r="AH216" i="55" s="1"/>
  <c r="AI133" i="55"/>
  <c r="Z133" i="55"/>
  <c r="AA133" i="55"/>
  <c r="Q15" i="47"/>
  <c r="U134" i="55"/>
  <c r="Q243" i="55"/>
  <c r="Q241" i="55"/>
  <c r="Q193" i="55"/>
  <c r="Y147" i="55"/>
  <c r="Y146" i="55"/>
  <c r="Y145" i="55"/>
  <c r="Y150" i="55"/>
  <c r="Y149" i="55"/>
  <c r="Y148" i="55"/>
  <c r="Y143" i="55"/>
  <c r="Y152" i="55"/>
  <c r="Y153" i="55"/>
  <c r="Q238" i="55"/>
  <c r="Q156" i="55"/>
  <c r="Q199" i="55"/>
  <c r="AK112" i="55"/>
  <c r="Q194" i="55"/>
  <c r="AL91" i="55"/>
  <c r="AM91" i="55"/>
  <c r="Q203" i="55"/>
  <c r="Q13" i="47"/>
  <c r="U140" i="55"/>
  <c r="Q240" i="55"/>
  <c r="Q198" i="55"/>
  <c r="AJ70" i="55"/>
  <c r="Z91" i="55"/>
  <c r="AA91" i="55"/>
  <c r="AI211" i="55"/>
  <c r="Y106" i="55"/>
  <c r="Y111" i="55"/>
  <c r="Y94" i="55"/>
  <c r="Y103" i="55"/>
  <c r="Y93" i="55"/>
  <c r="Y105" i="55"/>
  <c r="Y98" i="55"/>
  <c r="Y101" i="55"/>
  <c r="Y109" i="55"/>
  <c r="Y110" i="55"/>
  <c r="Y97" i="55"/>
  <c r="Y95" i="55"/>
  <c r="Y102" i="55"/>
  <c r="Y99" i="55"/>
  <c r="Y108" i="55"/>
  <c r="Y107" i="55"/>
  <c r="Y104" i="55"/>
  <c r="Y96" i="55"/>
  <c r="Y92" i="55"/>
  <c r="Y100" i="55"/>
  <c r="Y112" i="55"/>
  <c r="Z173" i="55"/>
  <c r="AA173" i="55"/>
  <c r="R12" i="47"/>
  <c r="V142" i="55"/>
  <c r="AJ154" i="55"/>
  <c r="Q234" i="55"/>
  <c r="X119" i="55"/>
  <c r="X130" i="55"/>
  <c r="X124" i="55"/>
  <c r="X113" i="55"/>
  <c r="X131" i="55"/>
  <c r="X121" i="55"/>
  <c r="X129" i="55"/>
  <c r="X128" i="55"/>
  <c r="X118" i="55"/>
  <c r="X114" i="55"/>
  <c r="X122" i="55"/>
  <c r="X123" i="55"/>
  <c r="X125" i="55"/>
  <c r="X120" i="55"/>
  <c r="X132" i="55"/>
  <c r="X116" i="55"/>
  <c r="X126" i="55"/>
  <c r="X115" i="55"/>
  <c r="X117" i="55"/>
  <c r="X127" i="55"/>
  <c r="Q201" i="55"/>
  <c r="Q196" i="55"/>
  <c r="Z207" i="55"/>
  <c r="AA207" i="55" s="1"/>
  <c r="AB207" i="55" s="1"/>
  <c r="AC207" i="55" s="1"/>
  <c r="AD207" i="55" s="1"/>
  <c r="AE207" i="55" s="1"/>
  <c r="AF207" i="55" s="1"/>
  <c r="AG207" i="55" s="1"/>
  <c r="AH207" i="55" s="1"/>
  <c r="Z206" i="55"/>
  <c r="AA206" i="55" s="1"/>
  <c r="AB206" i="55" s="1"/>
  <c r="AC206" i="55" s="1"/>
  <c r="AD206" i="55" s="1"/>
  <c r="AE206" i="55" s="1"/>
  <c r="AF206" i="55" s="1"/>
  <c r="AG206" i="55" s="1"/>
  <c r="AH206" i="55" s="1"/>
  <c r="Z202" i="55"/>
  <c r="AA202" i="55" s="1"/>
  <c r="AB202" i="55" s="1"/>
  <c r="AC202" i="55" s="1"/>
  <c r="AD202" i="55" s="1"/>
  <c r="AE202" i="55" s="1"/>
  <c r="AF202" i="55" s="1"/>
  <c r="AG202" i="55" s="1"/>
  <c r="AH202" i="55" s="1"/>
  <c r="Z205" i="55"/>
  <c r="AA205" i="55" s="1"/>
  <c r="AB205" i="55" s="1"/>
  <c r="AC205" i="55" s="1"/>
  <c r="AD205" i="55" s="1"/>
  <c r="AE205" i="55" s="1"/>
  <c r="AF205" i="55" s="1"/>
  <c r="AG205" i="55" s="1"/>
  <c r="AH205" i="55" s="1"/>
  <c r="Z204" i="55"/>
  <c r="AA204" i="55" s="1"/>
  <c r="AB204" i="55" s="1"/>
  <c r="AC204" i="55" s="1"/>
  <c r="AD204" i="55" s="1"/>
  <c r="AE204" i="55" s="1"/>
  <c r="AF204" i="55" s="1"/>
  <c r="AG204" i="55" s="1"/>
  <c r="AH204" i="55" s="1"/>
  <c r="Z208" i="55"/>
  <c r="AA208" i="55" s="1"/>
  <c r="AB208" i="55" s="1"/>
  <c r="AC208" i="55" s="1"/>
  <c r="AD208" i="55" s="1"/>
  <c r="AE208" i="55" s="1"/>
  <c r="AF208" i="55" s="1"/>
  <c r="AG208" i="55" s="1"/>
  <c r="AH208" i="55" s="1"/>
  <c r="Y187" i="55"/>
  <c r="Y182" i="55"/>
  <c r="Y176" i="55"/>
  <c r="Y174" i="55"/>
  <c r="Y185" i="55"/>
  <c r="Y179" i="55"/>
  <c r="Y189" i="55"/>
  <c r="Y181" i="55"/>
  <c r="Y184" i="55"/>
  <c r="Y178" i="55"/>
  <c r="Y175" i="55"/>
  <c r="Y177" i="55"/>
  <c r="Y183" i="55"/>
  <c r="Y186" i="55"/>
  <c r="Y188" i="55"/>
  <c r="Y180" i="55"/>
  <c r="AP215" i="58" l="1"/>
  <c r="AP214" i="58"/>
  <c r="AQ52" i="58"/>
  <c r="AP204" i="58"/>
  <c r="AQ51" i="58"/>
  <c r="AP203" i="58"/>
  <c r="AO226" i="58"/>
  <c r="AO227" i="58"/>
  <c r="AP181" i="58"/>
  <c r="AP180" i="58"/>
  <c r="AQ49" i="58"/>
  <c r="AP53" i="58"/>
  <c r="AQ50" i="58"/>
  <c r="AP193" i="58"/>
  <c r="AP192" i="58"/>
  <c r="U139" i="55"/>
  <c r="R18" i="47" s="1"/>
  <c r="U144" i="55"/>
  <c r="R19" i="47" s="1"/>
  <c r="U138" i="55"/>
  <c r="V138" i="55" s="1"/>
  <c r="O38" i="47"/>
  <c r="U141" i="55"/>
  <c r="V141" i="55" s="1"/>
  <c r="S17" i="47" s="1"/>
  <c r="U151" i="55"/>
  <c r="R20" i="47" s="1"/>
  <c r="S75" i="55"/>
  <c r="P35" i="47" s="1"/>
  <c r="S71" i="55"/>
  <c r="P36" i="47" s="1"/>
  <c r="O33" i="47"/>
  <c r="S77" i="55"/>
  <c r="P34" i="47" s="1"/>
  <c r="T73" i="55"/>
  <c r="Q37" i="47" s="1"/>
  <c r="O37" i="47"/>
  <c r="U136" i="55"/>
  <c r="R236" i="55"/>
  <c r="O53" i="47" s="1"/>
  <c r="Q11" i="47"/>
  <c r="U137" i="55"/>
  <c r="O41" i="47"/>
  <c r="S88" i="55"/>
  <c r="P40" i="47" s="1"/>
  <c r="R157" i="55"/>
  <c r="O48" i="47" s="1"/>
  <c r="O32" i="47"/>
  <c r="S74" i="55"/>
  <c r="R197" i="55"/>
  <c r="S197" i="55" s="1"/>
  <c r="R155" i="55"/>
  <c r="R200" i="55"/>
  <c r="S200" i="55" s="1"/>
  <c r="R235" i="55"/>
  <c r="O58" i="47" s="1"/>
  <c r="R165" i="55"/>
  <c r="S165" i="55" s="1"/>
  <c r="R161" i="55"/>
  <c r="O45" i="47" s="1"/>
  <c r="R159" i="55"/>
  <c r="O46" i="47" s="1"/>
  <c r="R162" i="55"/>
  <c r="O49" i="47" s="1"/>
  <c r="R163" i="55"/>
  <c r="O44" i="47" s="1"/>
  <c r="R239" i="55"/>
  <c r="S239" i="55" s="1"/>
  <c r="R253" i="55"/>
  <c r="S253" i="55" s="1"/>
  <c r="N43" i="47"/>
  <c r="R158" i="55"/>
  <c r="U135" i="55"/>
  <c r="Q10" i="47"/>
  <c r="R233" i="55"/>
  <c r="O57" i="47" s="1"/>
  <c r="N50" i="47"/>
  <c r="R160" i="55"/>
  <c r="Z70" i="55"/>
  <c r="AA70" i="55"/>
  <c r="Y127" i="55"/>
  <c r="Y121" i="55"/>
  <c r="Y114" i="55"/>
  <c r="Y125" i="55"/>
  <c r="Y128" i="55"/>
  <c r="Y132" i="55"/>
  <c r="Y116" i="55"/>
  <c r="Y122" i="55"/>
  <c r="Y129" i="55"/>
  <c r="Y117" i="55"/>
  <c r="Y126" i="55"/>
  <c r="Y119" i="55"/>
  <c r="Y124" i="55"/>
  <c r="Y131" i="55"/>
  <c r="Y118" i="55"/>
  <c r="Y123" i="55"/>
  <c r="Y120" i="55"/>
  <c r="Y115" i="55"/>
  <c r="Y113" i="55"/>
  <c r="Y130" i="55"/>
  <c r="N24" i="47"/>
  <c r="R199" i="55"/>
  <c r="N26" i="47"/>
  <c r="R193" i="55"/>
  <c r="O39" i="47"/>
  <c r="S76" i="55"/>
  <c r="Y86" i="55"/>
  <c r="Y85" i="55"/>
  <c r="Y84" i="55"/>
  <c r="Y80" i="55"/>
  <c r="Y83" i="55"/>
  <c r="Y82" i="55"/>
  <c r="Y87" i="55"/>
  <c r="Y90" i="55"/>
  <c r="Y89" i="55"/>
  <c r="N52" i="47"/>
  <c r="R234" i="55"/>
  <c r="S12" i="47"/>
  <c r="W142" i="55"/>
  <c r="N29" i="47"/>
  <c r="R198" i="55"/>
  <c r="R13" i="47"/>
  <c r="V140" i="55"/>
  <c r="N42" i="47"/>
  <c r="R156" i="55"/>
  <c r="N60" i="47"/>
  <c r="R238" i="55"/>
  <c r="AJ133" i="55"/>
  <c r="P38" i="47"/>
  <c r="T78" i="55"/>
  <c r="O31" i="47"/>
  <c r="S72" i="55"/>
  <c r="Z153" i="55"/>
  <c r="AA153" i="55" s="1"/>
  <c r="AB153" i="55" s="1"/>
  <c r="AC153" i="55" s="1"/>
  <c r="AD153" i="55" s="1"/>
  <c r="AE153" i="55" s="1"/>
  <c r="AF153" i="55" s="1"/>
  <c r="AG153" i="55" s="1"/>
  <c r="AH153" i="55" s="1"/>
  <c r="AI153" i="55" s="1"/>
  <c r="Z150" i="55"/>
  <c r="AA150" i="55" s="1"/>
  <c r="AB150" i="55" s="1"/>
  <c r="AC150" i="55" s="1"/>
  <c r="AD150" i="55" s="1"/>
  <c r="AE150" i="55" s="1"/>
  <c r="AF150" i="55" s="1"/>
  <c r="AG150" i="55" s="1"/>
  <c r="AH150" i="55" s="1"/>
  <c r="AI150" i="55" s="1"/>
  <c r="Z143" i="55"/>
  <c r="AA143" i="55" s="1"/>
  <c r="AB143" i="55" s="1"/>
  <c r="AC143" i="55" s="1"/>
  <c r="AD143" i="55" s="1"/>
  <c r="AE143" i="55" s="1"/>
  <c r="AF143" i="55" s="1"/>
  <c r="AG143" i="55" s="1"/>
  <c r="AH143" i="55" s="1"/>
  <c r="AI143" i="55" s="1"/>
  <c r="Z145" i="55"/>
  <c r="AA145" i="55" s="1"/>
  <c r="AB145" i="55" s="1"/>
  <c r="AC145" i="55" s="1"/>
  <c r="AD145" i="55" s="1"/>
  <c r="AE145" i="55" s="1"/>
  <c r="AF145" i="55" s="1"/>
  <c r="AG145" i="55" s="1"/>
  <c r="AH145" i="55" s="1"/>
  <c r="AI145" i="55" s="1"/>
  <c r="Z148" i="55"/>
  <c r="AA148" i="55" s="1"/>
  <c r="AB148" i="55" s="1"/>
  <c r="AC148" i="55" s="1"/>
  <c r="AD148" i="55" s="1"/>
  <c r="AE148" i="55" s="1"/>
  <c r="AF148" i="55" s="1"/>
  <c r="AG148" i="55" s="1"/>
  <c r="AH148" i="55" s="1"/>
  <c r="AI148" i="55" s="1"/>
  <c r="Z149" i="55"/>
  <c r="AA149" i="55" s="1"/>
  <c r="AB149" i="55" s="1"/>
  <c r="AC149" i="55" s="1"/>
  <c r="AD149" i="55" s="1"/>
  <c r="AE149" i="55" s="1"/>
  <c r="AF149" i="55" s="1"/>
  <c r="AG149" i="55" s="1"/>
  <c r="AH149" i="55" s="1"/>
  <c r="AI149" i="55" s="1"/>
  <c r="Z146" i="55"/>
  <c r="AA146" i="55" s="1"/>
  <c r="AB146" i="55" s="1"/>
  <c r="AC146" i="55" s="1"/>
  <c r="AD146" i="55" s="1"/>
  <c r="AE146" i="55" s="1"/>
  <c r="AF146" i="55" s="1"/>
  <c r="AG146" i="55" s="1"/>
  <c r="AH146" i="55" s="1"/>
  <c r="AI146" i="55" s="1"/>
  <c r="Z147" i="55"/>
  <c r="AA147" i="55" s="1"/>
  <c r="AB147" i="55" s="1"/>
  <c r="AC147" i="55" s="1"/>
  <c r="AD147" i="55" s="1"/>
  <c r="AE147" i="55" s="1"/>
  <c r="AF147" i="55" s="1"/>
  <c r="AG147" i="55" s="1"/>
  <c r="AH147" i="55" s="1"/>
  <c r="AI147" i="55" s="1"/>
  <c r="Z152" i="55"/>
  <c r="AA152" i="55" s="1"/>
  <c r="AB152" i="55" s="1"/>
  <c r="AC152" i="55" s="1"/>
  <c r="AD152" i="55" s="1"/>
  <c r="AE152" i="55" s="1"/>
  <c r="AF152" i="55" s="1"/>
  <c r="AG152" i="55" s="1"/>
  <c r="AH152" i="55" s="1"/>
  <c r="AI152" i="55" s="1"/>
  <c r="N56" i="47"/>
  <c r="R237" i="55"/>
  <c r="N59" i="47"/>
  <c r="R240" i="55"/>
  <c r="N21" i="47"/>
  <c r="R194" i="55"/>
  <c r="N54" i="47"/>
  <c r="R241" i="55"/>
  <c r="AK173" i="55"/>
  <c r="AK70" i="55"/>
  <c r="N22" i="47"/>
  <c r="R196" i="55"/>
  <c r="N23" i="47"/>
  <c r="R201" i="55"/>
  <c r="N61" i="47"/>
  <c r="R243" i="55"/>
  <c r="P33" i="47"/>
  <c r="T79" i="55"/>
  <c r="Z182" i="55"/>
  <c r="AA182" i="55" s="1"/>
  <c r="AB182" i="55" s="1"/>
  <c r="AC182" i="55" s="1"/>
  <c r="AD182" i="55" s="1"/>
  <c r="AE182" i="55" s="1"/>
  <c r="AF182" i="55" s="1"/>
  <c r="AG182" i="55" s="1"/>
  <c r="AH182" i="55" s="1"/>
  <c r="AI182" i="55" s="1"/>
  <c r="AJ182" i="55" s="1"/>
  <c r="Z178" i="55"/>
  <c r="AA178" i="55" s="1"/>
  <c r="AB178" i="55" s="1"/>
  <c r="AC178" i="55" s="1"/>
  <c r="AD178" i="55" s="1"/>
  <c r="AE178" i="55" s="1"/>
  <c r="AF178" i="55" s="1"/>
  <c r="AG178" i="55" s="1"/>
  <c r="AH178" i="55" s="1"/>
  <c r="AI178" i="55" s="1"/>
  <c r="AJ178" i="55" s="1"/>
  <c r="Z189" i="55"/>
  <c r="AA189" i="55" s="1"/>
  <c r="AB189" i="55" s="1"/>
  <c r="AC189" i="55" s="1"/>
  <c r="AD189" i="55" s="1"/>
  <c r="AE189" i="55" s="1"/>
  <c r="AF189" i="55" s="1"/>
  <c r="AG189" i="55" s="1"/>
  <c r="AH189" i="55" s="1"/>
  <c r="AI189" i="55" s="1"/>
  <c r="AJ189" i="55" s="1"/>
  <c r="Z180" i="55"/>
  <c r="AA180" i="55" s="1"/>
  <c r="AB180" i="55" s="1"/>
  <c r="AC180" i="55" s="1"/>
  <c r="AD180" i="55" s="1"/>
  <c r="AE180" i="55" s="1"/>
  <c r="AF180" i="55" s="1"/>
  <c r="AG180" i="55" s="1"/>
  <c r="AH180" i="55" s="1"/>
  <c r="AI180" i="55" s="1"/>
  <c r="AJ180" i="55" s="1"/>
  <c r="Z187" i="55"/>
  <c r="AA187" i="55" s="1"/>
  <c r="AB187" i="55" s="1"/>
  <c r="AC187" i="55" s="1"/>
  <c r="AD187" i="55" s="1"/>
  <c r="AE187" i="55" s="1"/>
  <c r="AF187" i="55" s="1"/>
  <c r="AG187" i="55" s="1"/>
  <c r="AH187" i="55" s="1"/>
  <c r="AI187" i="55" s="1"/>
  <c r="AJ187" i="55" s="1"/>
  <c r="Z185" i="55"/>
  <c r="AA185" i="55" s="1"/>
  <c r="AB185" i="55" s="1"/>
  <c r="AC185" i="55" s="1"/>
  <c r="AD185" i="55" s="1"/>
  <c r="AE185" i="55" s="1"/>
  <c r="AF185" i="55" s="1"/>
  <c r="AG185" i="55" s="1"/>
  <c r="AH185" i="55" s="1"/>
  <c r="AI185" i="55" s="1"/>
  <c r="AJ185" i="55" s="1"/>
  <c r="Z181" i="55"/>
  <c r="AA181" i="55" s="1"/>
  <c r="AB181" i="55" s="1"/>
  <c r="AC181" i="55" s="1"/>
  <c r="AD181" i="55" s="1"/>
  <c r="AE181" i="55" s="1"/>
  <c r="AF181" i="55" s="1"/>
  <c r="AG181" i="55" s="1"/>
  <c r="AH181" i="55" s="1"/>
  <c r="AI181" i="55" s="1"/>
  <c r="AJ181" i="55" s="1"/>
  <c r="Z179" i="55"/>
  <c r="AA179" i="55" s="1"/>
  <c r="AB179" i="55" s="1"/>
  <c r="AC179" i="55" s="1"/>
  <c r="AD179" i="55" s="1"/>
  <c r="AE179" i="55" s="1"/>
  <c r="AF179" i="55" s="1"/>
  <c r="AG179" i="55" s="1"/>
  <c r="AH179" i="55" s="1"/>
  <c r="AI179" i="55" s="1"/>
  <c r="AJ179" i="55" s="1"/>
  <c r="Z174" i="55"/>
  <c r="AA174" i="55" s="1"/>
  <c r="AB174" i="55" s="1"/>
  <c r="AC174" i="55" s="1"/>
  <c r="AD174" i="55" s="1"/>
  <c r="AE174" i="55" s="1"/>
  <c r="AF174" i="55" s="1"/>
  <c r="AG174" i="55" s="1"/>
  <c r="AH174" i="55" s="1"/>
  <c r="AI174" i="55" s="1"/>
  <c r="AJ174" i="55" s="1"/>
  <c r="Z175" i="55"/>
  <c r="AA175" i="55" s="1"/>
  <c r="AB175" i="55" s="1"/>
  <c r="AC175" i="55" s="1"/>
  <c r="AD175" i="55" s="1"/>
  <c r="AE175" i="55" s="1"/>
  <c r="AF175" i="55" s="1"/>
  <c r="AG175" i="55" s="1"/>
  <c r="AH175" i="55" s="1"/>
  <c r="AI175" i="55" s="1"/>
  <c r="AJ175" i="55" s="1"/>
  <c r="Z183" i="55"/>
  <c r="AA183" i="55" s="1"/>
  <c r="AB183" i="55" s="1"/>
  <c r="AC183" i="55" s="1"/>
  <c r="AD183" i="55" s="1"/>
  <c r="AE183" i="55" s="1"/>
  <c r="AF183" i="55" s="1"/>
  <c r="AG183" i="55" s="1"/>
  <c r="AH183" i="55" s="1"/>
  <c r="AI183" i="55" s="1"/>
  <c r="AJ183" i="55" s="1"/>
  <c r="Z186" i="55"/>
  <c r="AA186" i="55" s="1"/>
  <c r="AB186" i="55" s="1"/>
  <c r="AC186" i="55" s="1"/>
  <c r="AD186" i="55" s="1"/>
  <c r="AE186" i="55" s="1"/>
  <c r="AF186" i="55" s="1"/>
  <c r="AG186" i="55" s="1"/>
  <c r="AH186" i="55" s="1"/>
  <c r="AI186" i="55" s="1"/>
  <c r="AJ186" i="55" s="1"/>
  <c r="Z176" i="55"/>
  <c r="AA176" i="55" s="1"/>
  <c r="AB176" i="55" s="1"/>
  <c r="AC176" i="55" s="1"/>
  <c r="AD176" i="55" s="1"/>
  <c r="AE176" i="55" s="1"/>
  <c r="AF176" i="55" s="1"/>
  <c r="AG176" i="55" s="1"/>
  <c r="AH176" i="55" s="1"/>
  <c r="AI176" i="55" s="1"/>
  <c r="AJ176" i="55" s="1"/>
  <c r="Z177" i="55"/>
  <c r="AA177" i="55" s="1"/>
  <c r="AB177" i="55" s="1"/>
  <c r="AC177" i="55" s="1"/>
  <c r="AD177" i="55" s="1"/>
  <c r="AE177" i="55" s="1"/>
  <c r="AF177" i="55" s="1"/>
  <c r="AG177" i="55" s="1"/>
  <c r="AH177" i="55" s="1"/>
  <c r="AI177" i="55" s="1"/>
  <c r="AJ177" i="55" s="1"/>
  <c r="Z188" i="55"/>
  <c r="AA188" i="55" s="1"/>
  <c r="AB188" i="55" s="1"/>
  <c r="AC188" i="55" s="1"/>
  <c r="AD188" i="55" s="1"/>
  <c r="AE188" i="55" s="1"/>
  <c r="AF188" i="55" s="1"/>
  <c r="AG188" i="55" s="1"/>
  <c r="AH188" i="55" s="1"/>
  <c r="AI188" i="55" s="1"/>
  <c r="AJ188" i="55" s="1"/>
  <c r="Z184" i="55"/>
  <c r="AA184" i="55" s="1"/>
  <c r="AB184" i="55" s="1"/>
  <c r="AC184" i="55" s="1"/>
  <c r="AD184" i="55" s="1"/>
  <c r="AE184" i="55" s="1"/>
  <c r="AF184" i="55" s="1"/>
  <c r="AG184" i="55" s="1"/>
  <c r="AH184" i="55" s="1"/>
  <c r="AI184" i="55" s="1"/>
  <c r="AJ184" i="55" s="1"/>
  <c r="R15" i="47"/>
  <c r="V134" i="55"/>
  <c r="Z154" i="55"/>
  <c r="AA154" i="55"/>
  <c r="AJ211" i="55"/>
  <c r="N30" i="47"/>
  <c r="R203" i="55"/>
  <c r="Y169" i="55"/>
  <c r="Y168" i="55"/>
  <c r="Y170" i="55"/>
  <c r="Y164" i="55"/>
  <c r="Y171" i="55"/>
  <c r="Y172" i="55"/>
  <c r="Y166" i="55"/>
  <c r="Y167" i="55"/>
  <c r="AJ230" i="55"/>
  <c r="Z112" i="55"/>
  <c r="AA112" i="55"/>
  <c r="AI223" i="55"/>
  <c r="AI215" i="55"/>
  <c r="AI220" i="55"/>
  <c r="AI228" i="55"/>
  <c r="AI212" i="55"/>
  <c r="AI216" i="55"/>
  <c r="AI217" i="55"/>
  <c r="AI226" i="55"/>
  <c r="AI229" i="55"/>
  <c r="AI227" i="55"/>
  <c r="AI221" i="55"/>
  <c r="AI218" i="55"/>
  <c r="AI213" i="55"/>
  <c r="AI222" i="55"/>
  <c r="AI214" i="55"/>
  <c r="AI224" i="55"/>
  <c r="AI225" i="55"/>
  <c r="AI219" i="55"/>
  <c r="P41" i="47"/>
  <c r="T81" i="55"/>
  <c r="AI231" i="55"/>
  <c r="AI246" i="55"/>
  <c r="AI251" i="55"/>
  <c r="AI248" i="55"/>
  <c r="AI252" i="55"/>
  <c r="AI245" i="55"/>
  <c r="AI232" i="55"/>
  <c r="AI247" i="55"/>
  <c r="AI244" i="55"/>
  <c r="AI249" i="55"/>
  <c r="AI242" i="55"/>
  <c r="AI250" i="55"/>
  <c r="AJ192" i="55"/>
  <c r="AK154" i="55"/>
  <c r="Z104" i="55"/>
  <c r="AA104" i="55" s="1"/>
  <c r="AB104" i="55" s="1"/>
  <c r="AC104" i="55" s="1"/>
  <c r="AD104" i="55" s="1"/>
  <c r="AE104" i="55" s="1"/>
  <c r="AF104" i="55" s="1"/>
  <c r="AG104" i="55" s="1"/>
  <c r="AH104" i="55" s="1"/>
  <c r="AI104" i="55" s="1"/>
  <c r="AJ104" i="55" s="1"/>
  <c r="AK104" i="55" s="1"/>
  <c r="AL104" i="55" s="1"/>
  <c r="AM104" i="55" s="1"/>
  <c r="AN104" i="55" s="1"/>
  <c r="AO104" i="55" s="1"/>
  <c r="AP104" i="55" s="1"/>
  <c r="Z111" i="55"/>
  <c r="AA111" i="55" s="1"/>
  <c r="AB111" i="55" s="1"/>
  <c r="AC111" i="55" s="1"/>
  <c r="AD111" i="55" s="1"/>
  <c r="AE111" i="55" s="1"/>
  <c r="AF111" i="55" s="1"/>
  <c r="AG111" i="55" s="1"/>
  <c r="AH111" i="55" s="1"/>
  <c r="AI111" i="55" s="1"/>
  <c r="AJ111" i="55" s="1"/>
  <c r="AK111" i="55" s="1"/>
  <c r="AL111" i="55" s="1"/>
  <c r="AM111" i="55" s="1"/>
  <c r="AN111" i="55" s="1"/>
  <c r="AO111" i="55" s="1"/>
  <c r="AP111" i="55" s="1"/>
  <c r="Z106" i="55"/>
  <c r="AA106" i="55" s="1"/>
  <c r="AB106" i="55" s="1"/>
  <c r="AC106" i="55" s="1"/>
  <c r="AD106" i="55" s="1"/>
  <c r="AE106" i="55" s="1"/>
  <c r="AF106" i="55" s="1"/>
  <c r="AG106" i="55" s="1"/>
  <c r="AH106" i="55" s="1"/>
  <c r="AI106" i="55" s="1"/>
  <c r="AJ106" i="55" s="1"/>
  <c r="AK106" i="55" s="1"/>
  <c r="AL106" i="55" s="1"/>
  <c r="AM106" i="55" s="1"/>
  <c r="AN106" i="55" s="1"/>
  <c r="AO106" i="55" s="1"/>
  <c r="AP106" i="55" s="1"/>
  <c r="Z98" i="55"/>
  <c r="AA98" i="55" s="1"/>
  <c r="AB98" i="55" s="1"/>
  <c r="AC98" i="55" s="1"/>
  <c r="AD98" i="55" s="1"/>
  <c r="AE98" i="55" s="1"/>
  <c r="AF98" i="55" s="1"/>
  <c r="AG98" i="55" s="1"/>
  <c r="AH98" i="55" s="1"/>
  <c r="AI98" i="55" s="1"/>
  <c r="AJ98" i="55" s="1"/>
  <c r="AK98" i="55" s="1"/>
  <c r="AL98" i="55" s="1"/>
  <c r="AM98" i="55" s="1"/>
  <c r="AN98" i="55" s="1"/>
  <c r="AO98" i="55" s="1"/>
  <c r="AP98" i="55" s="1"/>
  <c r="Z108" i="55"/>
  <c r="AA108" i="55" s="1"/>
  <c r="AB108" i="55" s="1"/>
  <c r="AC108" i="55" s="1"/>
  <c r="AD108" i="55" s="1"/>
  <c r="AE108" i="55" s="1"/>
  <c r="AF108" i="55" s="1"/>
  <c r="AG108" i="55" s="1"/>
  <c r="AH108" i="55" s="1"/>
  <c r="AI108" i="55" s="1"/>
  <c r="AJ108" i="55" s="1"/>
  <c r="AK108" i="55" s="1"/>
  <c r="AL108" i="55" s="1"/>
  <c r="AM108" i="55" s="1"/>
  <c r="AN108" i="55" s="1"/>
  <c r="AO108" i="55" s="1"/>
  <c r="AP108" i="55" s="1"/>
  <c r="Z93" i="55"/>
  <c r="AA93" i="55" s="1"/>
  <c r="AB93" i="55" s="1"/>
  <c r="AC93" i="55" s="1"/>
  <c r="AD93" i="55" s="1"/>
  <c r="AE93" i="55" s="1"/>
  <c r="AF93" i="55" s="1"/>
  <c r="AG93" i="55" s="1"/>
  <c r="AH93" i="55" s="1"/>
  <c r="AI93" i="55" s="1"/>
  <c r="AJ93" i="55" s="1"/>
  <c r="AK93" i="55" s="1"/>
  <c r="AL93" i="55" s="1"/>
  <c r="AM93" i="55" s="1"/>
  <c r="AN93" i="55" s="1"/>
  <c r="AO93" i="55" s="1"/>
  <c r="AP93" i="55" s="1"/>
  <c r="Z109" i="55"/>
  <c r="AA109" i="55" s="1"/>
  <c r="AB109" i="55" s="1"/>
  <c r="AC109" i="55" s="1"/>
  <c r="AD109" i="55" s="1"/>
  <c r="AE109" i="55" s="1"/>
  <c r="AF109" i="55" s="1"/>
  <c r="AG109" i="55" s="1"/>
  <c r="AH109" i="55" s="1"/>
  <c r="AI109" i="55" s="1"/>
  <c r="AJ109" i="55" s="1"/>
  <c r="AK109" i="55" s="1"/>
  <c r="AL109" i="55" s="1"/>
  <c r="AM109" i="55" s="1"/>
  <c r="AN109" i="55" s="1"/>
  <c r="AO109" i="55" s="1"/>
  <c r="AP109" i="55" s="1"/>
  <c r="Z101" i="55"/>
  <c r="AA101" i="55" s="1"/>
  <c r="AB101" i="55" s="1"/>
  <c r="AC101" i="55" s="1"/>
  <c r="AD101" i="55" s="1"/>
  <c r="AE101" i="55" s="1"/>
  <c r="AF101" i="55" s="1"/>
  <c r="AG101" i="55" s="1"/>
  <c r="AH101" i="55" s="1"/>
  <c r="AI101" i="55" s="1"/>
  <c r="AJ101" i="55" s="1"/>
  <c r="AK101" i="55" s="1"/>
  <c r="AL101" i="55" s="1"/>
  <c r="AM101" i="55" s="1"/>
  <c r="AN101" i="55" s="1"/>
  <c r="AO101" i="55" s="1"/>
  <c r="AP101" i="55" s="1"/>
  <c r="Z110" i="55"/>
  <c r="AA110" i="55" s="1"/>
  <c r="AB110" i="55" s="1"/>
  <c r="AC110" i="55" s="1"/>
  <c r="AD110" i="55" s="1"/>
  <c r="AE110" i="55" s="1"/>
  <c r="AF110" i="55" s="1"/>
  <c r="AG110" i="55" s="1"/>
  <c r="AH110" i="55" s="1"/>
  <c r="AI110" i="55" s="1"/>
  <c r="AJ110" i="55" s="1"/>
  <c r="AK110" i="55" s="1"/>
  <c r="AL110" i="55" s="1"/>
  <c r="AM110" i="55" s="1"/>
  <c r="AN110" i="55" s="1"/>
  <c r="AO110" i="55" s="1"/>
  <c r="AP110" i="55" s="1"/>
  <c r="Z103" i="55"/>
  <c r="AA103" i="55" s="1"/>
  <c r="AB103" i="55" s="1"/>
  <c r="AC103" i="55" s="1"/>
  <c r="AD103" i="55" s="1"/>
  <c r="AE103" i="55" s="1"/>
  <c r="AF103" i="55" s="1"/>
  <c r="AG103" i="55" s="1"/>
  <c r="AH103" i="55" s="1"/>
  <c r="AI103" i="55" s="1"/>
  <c r="AJ103" i="55" s="1"/>
  <c r="AK103" i="55" s="1"/>
  <c r="AL103" i="55" s="1"/>
  <c r="AM103" i="55" s="1"/>
  <c r="AN103" i="55" s="1"/>
  <c r="AO103" i="55" s="1"/>
  <c r="AP103" i="55" s="1"/>
  <c r="Z94" i="55"/>
  <c r="AA94" i="55" s="1"/>
  <c r="AB94" i="55" s="1"/>
  <c r="AC94" i="55" s="1"/>
  <c r="AD94" i="55" s="1"/>
  <c r="AE94" i="55" s="1"/>
  <c r="AF94" i="55" s="1"/>
  <c r="AG94" i="55" s="1"/>
  <c r="AH94" i="55" s="1"/>
  <c r="AI94" i="55" s="1"/>
  <c r="AJ94" i="55" s="1"/>
  <c r="AK94" i="55" s="1"/>
  <c r="AL94" i="55" s="1"/>
  <c r="AM94" i="55" s="1"/>
  <c r="AN94" i="55" s="1"/>
  <c r="AO94" i="55" s="1"/>
  <c r="AP94" i="55" s="1"/>
  <c r="Z102" i="55"/>
  <c r="AA102" i="55" s="1"/>
  <c r="AB102" i="55" s="1"/>
  <c r="AC102" i="55" s="1"/>
  <c r="AD102" i="55" s="1"/>
  <c r="AE102" i="55" s="1"/>
  <c r="AF102" i="55" s="1"/>
  <c r="AG102" i="55" s="1"/>
  <c r="AH102" i="55" s="1"/>
  <c r="AI102" i="55" s="1"/>
  <c r="AJ102" i="55" s="1"/>
  <c r="AK102" i="55" s="1"/>
  <c r="AL102" i="55" s="1"/>
  <c r="AM102" i="55" s="1"/>
  <c r="AN102" i="55" s="1"/>
  <c r="AO102" i="55" s="1"/>
  <c r="AP102" i="55" s="1"/>
  <c r="Z99" i="55"/>
  <c r="AA99" i="55" s="1"/>
  <c r="AB99" i="55" s="1"/>
  <c r="AC99" i="55" s="1"/>
  <c r="AD99" i="55" s="1"/>
  <c r="AE99" i="55" s="1"/>
  <c r="AF99" i="55" s="1"/>
  <c r="AG99" i="55" s="1"/>
  <c r="AH99" i="55" s="1"/>
  <c r="AI99" i="55" s="1"/>
  <c r="AJ99" i="55" s="1"/>
  <c r="AK99" i="55" s="1"/>
  <c r="AL99" i="55" s="1"/>
  <c r="AM99" i="55" s="1"/>
  <c r="AN99" i="55" s="1"/>
  <c r="AO99" i="55" s="1"/>
  <c r="AP99" i="55" s="1"/>
  <c r="Z105" i="55"/>
  <c r="AA105" i="55" s="1"/>
  <c r="AB105" i="55" s="1"/>
  <c r="AC105" i="55" s="1"/>
  <c r="AD105" i="55" s="1"/>
  <c r="AE105" i="55" s="1"/>
  <c r="AF105" i="55" s="1"/>
  <c r="AG105" i="55" s="1"/>
  <c r="AH105" i="55" s="1"/>
  <c r="AI105" i="55" s="1"/>
  <c r="AJ105" i="55" s="1"/>
  <c r="AK105" i="55" s="1"/>
  <c r="AL105" i="55" s="1"/>
  <c r="AM105" i="55" s="1"/>
  <c r="AN105" i="55" s="1"/>
  <c r="AO105" i="55" s="1"/>
  <c r="AP105" i="55" s="1"/>
  <c r="Z96" i="55"/>
  <c r="AA96" i="55" s="1"/>
  <c r="AB96" i="55" s="1"/>
  <c r="AC96" i="55" s="1"/>
  <c r="AD96" i="55" s="1"/>
  <c r="AE96" i="55" s="1"/>
  <c r="AF96" i="55" s="1"/>
  <c r="AG96" i="55" s="1"/>
  <c r="AH96" i="55" s="1"/>
  <c r="AI96" i="55" s="1"/>
  <c r="AJ96" i="55" s="1"/>
  <c r="AK96" i="55" s="1"/>
  <c r="AL96" i="55" s="1"/>
  <c r="AM96" i="55" s="1"/>
  <c r="AN96" i="55" s="1"/>
  <c r="AO96" i="55" s="1"/>
  <c r="AP96" i="55" s="1"/>
  <c r="Z95" i="55"/>
  <c r="AA95" i="55" s="1"/>
  <c r="AB95" i="55" s="1"/>
  <c r="AC95" i="55" s="1"/>
  <c r="AD95" i="55" s="1"/>
  <c r="AE95" i="55" s="1"/>
  <c r="AF95" i="55" s="1"/>
  <c r="AG95" i="55" s="1"/>
  <c r="AH95" i="55" s="1"/>
  <c r="AI95" i="55" s="1"/>
  <c r="AJ95" i="55" s="1"/>
  <c r="AK95" i="55" s="1"/>
  <c r="AL95" i="55" s="1"/>
  <c r="AM95" i="55" s="1"/>
  <c r="AN95" i="55" s="1"/>
  <c r="AO95" i="55" s="1"/>
  <c r="AP95" i="55" s="1"/>
  <c r="Z92" i="55"/>
  <c r="AA92" i="55" s="1"/>
  <c r="AB92" i="55" s="1"/>
  <c r="AC92" i="55" s="1"/>
  <c r="AD92" i="55" s="1"/>
  <c r="AE92" i="55" s="1"/>
  <c r="AF92" i="55" s="1"/>
  <c r="AG92" i="55" s="1"/>
  <c r="AH92" i="55" s="1"/>
  <c r="AI92" i="55" s="1"/>
  <c r="AJ92" i="55" s="1"/>
  <c r="AK92" i="55" s="1"/>
  <c r="AL92" i="55" s="1"/>
  <c r="AM92" i="55" s="1"/>
  <c r="AN92" i="55" s="1"/>
  <c r="AO92" i="55" s="1"/>
  <c r="AP92" i="55" s="1"/>
  <c r="Z97" i="55"/>
  <c r="AA97" i="55" s="1"/>
  <c r="AB97" i="55" s="1"/>
  <c r="AC97" i="55" s="1"/>
  <c r="AD97" i="55" s="1"/>
  <c r="AE97" i="55" s="1"/>
  <c r="AF97" i="55" s="1"/>
  <c r="AG97" i="55" s="1"/>
  <c r="AH97" i="55" s="1"/>
  <c r="AI97" i="55" s="1"/>
  <c r="AJ97" i="55" s="1"/>
  <c r="AK97" i="55" s="1"/>
  <c r="AL97" i="55" s="1"/>
  <c r="AM97" i="55" s="1"/>
  <c r="AN97" i="55" s="1"/>
  <c r="AO97" i="55" s="1"/>
  <c r="AP97" i="55" s="1"/>
  <c r="Z107" i="55"/>
  <c r="AA107" i="55" s="1"/>
  <c r="AB107" i="55" s="1"/>
  <c r="AC107" i="55" s="1"/>
  <c r="AD107" i="55" s="1"/>
  <c r="AE107" i="55" s="1"/>
  <c r="AF107" i="55" s="1"/>
  <c r="AG107" i="55" s="1"/>
  <c r="AH107" i="55" s="1"/>
  <c r="AI107" i="55" s="1"/>
  <c r="AJ107" i="55" s="1"/>
  <c r="AK107" i="55" s="1"/>
  <c r="AL107" i="55" s="1"/>
  <c r="AM107" i="55" s="1"/>
  <c r="AN107" i="55" s="1"/>
  <c r="AO107" i="55" s="1"/>
  <c r="AP107" i="55" s="1"/>
  <c r="Z100" i="55"/>
  <c r="AA100" i="55" s="1"/>
  <c r="AB100" i="55" s="1"/>
  <c r="AC100" i="55" s="1"/>
  <c r="AD100" i="55" s="1"/>
  <c r="AE100" i="55" s="1"/>
  <c r="AF100" i="55" s="1"/>
  <c r="AG100" i="55" s="1"/>
  <c r="AH100" i="55" s="1"/>
  <c r="AI100" i="55" s="1"/>
  <c r="AJ100" i="55" s="1"/>
  <c r="AK100" i="55" s="1"/>
  <c r="AL100" i="55" s="1"/>
  <c r="AM100" i="55" s="1"/>
  <c r="AN100" i="55" s="1"/>
  <c r="AO100" i="55" s="1"/>
  <c r="AP100" i="55" s="1"/>
  <c r="AL112" i="55"/>
  <c r="AM112" i="55"/>
  <c r="N27" i="47"/>
  <c r="R195" i="55"/>
  <c r="AI207" i="55"/>
  <c r="AI206" i="55"/>
  <c r="AI205" i="55"/>
  <c r="AI202" i="55"/>
  <c r="AI204" i="55"/>
  <c r="AI208" i="55"/>
  <c r="AP227" i="58" l="1"/>
  <c r="AQ180" i="58"/>
  <c r="AQ181" i="58"/>
  <c r="AQ53" i="58"/>
  <c r="AR49" i="58"/>
  <c r="AQ204" i="58"/>
  <c r="AR51" i="58"/>
  <c r="AQ203" i="58"/>
  <c r="AP226" i="58"/>
  <c r="AR52" i="58"/>
  <c r="AQ214" i="58"/>
  <c r="AQ215" i="58"/>
  <c r="AR50" i="58"/>
  <c r="AQ192" i="58"/>
  <c r="AQ193" i="58"/>
  <c r="V139" i="55"/>
  <c r="S18" i="47" s="1"/>
  <c r="V144" i="55"/>
  <c r="W144" i="55" s="1"/>
  <c r="T75" i="55"/>
  <c r="U75" i="55" s="1"/>
  <c r="R14" i="47"/>
  <c r="W141" i="55"/>
  <c r="X141" i="55" s="1"/>
  <c r="R17" i="47"/>
  <c r="T71" i="55"/>
  <c r="U71" i="55" s="1"/>
  <c r="R36" i="47" s="1"/>
  <c r="V151" i="55"/>
  <c r="W151" i="55" s="1"/>
  <c r="O51" i="47"/>
  <c r="S236" i="55"/>
  <c r="T236" i="55" s="1"/>
  <c r="U73" i="55"/>
  <c r="R37" i="47" s="1"/>
  <c r="T77" i="55"/>
  <c r="U77" i="55" s="1"/>
  <c r="R34" i="47" s="1"/>
  <c r="T88" i="55"/>
  <c r="U88" i="55" s="1"/>
  <c r="S157" i="55"/>
  <c r="P48" i="47" s="1"/>
  <c r="S235" i="55"/>
  <c r="T235" i="55" s="1"/>
  <c r="R16" i="47"/>
  <c r="V136" i="55"/>
  <c r="O25" i="47"/>
  <c r="R11" i="47"/>
  <c r="V137" i="55"/>
  <c r="O28" i="47"/>
  <c r="T74" i="55"/>
  <c r="P32" i="47"/>
  <c r="S159" i="55"/>
  <c r="P46" i="47" s="1"/>
  <c r="S162" i="55"/>
  <c r="O47" i="47"/>
  <c r="S155" i="55"/>
  <c r="O55" i="47"/>
  <c r="S163" i="55"/>
  <c r="P44" i="47" s="1"/>
  <c r="O132" i="47"/>
  <c r="S161" i="55"/>
  <c r="S233" i="55"/>
  <c r="P57" i="47" s="1"/>
  <c r="R10" i="47"/>
  <c r="V135" i="55"/>
  <c r="O43" i="47"/>
  <c r="S158" i="55"/>
  <c r="O50" i="47"/>
  <c r="S160" i="55"/>
  <c r="AL154" i="55"/>
  <c r="AM154" i="55"/>
  <c r="AJ204" i="55"/>
  <c r="AJ202" i="55"/>
  <c r="AJ208" i="55"/>
  <c r="AJ205" i="55"/>
  <c r="AJ206" i="55"/>
  <c r="AJ207" i="55"/>
  <c r="AK230" i="55"/>
  <c r="P28" i="47"/>
  <c r="T200" i="55"/>
  <c r="T12" i="47"/>
  <c r="X142" i="55"/>
  <c r="O59" i="47"/>
  <c r="S240" i="55"/>
  <c r="O42" i="47"/>
  <c r="S156" i="55"/>
  <c r="Q41" i="47"/>
  <c r="U81" i="55"/>
  <c r="AK211" i="55"/>
  <c r="P132" i="47"/>
  <c r="T253" i="55"/>
  <c r="O22" i="47"/>
  <c r="S196" i="55"/>
  <c r="P31" i="47"/>
  <c r="T72" i="55"/>
  <c r="O24" i="47"/>
  <c r="S199" i="55"/>
  <c r="O30" i="47"/>
  <c r="S203" i="55"/>
  <c r="O60" i="47"/>
  <c r="S238" i="55"/>
  <c r="O26" i="47"/>
  <c r="S193" i="55"/>
  <c r="AJ221" i="55"/>
  <c r="AJ223" i="55"/>
  <c r="AJ222" i="55"/>
  <c r="AJ219" i="55"/>
  <c r="AJ213" i="55"/>
  <c r="AJ220" i="55"/>
  <c r="AJ227" i="55"/>
  <c r="AJ214" i="55"/>
  <c r="AJ229" i="55"/>
  <c r="AJ224" i="55"/>
  <c r="AJ226" i="55"/>
  <c r="AJ225" i="55"/>
  <c r="AJ217" i="55"/>
  <c r="AJ228" i="55"/>
  <c r="AJ215" i="55"/>
  <c r="AJ218" i="55"/>
  <c r="AJ216" i="55"/>
  <c r="AJ212" i="55"/>
  <c r="P55" i="47"/>
  <c r="T239" i="55"/>
  <c r="Q33" i="47"/>
  <c r="U79" i="55"/>
  <c r="O27" i="47"/>
  <c r="S195" i="55"/>
  <c r="P25" i="47"/>
  <c r="T197" i="55"/>
  <c r="AL70" i="55"/>
  <c r="AM70" i="55"/>
  <c r="O54" i="47"/>
  <c r="S241" i="55"/>
  <c r="O56" i="47"/>
  <c r="S237" i="55"/>
  <c r="Q38" i="47"/>
  <c r="U78" i="55"/>
  <c r="S13" i="47"/>
  <c r="W140" i="55"/>
  <c r="AJ232" i="55"/>
  <c r="AJ247" i="55"/>
  <c r="AJ252" i="55"/>
  <c r="AJ242" i="55"/>
  <c r="AJ249" i="55"/>
  <c r="AJ250" i="55"/>
  <c r="AJ246" i="55"/>
  <c r="AJ245" i="55"/>
  <c r="AJ251" i="55"/>
  <c r="AJ248" i="55"/>
  <c r="AJ244" i="55"/>
  <c r="AJ231" i="55"/>
  <c r="O61" i="47"/>
  <c r="S243" i="55"/>
  <c r="O52" i="47"/>
  <c r="S234" i="55"/>
  <c r="Z168" i="55"/>
  <c r="AA168" i="55" s="1"/>
  <c r="AB168" i="55" s="1"/>
  <c r="AC168" i="55" s="1"/>
  <c r="AD168" i="55" s="1"/>
  <c r="AE168" i="55" s="1"/>
  <c r="AF168" i="55" s="1"/>
  <c r="AG168" i="55" s="1"/>
  <c r="AH168" i="55" s="1"/>
  <c r="AI168" i="55" s="1"/>
  <c r="AJ168" i="55" s="1"/>
  <c r="AK168" i="55" s="1"/>
  <c r="Z169" i="55"/>
  <c r="AA169" i="55" s="1"/>
  <c r="AB169" i="55" s="1"/>
  <c r="AC169" i="55" s="1"/>
  <c r="AD169" i="55" s="1"/>
  <c r="AE169" i="55" s="1"/>
  <c r="AF169" i="55" s="1"/>
  <c r="AG169" i="55" s="1"/>
  <c r="AH169" i="55" s="1"/>
  <c r="AI169" i="55" s="1"/>
  <c r="AJ169" i="55" s="1"/>
  <c r="AK169" i="55" s="1"/>
  <c r="Z171" i="55"/>
  <c r="AA171" i="55" s="1"/>
  <c r="AB171" i="55" s="1"/>
  <c r="AC171" i="55" s="1"/>
  <c r="AD171" i="55" s="1"/>
  <c r="AE171" i="55" s="1"/>
  <c r="AF171" i="55" s="1"/>
  <c r="AG171" i="55" s="1"/>
  <c r="AH171" i="55" s="1"/>
  <c r="AI171" i="55" s="1"/>
  <c r="AJ171" i="55" s="1"/>
  <c r="AK171" i="55" s="1"/>
  <c r="Z167" i="55"/>
  <c r="AA167" i="55" s="1"/>
  <c r="AB167" i="55" s="1"/>
  <c r="AC167" i="55" s="1"/>
  <c r="AD167" i="55" s="1"/>
  <c r="AE167" i="55" s="1"/>
  <c r="AF167" i="55" s="1"/>
  <c r="AG167" i="55" s="1"/>
  <c r="AH167" i="55" s="1"/>
  <c r="AI167" i="55" s="1"/>
  <c r="AJ167" i="55" s="1"/>
  <c r="AK167" i="55" s="1"/>
  <c r="Z166" i="55"/>
  <c r="AA166" i="55" s="1"/>
  <c r="AB166" i="55" s="1"/>
  <c r="AC166" i="55" s="1"/>
  <c r="AD166" i="55" s="1"/>
  <c r="AE166" i="55" s="1"/>
  <c r="AF166" i="55" s="1"/>
  <c r="AG166" i="55" s="1"/>
  <c r="AH166" i="55" s="1"/>
  <c r="AI166" i="55" s="1"/>
  <c r="AJ166" i="55" s="1"/>
  <c r="AK166" i="55" s="1"/>
  <c r="Z170" i="55"/>
  <c r="AA170" i="55" s="1"/>
  <c r="AB170" i="55" s="1"/>
  <c r="AC170" i="55" s="1"/>
  <c r="AD170" i="55" s="1"/>
  <c r="AE170" i="55" s="1"/>
  <c r="AF170" i="55" s="1"/>
  <c r="AG170" i="55" s="1"/>
  <c r="AH170" i="55" s="1"/>
  <c r="AI170" i="55" s="1"/>
  <c r="AJ170" i="55" s="1"/>
  <c r="AK170" i="55" s="1"/>
  <c r="Z172" i="55"/>
  <c r="AA172" i="55" s="1"/>
  <c r="AB172" i="55" s="1"/>
  <c r="AC172" i="55" s="1"/>
  <c r="AD172" i="55" s="1"/>
  <c r="AE172" i="55" s="1"/>
  <c r="AF172" i="55" s="1"/>
  <c r="AG172" i="55" s="1"/>
  <c r="AH172" i="55" s="1"/>
  <c r="AI172" i="55" s="1"/>
  <c r="AJ172" i="55" s="1"/>
  <c r="AK172" i="55" s="1"/>
  <c r="Z164" i="55"/>
  <c r="AA164" i="55" s="1"/>
  <c r="AB164" i="55" s="1"/>
  <c r="AC164" i="55" s="1"/>
  <c r="AD164" i="55" s="1"/>
  <c r="AE164" i="55" s="1"/>
  <c r="AF164" i="55" s="1"/>
  <c r="AG164" i="55" s="1"/>
  <c r="AH164" i="55" s="1"/>
  <c r="AI164" i="55" s="1"/>
  <c r="AJ164" i="55" s="1"/>
  <c r="AK164" i="55" s="1"/>
  <c r="S15" i="47"/>
  <c r="W134" i="55"/>
  <c r="AL173" i="55"/>
  <c r="AM173" i="55"/>
  <c r="AK133" i="55"/>
  <c r="O29" i="47"/>
  <c r="S198" i="55"/>
  <c r="S14" i="47"/>
  <c r="W138" i="55"/>
  <c r="AK181" i="55"/>
  <c r="AK174" i="55"/>
  <c r="AK180" i="55"/>
  <c r="AK184" i="55"/>
  <c r="AK189" i="55"/>
  <c r="AK185" i="55"/>
  <c r="AK176" i="55"/>
  <c r="AK187" i="55"/>
  <c r="AK188" i="55"/>
  <c r="AK182" i="55"/>
  <c r="AK186" i="55"/>
  <c r="AK179" i="55"/>
  <c r="AK178" i="55"/>
  <c r="AK177" i="55"/>
  <c r="AK183" i="55"/>
  <c r="AK175" i="55"/>
  <c r="AJ146" i="55"/>
  <c r="AJ149" i="55"/>
  <c r="AJ153" i="55"/>
  <c r="AJ150" i="55"/>
  <c r="AJ148" i="55"/>
  <c r="AJ143" i="55"/>
  <c r="AJ152" i="55"/>
  <c r="AJ147" i="55"/>
  <c r="AJ145" i="55"/>
  <c r="O23" i="47"/>
  <c r="S201" i="55"/>
  <c r="O21" i="47"/>
  <c r="S194" i="55"/>
  <c r="P39" i="47"/>
  <c r="T76" i="55"/>
  <c r="P51" i="47"/>
  <c r="T165" i="55"/>
  <c r="AK192" i="55"/>
  <c r="Z122" i="55"/>
  <c r="AA122" i="55" s="1"/>
  <c r="AB122" i="55" s="1"/>
  <c r="AC122" i="55" s="1"/>
  <c r="AD122" i="55" s="1"/>
  <c r="AE122" i="55" s="1"/>
  <c r="AF122" i="55" s="1"/>
  <c r="AG122" i="55" s="1"/>
  <c r="AH122" i="55" s="1"/>
  <c r="AI122" i="55" s="1"/>
  <c r="AJ122" i="55" s="1"/>
  <c r="AK122" i="55" s="1"/>
  <c r="AL122" i="55" s="1"/>
  <c r="AM122" i="55" s="1"/>
  <c r="AN122" i="55" s="1"/>
  <c r="AO122" i="55" s="1"/>
  <c r="AP122" i="55" s="1"/>
  <c r="Z121" i="55"/>
  <c r="AA121" i="55" s="1"/>
  <c r="AB121" i="55" s="1"/>
  <c r="AC121" i="55" s="1"/>
  <c r="AD121" i="55" s="1"/>
  <c r="AE121" i="55" s="1"/>
  <c r="AF121" i="55" s="1"/>
  <c r="AG121" i="55" s="1"/>
  <c r="AH121" i="55" s="1"/>
  <c r="AI121" i="55" s="1"/>
  <c r="AJ121" i="55" s="1"/>
  <c r="AK121" i="55" s="1"/>
  <c r="AL121" i="55" s="1"/>
  <c r="AM121" i="55" s="1"/>
  <c r="AN121" i="55" s="1"/>
  <c r="AO121" i="55" s="1"/>
  <c r="AP121" i="55" s="1"/>
  <c r="Z113" i="55"/>
  <c r="AA113" i="55" s="1"/>
  <c r="AB113" i="55" s="1"/>
  <c r="AC113" i="55" s="1"/>
  <c r="AD113" i="55" s="1"/>
  <c r="AE113" i="55" s="1"/>
  <c r="AF113" i="55" s="1"/>
  <c r="AG113" i="55" s="1"/>
  <c r="AH113" i="55" s="1"/>
  <c r="AI113" i="55" s="1"/>
  <c r="AJ113" i="55" s="1"/>
  <c r="AK113" i="55" s="1"/>
  <c r="AL113" i="55" s="1"/>
  <c r="AM113" i="55" s="1"/>
  <c r="AN113" i="55" s="1"/>
  <c r="AO113" i="55" s="1"/>
  <c r="AP113" i="55" s="1"/>
  <c r="Z114" i="55"/>
  <c r="AA114" i="55" s="1"/>
  <c r="AB114" i="55" s="1"/>
  <c r="AC114" i="55" s="1"/>
  <c r="AD114" i="55" s="1"/>
  <c r="AE114" i="55" s="1"/>
  <c r="AF114" i="55" s="1"/>
  <c r="AG114" i="55" s="1"/>
  <c r="AH114" i="55" s="1"/>
  <c r="AI114" i="55" s="1"/>
  <c r="AJ114" i="55" s="1"/>
  <c r="AK114" i="55" s="1"/>
  <c r="AL114" i="55" s="1"/>
  <c r="AM114" i="55" s="1"/>
  <c r="AN114" i="55" s="1"/>
  <c r="AO114" i="55" s="1"/>
  <c r="AP114" i="55" s="1"/>
  <c r="Z115" i="55"/>
  <c r="AA115" i="55" s="1"/>
  <c r="AB115" i="55" s="1"/>
  <c r="AC115" i="55" s="1"/>
  <c r="AD115" i="55" s="1"/>
  <c r="AE115" i="55" s="1"/>
  <c r="AF115" i="55" s="1"/>
  <c r="AG115" i="55" s="1"/>
  <c r="AH115" i="55" s="1"/>
  <c r="AI115" i="55" s="1"/>
  <c r="AJ115" i="55" s="1"/>
  <c r="AK115" i="55" s="1"/>
  <c r="AL115" i="55" s="1"/>
  <c r="AM115" i="55" s="1"/>
  <c r="AN115" i="55" s="1"/>
  <c r="AO115" i="55" s="1"/>
  <c r="AP115" i="55" s="1"/>
  <c r="Z132" i="55"/>
  <c r="AA132" i="55" s="1"/>
  <c r="AB132" i="55" s="1"/>
  <c r="AC132" i="55" s="1"/>
  <c r="AD132" i="55" s="1"/>
  <c r="AE132" i="55" s="1"/>
  <c r="AF132" i="55" s="1"/>
  <c r="AG132" i="55" s="1"/>
  <c r="AH132" i="55" s="1"/>
  <c r="AI132" i="55" s="1"/>
  <c r="AJ132" i="55" s="1"/>
  <c r="AK132" i="55" s="1"/>
  <c r="AL132" i="55" s="1"/>
  <c r="AM132" i="55" s="1"/>
  <c r="AN132" i="55" s="1"/>
  <c r="AO132" i="55" s="1"/>
  <c r="AP132" i="55" s="1"/>
  <c r="Z116" i="55"/>
  <c r="AA116" i="55" s="1"/>
  <c r="AB116" i="55" s="1"/>
  <c r="AC116" i="55" s="1"/>
  <c r="AD116" i="55" s="1"/>
  <c r="AE116" i="55" s="1"/>
  <c r="AF116" i="55" s="1"/>
  <c r="AG116" i="55" s="1"/>
  <c r="AH116" i="55" s="1"/>
  <c r="AI116" i="55" s="1"/>
  <c r="AJ116" i="55" s="1"/>
  <c r="AK116" i="55" s="1"/>
  <c r="AL116" i="55" s="1"/>
  <c r="AM116" i="55" s="1"/>
  <c r="AN116" i="55" s="1"/>
  <c r="AO116" i="55" s="1"/>
  <c r="AP116" i="55" s="1"/>
  <c r="Z126" i="55"/>
  <c r="AA126" i="55" s="1"/>
  <c r="AB126" i="55" s="1"/>
  <c r="AC126" i="55" s="1"/>
  <c r="AD126" i="55" s="1"/>
  <c r="AE126" i="55" s="1"/>
  <c r="AF126" i="55" s="1"/>
  <c r="AG126" i="55" s="1"/>
  <c r="AH126" i="55" s="1"/>
  <c r="AI126" i="55" s="1"/>
  <c r="AJ126" i="55" s="1"/>
  <c r="AK126" i="55" s="1"/>
  <c r="AL126" i="55" s="1"/>
  <c r="AM126" i="55" s="1"/>
  <c r="AN126" i="55" s="1"/>
  <c r="AO126" i="55" s="1"/>
  <c r="AP126" i="55" s="1"/>
  <c r="Z129" i="55"/>
  <c r="AA129" i="55" s="1"/>
  <c r="AB129" i="55" s="1"/>
  <c r="AC129" i="55" s="1"/>
  <c r="AD129" i="55" s="1"/>
  <c r="AE129" i="55" s="1"/>
  <c r="AF129" i="55" s="1"/>
  <c r="AG129" i="55" s="1"/>
  <c r="AH129" i="55" s="1"/>
  <c r="AI129" i="55" s="1"/>
  <c r="AJ129" i="55" s="1"/>
  <c r="AK129" i="55" s="1"/>
  <c r="AL129" i="55" s="1"/>
  <c r="AM129" i="55" s="1"/>
  <c r="AN129" i="55" s="1"/>
  <c r="AO129" i="55" s="1"/>
  <c r="AP129" i="55" s="1"/>
  <c r="Z123" i="55"/>
  <c r="AA123" i="55" s="1"/>
  <c r="AB123" i="55" s="1"/>
  <c r="AC123" i="55" s="1"/>
  <c r="AD123" i="55" s="1"/>
  <c r="AE123" i="55" s="1"/>
  <c r="AF123" i="55" s="1"/>
  <c r="AG123" i="55" s="1"/>
  <c r="AH123" i="55" s="1"/>
  <c r="AI123" i="55" s="1"/>
  <c r="AJ123" i="55" s="1"/>
  <c r="AK123" i="55" s="1"/>
  <c r="AL123" i="55" s="1"/>
  <c r="AM123" i="55" s="1"/>
  <c r="AN123" i="55" s="1"/>
  <c r="AO123" i="55" s="1"/>
  <c r="AP123" i="55" s="1"/>
  <c r="Z130" i="55"/>
  <c r="AA130" i="55" s="1"/>
  <c r="AB130" i="55" s="1"/>
  <c r="AC130" i="55" s="1"/>
  <c r="AD130" i="55" s="1"/>
  <c r="AE130" i="55" s="1"/>
  <c r="AF130" i="55" s="1"/>
  <c r="AG130" i="55" s="1"/>
  <c r="AH130" i="55" s="1"/>
  <c r="AI130" i="55" s="1"/>
  <c r="AJ130" i="55" s="1"/>
  <c r="AK130" i="55" s="1"/>
  <c r="AL130" i="55" s="1"/>
  <c r="AM130" i="55" s="1"/>
  <c r="AN130" i="55" s="1"/>
  <c r="AO130" i="55" s="1"/>
  <c r="AP130" i="55" s="1"/>
  <c r="Z125" i="55"/>
  <c r="AA125" i="55" s="1"/>
  <c r="AB125" i="55" s="1"/>
  <c r="AC125" i="55" s="1"/>
  <c r="AD125" i="55" s="1"/>
  <c r="AE125" i="55" s="1"/>
  <c r="AF125" i="55" s="1"/>
  <c r="AG125" i="55" s="1"/>
  <c r="AH125" i="55" s="1"/>
  <c r="AI125" i="55" s="1"/>
  <c r="AJ125" i="55" s="1"/>
  <c r="AK125" i="55" s="1"/>
  <c r="AL125" i="55" s="1"/>
  <c r="AM125" i="55" s="1"/>
  <c r="AN125" i="55" s="1"/>
  <c r="AO125" i="55" s="1"/>
  <c r="AP125" i="55" s="1"/>
  <c r="Z120" i="55"/>
  <c r="AA120" i="55" s="1"/>
  <c r="AB120" i="55" s="1"/>
  <c r="AC120" i="55" s="1"/>
  <c r="AD120" i="55" s="1"/>
  <c r="AE120" i="55" s="1"/>
  <c r="AF120" i="55" s="1"/>
  <c r="AG120" i="55" s="1"/>
  <c r="AH120" i="55" s="1"/>
  <c r="AI120" i="55" s="1"/>
  <c r="AJ120" i="55" s="1"/>
  <c r="AK120" i="55" s="1"/>
  <c r="AL120" i="55" s="1"/>
  <c r="AM120" i="55" s="1"/>
  <c r="AN120" i="55" s="1"/>
  <c r="AO120" i="55" s="1"/>
  <c r="AP120" i="55" s="1"/>
  <c r="Z119" i="55"/>
  <c r="AA119" i="55" s="1"/>
  <c r="AB119" i="55" s="1"/>
  <c r="AC119" i="55" s="1"/>
  <c r="AD119" i="55" s="1"/>
  <c r="AE119" i="55" s="1"/>
  <c r="AF119" i="55" s="1"/>
  <c r="AG119" i="55" s="1"/>
  <c r="AH119" i="55" s="1"/>
  <c r="AI119" i="55" s="1"/>
  <c r="AJ119" i="55" s="1"/>
  <c r="AK119" i="55" s="1"/>
  <c r="AL119" i="55" s="1"/>
  <c r="AM119" i="55" s="1"/>
  <c r="AN119" i="55" s="1"/>
  <c r="AO119" i="55" s="1"/>
  <c r="AP119" i="55" s="1"/>
  <c r="Z131" i="55"/>
  <c r="AA131" i="55" s="1"/>
  <c r="AB131" i="55" s="1"/>
  <c r="AC131" i="55" s="1"/>
  <c r="AD131" i="55" s="1"/>
  <c r="AE131" i="55" s="1"/>
  <c r="AF131" i="55" s="1"/>
  <c r="AG131" i="55" s="1"/>
  <c r="AH131" i="55" s="1"/>
  <c r="AI131" i="55" s="1"/>
  <c r="AJ131" i="55" s="1"/>
  <c r="AK131" i="55" s="1"/>
  <c r="AL131" i="55" s="1"/>
  <c r="AM131" i="55" s="1"/>
  <c r="AN131" i="55" s="1"/>
  <c r="AO131" i="55" s="1"/>
  <c r="AP131" i="55" s="1"/>
  <c r="Z124" i="55"/>
  <c r="AA124" i="55" s="1"/>
  <c r="AB124" i="55" s="1"/>
  <c r="AC124" i="55" s="1"/>
  <c r="AD124" i="55" s="1"/>
  <c r="AE124" i="55" s="1"/>
  <c r="AF124" i="55" s="1"/>
  <c r="AG124" i="55" s="1"/>
  <c r="AH124" i="55" s="1"/>
  <c r="AI124" i="55" s="1"/>
  <c r="AJ124" i="55" s="1"/>
  <c r="AK124" i="55" s="1"/>
  <c r="AL124" i="55" s="1"/>
  <c r="AM124" i="55" s="1"/>
  <c r="AN124" i="55" s="1"/>
  <c r="AO124" i="55" s="1"/>
  <c r="AP124" i="55" s="1"/>
  <c r="Z117" i="55"/>
  <c r="AA117" i="55" s="1"/>
  <c r="AB117" i="55" s="1"/>
  <c r="AC117" i="55" s="1"/>
  <c r="AD117" i="55" s="1"/>
  <c r="AE117" i="55" s="1"/>
  <c r="AF117" i="55" s="1"/>
  <c r="AG117" i="55" s="1"/>
  <c r="AH117" i="55" s="1"/>
  <c r="AI117" i="55" s="1"/>
  <c r="AJ117" i="55" s="1"/>
  <c r="AK117" i="55" s="1"/>
  <c r="AL117" i="55" s="1"/>
  <c r="AM117" i="55" s="1"/>
  <c r="AN117" i="55" s="1"/>
  <c r="AO117" i="55" s="1"/>
  <c r="AP117" i="55" s="1"/>
  <c r="Z118" i="55"/>
  <c r="AA118" i="55" s="1"/>
  <c r="AB118" i="55" s="1"/>
  <c r="AC118" i="55" s="1"/>
  <c r="AD118" i="55" s="1"/>
  <c r="AE118" i="55" s="1"/>
  <c r="AF118" i="55" s="1"/>
  <c r="AG118" i="55" s="1"/>
  <c r="AH118" i="55" s="1"/>
  <c r="AI118" i="55" s="1"/>
  <c r="AJ118" i="55" s="1"/>
  <c r="AK118" i="55" s="1"/>
  <c r="AL118" i="55" s="1"/>
  <c r="AM118" i="55" s="1"/>
  <c r="AN118" i="55" s="1"/>
  <c r="AO118" i="55" s="1"/>
  <c r="AP118" i="55" s="1"/>
  <c r="Z127" i="55"/>
  <c r="AA127" i="55" s="1"/>
  <c r="AB127" i="55" s="1"/>
  <c r="AC127" i="55" s="1"/>
  <c r="AD127" i="55" s="1"/>
  <c r="AE127" i="55" s="1"/>
  <c r="AF127" i="55" s="1"/>
  <c r="AG127" i="55" s="1"/>
  <c r="AH127" i="55" s="1"/>
  <c r="AI127" i="55" s="1"/>
  <c r="AJ127" i="55" s="1"/>
  <c r="AK127" i="55" s="1"/>
  <c r="AL127" i="55" s="1"/>
  <c r="AM127" i="55" s="1"/>
  <c r="AN127" i="55" s="1"/>
  <c r="AO127" i="55" s="1"/>
  <c r="AP127" i="55" s="1"/>
  <c r="Z128" i="55"/>
  <c r="AA128" i="55" s="1"/>
  <c r="AB128" i="55" s="1"/>
  <c r="AC128" i="55" s="1"/>
  <c r="AD128" i="55" s="1"/>
  <c r="AE128" i="55" s="1"/>
  <c r="AF128" i="55" s="1"/>
  <c r="AG128" i="55" s="1"/>
  <c r="AH128" i="55" s="1"/>
  <c r="AI128" i="55" s="1"/>
  <c r="AJ128" i="55" s="1"/>
  <c r="AK128" i="55" s="1"/>
  <c r="AL128" i="55" s="1"/>
  <c r="AM128" i="55" s="1"/>
  <c r="AN128" i="55" s="1"/>
  <c r="AO128" i="55" s="1"/>
  <c r="AP128" i="55" s="1"/>
  <c r="Z87" i="55"/>
  <c r="AA87" i="55" s="1"/>
  <c r="AB87" i="55" s="1"/>
  <c r="AC87" i="55" s="1"/>
  <c r="AD87" i="55" s="1"/>
  <c r="AE87" i="55" s="1"/>
  <c r="AF87" i="55" s="1"/>
  <c r="AG87" i="55" s="1"/>
  <c r="AH87" i="55" s="1"/>
  <c r="AI87" i="55" s="1"/>
  <c r="AJ87" i="55" s="1"/>
  <c r="AK87" i="55" s="1"/>
  <c r="Z85" i="55"/>
  <c r="AA85" i="55" s="1"/>
  <c r="AB85" i="55" s="1"/>
  <c r="AC85" i="55" s="1"/>
  <c r="AD85" i="55" s="1"/>
  <c r="AE85" i="55" s="1"/>
  <c r="AF85" i="55" s="1"/>
  <c r="AG85" i="55" s="1"/>
  <c r="AH85" i="55" s="1"/>
  <c r="AI85" i="55" s="1"/>
  <c r="AJ85" i="55" s="1"/>
  <c r="AK85" i="55" s="1"/>
  <c r="Z86" i="55"/>
  <c r="AA86" i="55" s="1"/>
  <c r="AB86" i="55" s="1"/>
  <c r="AC86" i="55" s="1"/>
  <c r="AD86" i="55" s="1"/>
  <c r="AE86" i="55" s="1"/>
  <c r="AF86" i="55" s="1"/>
  <c r="AG86" i="55" s="1"/>
  <c r="AH86" i="55" s="1"/>
  <c r="AI86" i="55" s="1"/>
  <c r="AJ86" i="55" s="1"/>
  <c r="AK86" i="55" s="1"/>
  <c r="Z80" i="55"/>
  <c r="AA80" i="55" s="1"/>
  <c r="AB80" i="55" s="1"/>
  <c r="AC80" i="55" s="1"/>
  <c r="AD80" i="55" s="1"/>
  <c r="AE80" i="55" s="1"/>
  <c r="AF80" i="55" s="1"/>
  <c r="AG80" i="55" s="1"/>
  <c r="AH80" i="55" s="1"/>
  <c r="AI80" i="55" s="1"/>
  <c r="AJ80" i="55" s="1"/>
  <c r="AK80" i="55" s="1"/>
  <c r="Z90" i="55"/>
  <c r="AA90" i="55" s="1"/>
  <c r="AB90" i="55" s="1"/>
  <c r="AC90" i="55" s="1"/>
  <c r="AD90" i="55" s="1"/>
  <c r="AE90" i="55" s="1"/>
  <c r="AF90" i="55" s="1"/>
  <c r="AG90" i="55" s="1"/>
  <c r="AH90" i="55" s="1"/>
  <c r="AI90" i="55" s="1"/>
  <c r="AJ90" i="55" s="1"/>
  <c r="AK90" i="55" s="1"/>
  <c r="Z84" i="55"/>
  <c r="AA84" i="55" s="1"/>
  <c r="AB84" i="55" s="1"/>
  <c r="AC84" i="55" s="1"/>
  <c r="AD84" i="55" s="1"/>
  <c r="AE84" i="55" s="1"/>
  <c r="AF84" i="55" s="1"/>
  <c r="AG84" i="55" s="1"/>
  <c r="AH84" i="55" s="1"/>
  <c r="AI84" i="55" s="1"/>
  <c r="AJ84" i="55" s="1"/>
  <c r="AK84" i="55" s="1"/>
  <c r="Z82" i="55"/>
  <c r="AA82" i="55" s="1"/>
  <c r="AB82" i="55" s="1"/>
  <c r="AC82" i="55" s="1"/>
  <c r="AD82" i="55" s="1"/>
  <c r="AE82" i="55" s="1"/>
  <c r="AF82" i="55" s="1"/>
  <c r="AG82" i="55" s="1"/>
  <c r="AH82" i="55" s="1"/>
  <c r="AI82" i="55" s="1"/>
  <c r="AJ82" i="55" s="1"/>
  <c r="AK82" i="55" s="1"/>
  <c r="Z83" i="55"/>
  <c r="AA83" i="55" s="1"/>
  <c r="AB83" i="55" s="1"/>
  <c r="AC83" i="55" s="1"/>
  <c r="AD83" i="55" s="1"/>
  <c r="AE83" i="55" s="1"/>
  <c r="AF83" i="55" s="1"/>
  <c r="AG83" i="55" s="1"/>
  <c r="AH83" i="55" s="1"/>
  <c r="AI83" i="55" s="1"/>
  <c r="AJ83" i="55" s="1"/>
  <c r="AK83" i="55" s="1"/>
  <c r="Z89" i="55"/>
  <c r="AA89" i="55" s="1"/>
  <c r="AB89" i="55" s="1"/>
  <c r="AC89" i="55" s="1"/>
  <c r="AD89" i="55" s="1"/>
  <c r="AE89" i="55" s="1"/>
  <c r="AF89" i="55" s="1"/>
  <c r="AG89" i="55" s="1"/>
  <c r="AH89" i="55" s="1"/>
  <c r="AI89" i="55" s="1"/>
  <c r="AJ89" i="55" s="1"/>
  <c r="AK89" i="55" s="1"/>
  <c r="AS50" i="58" l="1"/>
  <c r="AR192" i="58"/>
  <c r="AR193" i="58"/>
  <c r="AR215" i="58"/>
  <c r="AR214" i="58"/>
  <c r="AS52" i="58"/>
  <c r="AS51" i="58"/>
  <c r="AR204" i="58"/>
  <c r="AR203" i="58"/>
  <c r="AS49" i="58"/>
  <c r="AR180" i="58"/>
  <c r="AR53" i="58"/>
  <c r="AR181" i="58"/>
  <c r="AQ227" i="58"/>
  <c r="AM265" i="58" s="1"/>
  <c r="AJ125" i="47" s="1"/>
  <c r="AQ226" i="58"/>
  <c r="AM264" i="58" s="1"/>
  <c r="AJ119" i="47" s="1"/>
  <c r="W139" i="55"/>
  <c r="T18" i="47" s="1"/>
  <c r="S19" i="47"/>
  <c r="Q35" i="47"/>
  <c r="T17" i="47"/>
  <c r="P53" i="47"/>
  <c r="S20" i="47"/>
  <c r="V73" i="55"/>
  <c r="S37" i="47" s="1"/>
  <c r="Q36" i="47"/>
  <c r="V71" i="55"/>
  <c r="W71" i="55" s="1"/>
  <c r="Q40" i="47"/>
  <c r="P58" i="47"/>
  <c r="V77" i="55"/>
  <c r="S34" i="47" s="1"/>
  <c r="Q34" i="47"/>
  <c r="T157" i="55"/>
  <c r="Q48" i="47" s="1"/>
  <c r="W136" i="55"/>
  <c r="S16" i="47"/>
  <c r="S11" i="47"/>
  <c r="W137" i="55"/>
  <c r="Q32" i="47"/>
  <c r="U74" i="55"/>
  <c r="T159" i="55"/>
  <c r="Q46" i="47" s="1"/>
  <c r="P47" i="47"/>
  <c r="T155" i="55"/>
  <c r="P49" i="47"/>
  <c r="T162" i="55"/>
  <c r="T233" i="55"/>
  <c r="U233" i="55" s="1"/>
  <c r="T163" i="55"/>
  <c r="P45" i="47"/>
  <c r="T161" i="55"/>
  <c r="P43" i="47"/>
  <c r="T158" i="55"/>
  <c r="S10" i="47"/>
  <c r="W135" i="55"/>
  <c r="P50" i="47"/>
  <c r="T160" i="55"/>
  <c r="R38" i="47"/>
  <c r="V78" i="55"/>
  <c r="Q51" i="47"/>
  <c r="U165" i="55"/>
  <c r="AL133" i="55"/>
  <c r="AM133" i="55"/>
  <c r="AL192" i="55"/>
  <c r="AM192" i="55"/>
  <c r="AK147" i="55"/>
  <c r="AK146" i="55"/>
  <c r="AK145" i="55"/>
  <c r="AK150" i="55"/>
  <c r="AK149" i="55"/>
  <c r="AK148" i="55"/>
  <c r="AK143" i="55"/>
  <c r="AK152" i="55"/>
  <c r="AK153" i="55"/>
  <c r="P56" i="47"/>
  <c r="T237" i="55"/>
  <c r="R33" i="47"/>
  <c r="V79" i="55"/>
  <c r="P26" i="47"/>
  <c r="T193" i="55"/>
  <c r="Q132" i="47"/>
  <c r="U253" i="55"/>
  <c r="R40" i="47"/>
  <c r="V88" i="55"/>
  <c r="R35" i="47"/>
  <c r="V75" i="55"/>
  <c r="P54" i="47"/>
  <c r="T241" i="55"/>
  <c r="Q55" i="47"/>
  <c r="U239" i="55"/>
  <c r="P60" i="47"/>
  <c r="T238" i="55"/>
  <c r="AL211" i="55"/>
  <c r="AM211" i="55"/>
  <c r="U12" i="47"/>
  <c r="Y142" i="55"/>
  <c r="AL230" i="55"/>
  <c r="AM230" i="55"/>
  <c r="P52" i="47"/>
  <c r="T234" i="55"/>
  <c r="AK220" i="55"/>
  <c r="AK222" i="55"/>
  <c r="AK217" i="55"/>
  <c r="AK219" i="55"/>
  <c r="AK228" i="55"/>
  <c r="AK224" i="55"/>
  <c r="AK215" i="55"/>
  <c r="AK213" i="55"/>
  <c r="AK218" i="55"/>
  <c r="AK226" i="55"/>
  <c r="AK223" i="55"/>
  <c r="AK212" i="55"/>
  <c r="AK225" i="55"/>
  <c r="AK216" i="55"/>
  <c r="AK214" i="55"/>
  <c r="AK229" i="55"/>
  <c r="AK221" i="55"/>
  <c r="AK227" i="55"/>
  <c r="AK244" i="55"/>
  <c r="AK245" i="55"/>
  <c r="AK247" i="55"/>
  <c r="AK251" i="55"/>
  <c r="AK248" i="55"/>
  <c r="AK249" i="55"/>
  <c r="AK250" i="55"/>
  <c r="AK246" i="55"/>
  <c r="AK231" i="55"/>
  <c r="AK232" i="55"/>
  <c r="AK242" i="55"/>
  <c r="AK252" i="55"/>
  <c r="U17" i="47"/>
  <c r="Y141" i="55"/>
  <c r="AL181" i="55"/>
  <c r="AM181" i="55" s="1"/>
  <c r="AN181" i="55" s="1"/>
  <c r="AO181" i="55" s="1"/>
  <c r="AP181" i="55" s="1"/>
  <c r="AL189" i="55"/>
  <c r="AM189" i="55" s="1"/>
  <c r="AN189" i="55" s="1"/>
  <c r="AO189" i="55" s="1"/>
  <c r="AP189" i="55" s="1"/>
  <c r="AL175" i="55"/>
  <c r="AM175" i="55" s="1"/>
  <c r="AN175" i="55" s="1"/>
  <c r="AO175" i="55" s="1"/>
  <c r="AP175" i="55" s="1"/>
  <c r="AL176" i="55"/>
  <c r="AM176" i="55" s="1"/>
  <c r="AN176" i="55" s="1"/>
  <c r="AO176" i="55" s="1"/>
  <c r="AP176" i="55" s="1"/>
  <c r="AL187" i="55"/>
  <c r="AM187" i="55" s="1"/>
  <c r="AN187" i="55" s="1"/>
  <c r="AO187" i="55" s="1"/>
  <c r="AP187" i="55" s="1"/>
  <c r="AL188" i="55"/>
  <c r="AM188" i="55" s="1"/>
  <c r="AN188" i="55" s="1"/>
  <c r="AO188" i="55" s="1"/>
  <c r="AP188" i="55" s="1"/>
  <c r="AL180" i="55"/>
  <c r="AM180" i="55" s="1"/>
  <c r="AN180" i="55" s="1"/>
  <c r="AO180" i="55" s="1"/>
  <c r="AP180" i="55" s="1"/>
  <c r="AL174" i="55"/>
  <c r="AM174" i="55" s="1"/>
  <c r="AN174" i="55" s="1"/>
  <c r="AO174" i="55" s="1"/>
  <c r="AP174" i="55" s="1"/>
  <c r="AL182" i="55"/>
  <c r="AM182" i="55" s="1"/>
  <c r="AN182" i="55" s="1"/>
  <c r="AO182" i="55" s="1"/>
  <c r="AP182" i="55" s="1"/>
  <c r="AL186" i="55"/>
  <c r="AM186" i="55" s="1"/>
  <c r="AN186" i="55" s="1"/>
  <c r="AO186" i="55" s="1"/>
  <c r="AP186" i="55" s="1"/>
  <c r="AL179" i="55"/>
  <c r="AM179" i="55" s="1"/>
  <c r="AN179" i="55" s="1"/>
  <c r="AO179" i="55" s="1"/>
  <c r="AP179" i="55" s="1"/>
  <c r="AL178" i="55"/>
  <c r="AM178" i="55" s="1"/>
  <c r="AN178" i="55" s="1"/>
  <c r="AO178" i="55" s="1"/>
  <c r="AP178" i="55" s="1"/>
  <c r="AL184" i="55"/>
  <c r="AM184" i="55" s="1"/>
  <c r="AN184" i="55" s="1"/>
  <c r="AO184" i="55" s="1"/>
  <c r="AP184" i="55" s="1"/>
  <c r="AL185" i="55"/>
  <c r="AM185" i="55" s="1"/>
  <c r="AN185" i="55" s="1"/>
  <c r="AO185" i="55" s="1"/>
  <c r="AP185" i="55" s="1"/>
  <c r="AL177" i="55"/>
  <c r="AM177" i="55" s="1"/>
  <c r="AN177" i="55" s="1"/>
  <c r="AO177" i="55" s="1"/>
  <c r="AP177" i="55" s="1"/>
  <c r="AL183" i="55"/>
  <c r="AM183" i="55" s="1"/>
  <c r="AN183" i="55" s="1"/>
  <c r="AO183" i="55" s="1"/>
  <c r="AP183" i="55" s="1"/>
  <c r="P30" i="47"/>
  <c r="T203" i="55"/>
  <c r="Q31" i="47"/>
  <c r="U72" i="55"/>
  <c r="R41" i="47"/>
  <c r="V81" i="55"/>
  <c r="Q28" i="47"/>
  <c r="U200" i="55"/>
  <c r="P21" i="47"/>
  <c r="T194" i="55"/>
  <c r="T14" i="47"/>
  <c r="X138" i="55"/>
  <c r="Q53" i="47"/>
  <c r="U236" i="55"/>
  <c r="P61" i="47"/>
  <c r="T243" i="55"/>
  <c r="AL83" i="55"/>
  <c r="AM83" i="55" s="1"/>
  <c r="AN83" i="55" s="1"/>
  <c r="AO83" i="55" s="1"/>
  <c r="AP83" i="55" s="1"/>
  <c r="AL90" i="55"/>
  <c r="AM90" i="55" s="1"/>
  <c r="AN90" i="55" s="1"/>
  <c r="AO90" i="55" s="1"/>
  <c r="AP90" i="55" s="1"/>
  <c r="AL86" i="55"/>
  <c r="AM86" i="55" s="1"/>
  <c r="AN86" i="55" s="1"/>
  <c r="AO86" i="55" s="1"/>
  <c r="AP86" i="55" s="1"/>
  <c r="AL82" i="55"/>
  <c r="AM82" i="55" s="1"/>
  <c r="AN82" i="55" s="1"/>
  <c r="AO82" i="55" s="1"/>
  <c r="AP82" i="55" s="1"/>
  <c r="AL85" i="55"/>
  <c r="AM85" i="55" s="1"/>
  <c r="AN85" i="55" s="1"/>
  <c r="AO85" i="55" s="1"/>
  <c r="AP85" i="55" s="1"/>
  <c r="AL84" i="55"/>
  <c r="AM84" i="55" s="1"/>
  <c r="AN84" i="55" s="1"/>
  <c r="AO84" i="55" s="1"/>
  <c r="AP84" i="55" s="1"/>
  <c r="AL80" i="55"/>
  <c r="AM80" i="55" s="1"/>
  <c r="AN80" i="55" s="1"/>
  <c r="AO80" i="55" s="1"/>
  <c r="AP80" i="55" s="1"/>
  <c r="AL89" i="55"/>
  <c r="AM89" i="55" s="1"/>
  <c r="AN89" i="55" s="1"/>
  <c r="AO89" i="55" s="1"/>
  <c r="AP89" i="55" s="1"/>
  <c r="AL87" i="55"/>
  <c r="AM87" i="55" s="1"/>
  <c r="AN87" i="55" s="1"/>
  <c r="AO87" i="55" s="1"/>
  <c r="AP87" i="55" s="1"/>
  <c r="T13" i="47"/>
  <c r="X140" i="55"/>
  <c r="Q25" i="47"/>
  <c r="U197" i="55"/>
  <c r="P42" i="47"/>
  <c r="T156" i="55"/>
  <c r="AK204" i="55"/>
  <c r="AK206" i="55"/>
  <c r="AK202" i="55"/>
  <c r="AK207" i="55"/>
  <c r="AK205" i="55"/>
  <c r="AK208" i="55"/>
  <c r="P27" i="47"/>
  <c r="T195" i="55"/>
  <c r="P23" i="47"/>
  <c r="T201" i="55"/>
  <c r="P29" i="47"/>
  <c r="T198" i="55"/>
  <c r="T19" i="47"/>
  <c r="X144" i="55"/>
  <c r="Q58" i="47"/>
  <c r="U235" i="55"/>
  <c r="P24" i="47"/>
  <c r="T199" i="55"/>
  <c r="P22" i="47"/>
  <c r="T196" i="55"/>
  <c r="P59" i="47"/>
  <c r="T240" i="55"/>
  <c r="Q39" i="47"/>
  <c r="U76" i="55"/>
  <c r="T20" i="47"/>
  <c r="X151" i="55"/>
  <c r="T15" i="47"/>
  <c r="X134" i="55"/>
  <c r="AL168" i="55"/>
  <c r="AM168" i="55" s="1"/>
  <c r="AN168" i="55" s="1"/>
  <c r="AO168" i="55" s="1"/>
  <c r="AP168" i="55" s="1"/>
  <c r="AL170" i="55"/>
  <c r="AM170" i="55" s="1"/>
  <c r="AN170" i="55" s="1"/>
  <c r="AO170" i="55" s="1"/>
  <c r="AP170" i="55" s="1"/>
  <c r="AL169" i="55"/>
  <c r="AM169" i="55" s="1"/>
  <c r="AN169" i="55" s="1"/>
  <c r="AO169" i="55" s="1"/>
  <c r="AP169" i="55" s="1"/>
  <c r="AL172" i="55"/>
  <c r="AM172" i="55" s="1"/>
  <c r="AN172" i="55" s="1"/>
  <c r="AO172" i="55" s="1"/>
  <c r="AP172" i="55" s="1"/>
  <c r="AL164" i="55"/>
  <c r="AM164" i="55" s="1"/>
  <c r="AN164" i="55" s="1"/>
  <c r="AO164" i="55" s="1"/>
  <c r="AP164" i="55" s="1"/>
  <c r="AL166" i="55"/>
  <c r="AM166" i="55" s="1"/>
  <c r="AN166" i="55" s="1"/>
  <c r="AO166" i="55" s="1"/>
  <c r="AP166" i="55" s="1"/>
  <c r="AL167" i="55"/>
  <c r="AM167" i="55" s="1"/>
  <c r="AN167" i="55" s="1"/>
  <c r="AO167" i="55" s="1"/>
  <c r="AP167" i="55" s="1"/>
  <c r="AL171" i="55"/>
  <c r="AM171" i="55" s="1"/>
  <c r="AN171" i="55" s="1"/>
  <c r="AO171" i="55" s="1"/>
  <c r="AP171" i="55" s="1"/>
  <c r="AS180" i="58" l="1"/>
  <c r="AT49" i="58"/>
  <c r="AS181" i="58"/>
  <c r="AS53" i="58"/>
  <c r="AS204" i="58"/>
  <c r="AS203" i="58"/>
  <c r="AT51" i="58"/>
  <c r="AS215" i="58"/>
  <c r="AS214" i="58"/>
  <c r="AT52" i="58"/>
  <c r="AR227" i="58"/>
  <c r="AR226" i="58"/>
  <c r="AS193" i="58"/>
  <c r="AS192" i="58"/>
  <c r="AT50" i="58"/>
  <c r="X139" i="55"/>
  <c r="U18" i="47" s="1"/>
  <c r="W77" i="55"/>
  <c r="T34" i="47" s="1"/>
  <c r="S36" i="47"/>
  <c r="W73" i="55"/>
  <c r="T37" i="47" s="1"/>
  <c r="U157" i="55"/>
  <c r="R48" i="47" s="1"/>
  <c r="U159" i="55"/>
  <c r="R46" i="47" s="1"/>
  <c r="T16" i="47"/>
  <c r="X136" i="55"/>
  <c r="T11" i="47"/>
  <c r="X137" i="55"/>
  <c r="R32" i="47"/>
  <c r="V74" i="55"/>
  <c r="Q57" i="47"/>
  <c r="U162" i="55"/>
  <c r="Q49" i="47"/>
  <c r="Q47" i="47"/>
  <c r="U155" i="55"/>
  <c r="Q44" i="47"/>
  <c r="U163" i="55"/>
  <c r="Q45" i="47"/>
  <c r="U161" i="55"/>
  <c r="T10" i="47"/>
  <c r="X135" i="55"/>
  <c r="Q43" i="47"/>
  <c r="U158" i="55"/>
  <c r="Q50" i="47"/>
  <c r="U160" i="55"/>
  <c r="Q60" i="47"/>
  <c r="U238" i="55"/>
  <c r="S35" i="47"/>
  <c r="W75" i="55"/>
  <c r="Q56" i="47"/>
  <c r="U237" i="55"/>
  <c r="Q29" i="47"/>
  <c r="U198" i="55"/>
  <c r="AL205" i="55"/>
  <c r="AM205" i="55" s="1"/>
  <c r="AN205" i="55" s="1"/>
  <c r="AO205" i="55" s="1"/>
  <c r="AP205" i="55" s="1"/>
  <c r="AL204" i="55"/>
  <c r="AM204" i="55" s="1"/>
  <c r="AN204" i="55" s="1"/>
  <c r="AO204" i="55" s="1"/>
  <c r="AP204" i="55" s="1"/>
  <c r="AL207" i="55"/>
  <c r="AM207" i="55" s="1"/>
  <c r="AN207" i="55" s="1"/>
  <c r="AO207" i="55" s="1"/>
  <c r="AP207" i="55" s="1"/>
  <c r="AL202" i="55"/>
  <c r="AM202" i="55" s="1"/>
  <c r="AN202" i="55" s="1"/>
  <c r="AO202" i="55" s="1"/>
  <c r="AP202" i="55" s="1"/>
  <c r="AL206" i="55"/>
  <c r="AM206" i="55" s="1"/>
  <c r="AN206" i="55" s="1"/>
  <c r="AO206" i="55" s="1"/>
  <c r="AP206" i="55" s="1"/>
  <c r="AL208" i="55"/>
  <c r="AM208" i="55" s="1"/>
  <c r="AN208" i="55" s="1"/>
  <c r="AO208" i="55" s="1"/>
  <c r="AP208" i="55" s="1"/>
  <c r="R55" i="47"/>
  <c r="V239" i="55"/>
  <c r="S40" i="47"/>
  <c r="W88" i="55"/>
  <c r="Q22" i="47"/>
  <c r="U196" i="55"/>
  <c r="U20" i="47"/>
  <c r="Y151" i="55"/>
  <c r="Q24" i="47"/>
  <c r="U199" i="55"/>
  <c r="Q23" i="47"/>
  <c r="U201" i="55"/>
  <c r="Q21" i="47"/>
  <c r="U194" i="55"/>
  <c r="Q54" i="47"/>
  <c r="U241" i="55"/>
  <c r="R132" i="47"/>
  <c r="V253" i="55"/>
  <c r="R28" i="47"/>
  <c r="V200" i="55"/>
  <c r="AL250" i="55"/>
  <c r="AM250" i="55" s="1"/>
  <c r="AN250" i="55" s="1"/>
  <c r="AO250" i="55" s="1"/>
  <c r="AP250" i="55" s="1"/>
  <c r="AL244" i="55"/>
  <c r="AM244" i="55" s="1"/>
  <c r="AN244" i="55" s="1"/>
  <c r="AO244" i="55" s="1"/>
  <c r="AP244" i="55" s="1"/>
  <c r="AL252" i="55"/>
  <c r="AM252" i="55" s="1"/>
  <c r="AN252" i="55" s="1"/>
  <c r="AO252" i="55" s="1"/>
  <c r="AP252" i="55" s="1"/>
  <c r="AL248" i="55"/>
  <c r="AM248" i="55" s="1"/>
  <c r="AN248" i="55" s="1"/>
  <c r="AO248" i="55" s="1"/>
  <c r="AP248" i="55" s="1"/>
  <c r="AL232" i="55"/>
  <c r="AM232" i="55" s="1"/>
  <c r="AN232" i="55" s="1"/>
  <c r="AO232" i="55" s="1"/>
  <c r="AP232" i="55" s="1"/>
  <c r="AL249" i="55"/>
  <c r="AM249" i="55" s="1"/>
  <c r="AN249" i="55" s="1"/>
  <c r="AO249" i="55" s="1"/>
  <c r="AP249" i="55" s="1"/>
  <c r="AL242" i="55"/>
  <c r="AM242" i="55" s="1"/>
  <c r="AN242" i="55" s="1"/>
  <c r="AO242" i="55" s="1"/>
  <c r="AP242" i="55" s="1"/>
  <c r="AL247" i="55"/>
  <c r="AM247" i="55" s="1"/>
  <c r="AN247" i="55" s="1"/>
  <c r="AO247" i="55" s="1"/>
  <c r="AP247" i="55" s="1"/>
  <c r="AL246" i="55"/>
  <c r="AM246" i="55" s="1"/>
  <c r="AN246" i="55" s="1"/>
  <c r="AO246" i="55" s="1"/>
  <c r="AP246" i="55" s="1"/>
  <c r="AL245" i="55"/>
  <c r="AM245" i="55" s="1"/>
  <c r="AN245" i="55" s="1"/>
  <c r="AO245" i="55" s="1"/>
  <c r="AP245" i="55" s="1"/>
  <c r="AL231" i="55"/>
  <c r="AM231" i="55" s="1"/>
  <c r="AN231" i="55" s="1"/>
  <c r="AO231" i="55" s="1"/>
  <c r="AP231" i="55" s="1"/>
  <c r="AL251" i="55"/>
  <c r="AM251" i="55" s="1"/>
  <c r="AN251" i="55" s="1"/>
  <c r="AO251" i="55" s="1"/>
  <c r="AP251" i="55" s="1"/>
  <c r="AL148" i="55"/>
  <c r="AM148" i="55" s="1"/>
  <c r="AN148" i="55" s="1"/>
  <c r="AO148" i="55" s="1"/>
  <c r="AP148" i="55" s="1"/>
  <c r="AL145" i="55"/>
  <c r="AM145" i="55" s="1"/>
  <c r="AN145" i="55" s="1"/>
  <c r="AO145" i="55" s="1"/>
  <c r="AP145" i="55" s="1"/>
  <c r="AL153" i="55"/>
  <c r="AM153" i="55" s="1"/>
  <c r="AN153" i="55" s="1"/>
  <c r="AO153" i="55" s="1"/>
  <c r="AP153" i="55" s="1"/>
  <c r="AL147" i="55"/>
  <c r="AM147" i="55" s="1"/>
  <c r="AN147" i="55" s="1"/>
  <c r="AO147" i="55" s="1"/>
  <c r="AP147" i="55" s="1"/>
  <c r="AL150" i="55"/>
  <c r="AM150" i="55" s="1"/>
  <c r="AN150" i="55" s="1"/>
  <c r="AO150" i="55" s="1"/>
  <c r="AP150" i="55" s="1"/>
  <c r="AL146" i="55"/>
  <c r="AM146" i="55" s="1"/>
  <c r="AN146" i="55" s="1"/>
  <c r="AO146" i="55" s="1"/>
  <c r="AP146" i="55" s="1"/>
  <c r="AL149" i="55"/>
  <c r="AM149" i="55" s="1"/>
  <c r="AN149" i="55" s="1"/>
  <c r="AO149" i="55" s="1"/>
  <c r="AP149" i="55" s="1"/>
  <c r="AL143" i="55"/>
  <c r="AM143" i="55" s="1"/>
  <c r="AN143" i="55" s="1"/>
  <c r="AO143" i="55" s="1"/>
  <c r="AP143" i="55" s="1"/>
  <c r="AL152" i="55"/>
  <c r="AM152" i="55" s="1"/>
  <c r="AN152" i="55" s="1"/>
  <c r="AO152" i="55" s="1"/>
  <c r="AP152" i="55" s="1"/>
  <c r="Q27" i="47"/>
  <c r="U195" i="55"/>
  <c r="Q52" i="47"/>
  <c r="U234" i="55"/>
  <c r="V12" i="47"/>
  <c r="Z142" i="55"/>
  <c r="Q42" i="47"/>
  <c r="U156" i="55"/>
  <c r="R39" i="47"/>
  <c r="V76" i="55"/>
  <c r="R58" i="47"/>
  <c r="V235" i="55"/>
  <c r="R25" i="47"/>
  <c r="V197" i="55"/>
  <c r="S41" i="47"/>
  <c r="W81" i="55"/>
  <c r="R57" i="47"/>
  <c r="V233" i="55"/>
  <c r="Q26" i="47"/>
  <c r="U193" i="55"/>
  <c r="R51" i="47"/>
  <c r="V165" i="55"/>
  <c r="U15" i="47"/>
  <c r="Y134" i="55"/>
  <c r="T36" i="47"/>
  <c r="X71" i="55"/>
  <c r="U13" i="47"/>
  <c r="Y140" i="55"/>
  <c r="Q61" i="47"/>
  <c r="U243" i="55"/>
  <c r="R31" i="47"/>
  <c r="V72" i="55"/>
  <c r="AL217" i="55"/>
  <c r="AM217" i="55" s="1"/>
  <c r="AN217" i="55" s="1"/>
  <c r="AO217" i="55" s="1"/>
  <c r="AP217" i="55" s="1"/>
  <c r="AL213" i="55"/>
  <c r="AM213" i="55" s="1"/>
  <c r="AN213" i="55" s="1"/>
  <c r="AO213" i="55" s="1"/>
  <c r="AP213" i="55" s="1"/>
  <c r="AL219" i="55"/>
  <c r="AM219" i="55" s="1"/>
  <c r="AN219" i="55" s="1"/>
  <c r="AO219" i="55" s="1"/>
  <c r="AP219" i="55" s="1"/>
  <c r="AL223" i="55"/>
  <c r="AM223" i="55" s="1"/>
  <c r="AN223" i="55" s="1"/>
  <c r="AO223" i="55" s="1"/>
  <c r="AP223" i="55" s="1"/>
  <c r="AL212" i="55"/>
  <c r="AM212" i="55" s="1"/>
  <c r="AN212" i="55" s="1"/>
  <c r="AO212" i="55" s="1"/>
  <c r="AP212" i="55" s="1"/>
  <c r="AL216" i="55"/>
  <c r="AM216" i="55" s="1"/>
  <c r="AN216" i="55" s="1"/>
  <c r="AO216" i="55" s="1"/>
  <c r="AP216" i="55" s="1"/>
  <c r="AL228" i="55"/>
  <c r="AM228" i="55" s="1"/>
  <c r="AN228" i="55" s="1"/>
  <c r="AO228" i="55" s="1"/>
  <c r="AP228" i="55" s="1"/>
  <c r="AL229" i="55"/>
  <c r="AM229" i="55" s="1"/>
  <c r="AN229" i="55" s="1"/>
  <c r="AO229" i="55" s="1"/>
  <c r="AP229" i="55" s="1"/>
  <c r="AL221" i="55"/>
  <c r="AM221" i="55" s="1"/>
  <c r="AN221" i="55" s="1"/>
  <c r="AO221" i="55" s="1"/>
  <c r="AP221" i="55" s="1"/>
  <c r="AL226" i="55"/>
  <c r="AM226" i="55" s="1"/>
  <c r="AN226" i="55" s="1"/>
  <c r="AO226" i="55" s="1"/>
  <c r="AP226" i="55" s="1"/>
  <c r="AL220" i="55"/>
  <c r="AM220" i="55" s="1"/>
  <c r="AN220" i="55" s="1"/>
  <c r="AO220" i="55" s="1"/>
  <c r="AP220" i="55" s="1"/>
  <c r="AL215" i="55"/>
  <c r="AM215" i="55" s="1"/>
  <c r="AN215" i="55" s="1"/>
  <c r="AO215" i="55" s="1"/>
  <c r="AP215" i="55" s="1"/>
  <c r="AL225" i="55"/>
  <c r="AM225" i="55" s="1"/>
  <c r="AN225" i="55" s="1"/>
  <c r="AO225" i="55" s="1"/>
  <c r="AP225" i="55" s="1"/>
  <c r="AL214" i="55"/>
  <c r="AM214" i="55" s="1"/>
  <c r="AN214" i="55" s="1"/>
  <c r="AO214" i="55" s="1"/>
  <c r="AP214" i="55" s="1"/>
  <c r="AL222" i="55"/>
  <c r="AM222" i="55" s="1"/>
  <c r="AN222" i="55" s="1"/>
  <c r="AO222" i="55" s="1"/>
  <c r="AP222" i="55" s="1"/>
  <c r="AL224" i="55"/>
  <c r="AM224" i="55" s="1"/>
  <c r="AN224" i="55" s="1"/>
  <c r="AO224" i="55" s="1"/>
  <c r="AP224" i="55" s="1"/>
  <c r="AL227" i="55"/>
  <c r="AM227" i="55" s="1"/>
  <c r="AN227" i="55" s="1"/>
  <c r="AO227" i="55" s="1"/>
  <c r="AP227" i="55" s="1"/>
  <c r="AL218" i="55"/>
  <c r="AM218" i="55" s="1"/>
  <c r="AN218" i="55" s="1"/>
  <c r="AO218" i="55" s="1"/>
  <c r="AP218" i="55" s="1"/>
  <c r="S33" i="47"/>
  <c r="W79" i="55"/>
  <c r="S38" i="47"/>
  <c r="W78" i="55"/>
  <c r="U14" i="47"/>
  <c r="Y138" i="55"/>
  <c r="Q59" i="47"/>
  <c r="U240" i="55"/>
  <c r="U19" i="47"/>
  <c r="Y144" i="55"/>
  <c r="R53" i="47"/>
  <c r="V236" i="55"/>
  <c r="Q30" i="47"/>
  <c r="U203" i="55"/>
  <c r="V17" i="47"/>
  <c r="Z141" i="55"/>
  <c r="AU52" i="58" l="1"/>
  <c r="AT214" i="58"/>
  <c r="AT215" i="58"/>
  <c r="AU51" i="58"/>
  <c r="AT203" i="58"/>
  <c r="AT204" i="58"/>
  <c r="AU50" i="58"/>
  <c r="AT193" i="58"/>
  <c r="AT192" i="58"/>
  <c r="AS226" i="58"/>
  <c r="AT181" i="58"/>
  <c r="AT180" i="58"/>
  <c r="AU49" i="58"/>
  <c r="AT53" i="58"/>
  <c r="AS227" i="58"/>
  <c r="Y139" i="55"/>
  <c r="V18" i="47" s="1"/>
  <c r="X77" i="55"/>
  <c r="U34" i="47" s="1"/>
  <c r="X73" i="55"/>
  <c r="Y73" i="55" s="1"/>
  <c r="V157" i="55"/>
  <c r="W157" i="55" s="1"/>
  <c r="V159" i="55"/>
  <c r="S46" i="47" s="1"/>
  <c r="U16" i="47"/>
  <c r="Y136" i="55"/>
  <c r="U11" i="47"/>
  <c r="Y137" i="55"/>
  <c r="S32" i="47"/>
  <c r="W74" i="55"/>
  <c r="R47" i="47"/>
  <c r="V155" i="55"/>
  <c r="R49" i="47"/>
  <c r="V162" i="55"/>
  <c r="R44" i="47"/>
  <c r="V163" i="55"/>
  <c r="R45" i="47"/>
  <c r="V161" i="55"/>
  <c r="V158" i="55"/>
  <c r="R43" i="47"/>
  <c r="Y135" i="55"/>
  <c r="U10" i="47"/>
  <c r="V160" i="55"/>
  <c r="R50" i="47"/>
  <c r="T40" i="47"/>
  <c r="X88" i="55"/>
  <c r="S28" i="47"/>
  <c r="W200" i="55"/>
  <c r="R23" i="47"/>
  <c r="V201" i="55"/>
  <c r="S55" i="47"/>
  <c r="W239" i="55"/>
  <c r="S53" i="47"/>
  <c r="W236" i="55"/>
  <c r="T38" i="47"/>
  <c r="X78" i="55"/>
  <c r="V13" i="47"/>
  <c r="Z140" i="55"/>
  <c r="T41" i="47"/>
  <c r="X81" i="55"/>
  <c r="R42" i="47"/>
  <c r="V156" i="55"/>
  <c r="R27" i="47"/>
  <c r="V195" i="55"/>
  <c r="R24" i="47"/>
  <c r="V199" i="55"/>
  <c r="U36" i="47"/>
  <c r="Y71" i="55"/>
  <c r="V20" i="47"/>
  <c r="Z151" i="55"/>
  <c r="R56" i="47"/>
  <c r="V237" i="55"/>
  <c r="R61" i="47"/>
  <c r="V243" i="55"/>
  <c r="S25" i="47"/>
  <c r="W197" i="55"/>
  <c r="T33" i="47"/>
  <c r="X79" i="55"/>
  <c r="V15" i="47"/>
  <c r="Z134" i="55"/>
  <c r="S58" i="47"/>
  <c r="W235" i="55"/>
  <c r="S57" i="47"/>
  <c r="W233" i="55"/>
  <c r="S132" i="47"/>
  <c r="W253" i="55"/>
  <c r="R22" i="47"/>
  <c r="V196" i="55"/>
  <c r="R29" i="47"/>
  <c r="V198" i="55"/>
  <c r="T35" i="47"/>
  <c r="X75" i="55"/>
  <c r="R30" i="47"/>
  <c r="V203" i="55"/>
  <c r="V19" i="47"/>
  <c r="Z144" i="55"/>
  <c r="S39" i="47"/>
  <c r="W76" i="55"/>
  <c r="V14" i="47"/>
  <c r="Z138" i="55"/>
  <c r="R52" i="47"/>
  <c r="V234" i="55"/>
  <c r="R54" i="47"/>
  <c r="V241" i="55"/>
  <c r="R21" i="47"/>
  <c r="V194" i="55"/>
  <c r="R60" i="47"/>
  <c r="V238" i="55"/>
  <c r="S51" i="47"/>
  <c r="W165" i="55"/>
  <c r="W17" i="47"/>
  <c r="AA141" i="55"/>
  <c r="R59" i="47"/>
  <c r="V240" i="55"/>
  <c r="S31" i="47"/>
  <c r="W72" i="55"/>
  <c r="R26" i="47"/>
  <c r="V193" i="55"/>
  <c r="W12" i="47"/>
  <c r="AA142" i="55"/>
  <c r="AT227" i="58" l="1"/>
  <c r="AT226" i="58"/>
  <c r="AU192" i="58"/>
  <c r="AV50" i="58"/>
  <c r="AU193" i="58"/>
  <c r="AV51" i="58"/>
  <c r="AU203" i="58"/>
  <c r="AU204" i="58"/>
  <c r="AV49" i="58"/>
  <c r="AU181" i="58"/>
  <c r="AU53" i="58"/>
  <c r="AU180" i="58"/>
  <c r="AU214" i="58"/>
  <c r="AU215" i="58"/>
  <c r="AV52" i="58"/>
  <c r="Y77" i="55"/>
  <c r="Z77" i="55" s="1"/>
  <c r="Z139" i="55"/>
  <c r="W18" i="47" s="1"/>
  <c r="U37" i="47"/>
  <c r="S48" i="47"/>
  <c r="W159" i="55"/>
  <c r="T46" i="47" s="1"/>
  <c r="V16" i="47"/>
  <c r="Z136" i="55"/>
  <c r="V11" i="47"/>
  <c r="Z137" i="55"/>
  <c r="T32" i="47"/>
  <c r="X74" i="55"/>
  <c r="W162" i="55"/>
  <c r="S49" i="47"/>
  <c r="W155" i="55"/>
  <c r="S47" i="47"/>
  <c r="W163" i="55"/>
  <c r="S44" i="47"/>
  <c r="S45" i="47"/>
  <c r="W161" i="55"/>
  <c r="Z135" i="55"/>
  <c r="V10" i="47"/>
  <c r="S43" i="47"/>
  <c r="W158" i="55"/>
  <c r="S50" i="47"/>
  <c r="W160" i="55"/>
  <c r="S59" i="47"/>
  <c r="W240" i="55"/>
  <c r="U35" i="47"/>
  <c r="Y75" i="55"/>
  <c r="T58" i="47"/>
  <c r="X235" i="55"/>
  <c r="S56" i="47"/>
  <c r="W237" i="55"/>
  <c r="S27" i="47"/>
  <c r="W195" i="55"/>
  <c r="V37" i="47"/>
  <c r="Z73" i="55"/>
  <c r="T39" i="47"/>
  <c r="X76" i="55"/>
  <c r="W15" i="47"/>
  <c r="AA134" i="55"/>
  <c r="W20" i="47"/>
  <c r="AA151" i="55"/>
  <c r="S42" i="47"/>
  <c r="W156" i="55"/>
  <c r="T55" i="47"/>
  <c r="X239" i="55"/>
  <c r="S29" i="47"/>
  <c r="W198" i="55"/>
  <c r="S54" i="47"/>
  <c r="W241" i="55"/>
  <c r="T48" i="47"/>
  <c r="X157" i="55"/>
  <c r="S22" i="47"/>
  <c r="W196" i="55"/>
  <c r="U33" i="47"/>
  <c r="Y79" i="55"/>
  <c r="U41" i="47"/>
  <c r="Y81" i="55"/>
  <c r="S23" i="47"/>
  <c r="W201" i="55"/>
  <c r="S26" i="47"/>
  <c r="W193" i="55"/>
  <c r="W19" i="47"/>
  <c r="AA144" i="55"/>
  <c r="T132" i="47"/>
  <c r="X253" i="55"/>
  <c r="W13" i="47"/>
  <c r="AA140" i="55"/>
  <c r="T28" i="47"/>
  <c r="X200" i="55"/>
  <c r="X17" i="47"/>
  <c r="AB141" i="55"/>
  <c r="T31" i="47"/>
  <c r="X72" i="55"/>
  <c r="S52" i="47"/>
  <c r="W234" i="55"/>
  <c r="T57" i="47"/>
  <c r="X233" i="55"/>
  <c r="T25" i="47"/>
  <c r="X197" i="55"/>
  <c r="V36" i="47"/>
  <c r="Z71" i="55"/>
  <c r="U38" i="47"/>
  <c r="Y78" i="55"/>
  <c r="U40" i="47"/>
  <c r="Y88" i="55"/>
  <c r="X12" i="47"/>
  <c r="AB142" i="55"/>
  <c r="T51" i="47"/>
  <c r="X165" i="55"/>
  <c r="S60" i="47"/>
  <c r="W238" i="55"/>
  <c r="W14" i="47"/>
  <c r="AA138" i="55"/>
  <c r="S30" i="47"/>
  <c r="W203" i="55"/>
  <c r="S61" i="47"/>
  <c r="W243" i="55"/>
  <c r="S24" i="47"/>
  <c r="W199" i="55"/>
  <c r="T53" i="47"/>
  <c r="X236" i="55"/>
  <c r="S21" i="47"/>
  <c r="W194" i="55"/>
  <c r="AV180" i="58" l="1"/>
  <c r="AV53" i="58"/>
  <c r="AV181" i="58"/>
  <c r="AV203" i="58"/>
  <c r="AV204" i="58"/>
  <c r="AU227" i="58"/>
  <c r="AV192" i="58"/>
  <c r="AV193" i="58"/>
  <c r="AV215" i="58"/>
  <c r="AV214" i="58"/>
  <c r="AU226" i="58"/>
  <c r="V34" i="47"/>
  <c r="AA139" i="55"/>
  <c r="AB139" i="55" s="1"/>
  <c r="X159" i="55"/>
  <c r="Y159" i="55" s="1"/>
  <c r="W16" i="47"/>
  <c r="AA136" i="55"/>
  <c r="W11" i="47"/>
  <c r="AA137" i="55"/>
  <c r="Y74" i="55"/>
  <c r="U32" i="47"/>
  <c r="T47" i="47"/>
  <c r="X155" i="55"/>
  <c r="T49" i="47"/>
  <c r="X162" i="55"/>
  <c r="X163" i="55"/>
  <c r="T44" i="47"/>
  <c r="T45" i="47"/>
  <c r="X161" i="55"/>
  <c r="T43" i="47"/>
  <c r="X158" i="55"/>
  <c r="W10" i="47"/>
  <c r="AA135" i="55"/>
  <c r="T50" i="47"/>
  <c r="X160" i="55"/>
  <c r="T61" i="47"/>
  <c r="X243" i="55"/>
  <c r="U51" i="47"/>
  <c r="Y165" i="55"/>
  <c r="U57" i="47"/>
  <c r="Y233" i="55"/>
  <c r="U28" i="47"/>
  <c r="Y200" i="55"/>
  <c r="V33" i="47"/>
  <c r="Z79" i="55"/>
  <c r="T42" i="47"/>
  <c r="X156" i="55"/>
  <c r="T56" i="47"/>
  <c r="X237" i="55"/>
  <c r="T22" i="47"/>
  <c r="X196" i="55"/>
  <c r="X20" i="47"/>
  <c r="AB151" i="55"/>
  <c r="U58" i="47"/>
  <c r="Y235" i="55"/>
  <c r="X13" i="47"/>
  <c r="AB140" i="55"/>
  <c r="V40" i="47"/>
  <c r="Z88" i="55"/>
  <c r="T52" i="47"/>
  <c r="X234" i="55"/>
  <c r="T26" i="47"/>
  <c r="X193" i="55"/>
  <c r="U48" i="47"/>
  <c r="Y157" i="55"/>
  <c r="X15" i="47"/>
  <c r="AB134" i="55"/>
  <c r="V35" i="47"/>
  <c r="Z75" i="55"/>
  <c r="X14" i="47"/>
  <c r="AB138" i="55"/>
  <c r="V38" i="47"/>
  <c r="Z78" i="55"/>
  <c r="W34" i="47"/>
  <c r="AA77" i="55"/>
  <c r="T23" i="47"/>
  <c r="X201" i="55"/>
  <c r="T54" i="47"/>
  <c r="X241" i="55"/>
  <c r="U39" i="47"/>
  <c r="Y76" i="55"/>
  <c r="T21" i="47"/>
  <c r="X194" i="55"/>
  <c r="U53" i="47"/>
  <c r="Y236" i="55"/>
  <c r="T60" i="47"/>
  <c r="X238" i="55"/>
  <c r="W36" i="47"/>
  <c r="AA71" i="55"/>
  <c r="U31" i="47"/>
  <c r="Y72" i="55"/>
  <c r="U132" i="47"/>
  <c r="Y253" i="55"/>
  <c r="V41" i="47"/>
  <c r="Z81" i="55"/>
  <c r="T29" i="47"/>
  <c r="X198" i="55"/>
  <c r="W37" i="47"/>
  <c r="AA73" i="55"/>
  <c r="T24" i="47"/>
  <c r="X199" i="55"/>
  <c r="U25" i="47"/>
  <c r="Y197" i="55"/>
  <c r="Y17" i="47"/>
  <c r="AC141" i="55"/>
  <c r="X19" i="47"/>
  <c r="AB144" i="55"/>
  <c r="U55" i="47"/>
  <c r="Y239" i="55"/>
  <c r="T27" i="47"/>
  <c r="X195" i="55"/>
  <c r="T59" i="47"/>
  <c r="X240" i="55"/>
  <c r="Y12" i="47"/>
  <c r="AC142" i="55"/>
  <c r="T30" i="47"/>
  <c r="X203" i="55"/>
  <c r="AV227" i="58" l="1"/>
  <c r="AN265" i="58" s="1"/>
  <c r="AV226" i="58"/>
  <c r="AN264" i="58" s="1"/>
  <c r="X18" i="47"/>
  <c r="U46" i="47"/>
  <c r="X16" i="47"/>
  <c r="AB136" i="55"/>
  <c r="AB137" i="55"/>
  <c r="X11" i="47"/>
  <c r="V32" i="47"/>
  <c r="Z74" i="55"/>
  <c r="U49" i="47"/>
  <c r="Y162" i="55"/>
  <c r="U47" i="47"/>
  <c r="Y155" i="55"/>
  <c r="U44" i="47"/>
  <c r="Y163" i="55"/>
  <c r="U45" i="47"/>
  <c r="Y161" i="55"/>
  <c r="X10" i="47"/>
  <c r="AB135" i="55"/>
  <c r="Y158" i="55"/>
  <c r="U43" i="47"/>
  <c r="U50" i="47"/>
  <c r="Y160" i="55"/>
  <c r="Y14" i="47"/>
  <c r="AC138" i="55"/>
  <c r="U30" i="47"/>
  <c r="Y203" i="55"/>
  <c r="Y19" i="47"/>
  <c r="AC144" i="55"/>
  <c r="X37" i="47"/>
  <c r="AB73" i="55"/>
  <c r="U60" i="47"/>
  <c r="Y238" i="55"/>
  <c r="U54" i="47"/>
  <c r="Y241" i="55"/>
  <c r="U22" i="47"/>
  <c r="Y196" i="55"/>
  <c r="V39" i="47"/>
  <c r="Z76" i="55"/>
  <c r="Z12" i="47"/>
  <c r="AD142" i="55"/>
  <c r="Z17" i="47"/>
  <c r="AD141" i="55"/>
  <c r="U29" i="47"/>
  <c r="Y198" i="55"/>
  <c r="V53" i="47"/>
  <c r="Z236" i="55"/>
  <c r="U23" i="47"/>
  <c r="Y201" i="55"/>
  <c r="U52" i="47"/>
  <c r="Y234" i="55"/>
  <c r="V28" i="47"/>
  <c r="Z200" i="55"/>
  <c r="U59" i="47"/>
  <c r="Y240" i="55"/>
  <c r="V25" i="47"/>
  <c r="Z197" i="55"/>
  <c r="W41" i="47"/>
  <c r="AA81" i="55"/>
  <c r="U21" i="47"/>
  <c r="Y194" i="55"/>
  <c r="X34" i="47"/>
  <c r="AB77" i="55"/>
  <c r="W35" i="47"/>
  <c r="AA75" i="55"/>
  <c r="W40" i="47"/>
  <c r="AA88" i="55"/>
  <c r="V57" i="47"/>
  <c r="Z233" i="55"/>
  <c r="U26" i="47"/>
  <c r="Y193" i="55"/>
  <c r="W33" i="47"/>
  <c r="AA79" i="55"/>
  <c r="U27" i="47"/>
  <c r="Y195" i="55"/>
  <c r="V46" i="47"/>
  <c r="Z159" i="55"/>
  <c r="V132" i="47"/>
  <c r="Z253" i="55"/>
  <c r="Y15" i="47"/>
  <c r="AC134" i="55"/>
  <c r="Y13" i="47"/>
  <c r="AC140" i="55"/>
  <c r="U56" i="47"/>
  <c r="Y237" i="55"/>
  <c r="V51" i="47"/>
  <c r="Z165" i="55"/>
  <c r="X36" i="47"/>
  <c r="AB71" i="55"/>
  <c r="Y20" i="47"/>
  <c r="AC151" i="55"/>
  <c r="V55" i="47"/>
  <c r="Z239" i="55"/>
  <c r="U24" i="47"/>
  <c r="Y199" i="55"/>
  <c r="V31" i="47"/>
  <c r="Z72" i="55"/>
  <c r="Y18" i="47"/>
  <c r="AC139" i="55"/>
  <c r="W38" i="47"/>
  <c r="AA78" i="55"/>
  <c r="V48" i="47"/>
  <c r="Z157" i="55"/>
  <c r="V58" i="47"/>
  <c r="Z235" i="55"/>
  <c r="U42" i="47"/>
  <c r="Y156" i="55"/>
  <c r="U61" i="47"/>
  <c r="Y243" i="55"/>
  <c r="AO264" i="58" l="1"/>
  <c r="AK119" i="47"/>
  <c r="AO265" i="58"/>
  <c r="AK125" i="47"/>
  <c r="Y16" i="47"/>
  <c r="AC136" i="55"/>
  <c r="Y11" i="47"/>
  <c r="AC137" i="55"/>
  <c r="W32" i="47"/>
  <c r="AA74" i="55"/>
  <c r="V47" i="47"/>
  <c r="Z155" i="55"/>
  <c r="V49" i="47"/>
  <c r="Z162" i="55"/>
  <c r="V44" i="47"/>
  <c r="Z163" i="55"/>
  <c r="V45" i="47"/>
  <c r="Z161" i="55"/>
  <c r="V43" i="47"/>
  <c r="Z158" i="55"/>
  <c r="Y10" i="47"/>
  <c r="AC135" i="55"/>
  <c r="V50" i="47"/>
  <c r="Z160" i="55"/>
  <c r="Z18" i="47"/>
  <c r="AD139" i="55"/>
  <c r="V54" i="47"/>
  <c r="Z241" i="55"/>
  <c r="V61" i="47"/>
  <c r="Z243" i="55"/>
  <c r="W31" i="47"/>
  <c r="AA72" i="55"/>
  <c r="W51" i="47"/>
  <c r="AA165" i="55"/>
  <c r="W132" i="47"/>
  <c r="AA253" i="55"/>
  <c r="W25" i="47"/>
  <c r="AA197" i="55"/>
  <c r="W39" i="47"/>
  <c r="AA76" i="55"/>
  <c r="V60" i="47"/>
  <c r="Z238" i="55"/>
  <c r="W57" i="47"/>
  <c r="AA233" i="55"/>
  <c r="V24" i="47"/>
  <c r="Z199" i="55"/>
  <c r="V56" i="47"/>
  <c r="Z237" i="55"/>
  <c r="W46" i="47"/>
  <c r="AA159" i="55"/>
  <c r="X40" i="47"/>
  <c r="AB88" i="55"/>
  <c r="V59" i="47"/>
  <c r="Z240" i="55"/>
  <c r="V23" i="47"/>
  <c r="Z201" i="55"/>
  <c r="Y37" i="47"/>
  <c r="AC73" i="55"/>
  <c r="V52" i="47"/>
  <c r="Z234" i="55"/>
  <c r="W58" i="47"/>
  <c r="AA235" i="55"/>
  <c r="W55" i="47"/>
  <c r="AA239" i="55"/>
  <c r="Z13" i="47"/>
  <c r="AD140" i="55"/>
  <c r="V27" i="47"/>
  <c r="Z195" i="55"/>
  <c r="X35" i="47"/>
  <c r="AB75" i="55"/>
  <c r="W53" i="47"/>
  <c r="AA236" i="55"/>
  <c r="V22" i="47"/>
  <c r="Z196" i="55"/>
  <c r="Z19" i="47"/>
  <c r="AD144" i="55"/>
  <c r="AA12" i="47"/>
  <c r="AE142" i="55"/>
  <c r="V42" i="47"/>
  <c r="Z156" i="55"/>
  <c r="V30" i="47"/>
  <c r="Z203" i="55"/>
  <c r="Y36" i="47"/>
  <c r="AC71" i="55"/>
  <c r="Z20" i="47"/>
  <c r="AD151" i="55"/>
  <c r="W28" i="47"/>
  <c r="AA200" i="55"/>
  <c r="W48" i="47"/>
  <c r="AA157" i="55"/>
  <c r="Z15" i="47"/>
  <c r="AD134" i="55"/>
  <c r="Y34" i="47"/>
  <c r="AC77" i="55"/>
  <c r="V29" i="47"/>
  <c r="Z198" i="55"/>
  <c r="X38" i="47"/>
  <c r="AB78" i="55"/>
  <c r="V26" i="47"/>
  <c r="Z193" i="55"/>
  <c r="V21" i="47"/>
  <c r="Z194" i="55"/>
  <c r="AA17" i="47"/>
  <c r="AE141" i="55"/>
  <c r="Z14" i="47"/>
  <c r="AD138" i="55"/>
  <c r="X41" i="47"/>
  <c r="AB81" i="55"/>
  <c r="X33" i="47"/>
  <c r="AB79" i="55"/>
  <c r="AP265" i="58" l="1"/>
  <c r="AM125" i="47" s="1"/>
  <c r="AL125" i="47"/>
  <c r="AP264" i="58"/>
  <c r="AM119" i="47" s="1"/>
  <c r="AL119" i="47"/>
  <c r="Z16" i="47"/>
  <c r="AD136" i="55"/>
  <c r="Z11" i="47"/>
  <c r="AD137" i="55"/>
  <c r="X32" i="47"/>
  <c r="AB74" i="55"/>
  <c r="W49" i="47"/>
  <c r="AA162" i="55"/>
  <c r="W47" i="47"/>
  <c r="AA155" i="55"/>
  <c r="AA163" i="55"/>
  <c r="W44" i="47"/>
  <c r="W45" i="47"/>
  <c r="AA161" i="55"/>
  <c r="AD135" i="55"/>
  <c r="Z10" i="47"/>
  <c r="W43" i="47"/>
  <c r="AA158" i="55"/>
  <c r="W50" i="47"/>
  <c r="AA160" i="55"/>
  <c r="W29" i="47"/>
  <c r="AA198" i="55"/>
  <c r="Z36" i="47"/>
  <c r="AD71" i="55"/>
  <c r="W22" i="47"/>
  <c r="AA196" i="55"/>
  <c r="X55" i="47"/>
  <c r="AB239" i="55"/>
  <c r="W23" i="47"/>
  <c r="AA201" i="55"/>
  <c r="X57" i="47"/>
  <c r="AB233" i="55"/>
  <c r="X132" i="47"/>
  <c r="AB253" i="55"/>
  <c r="Z34" i="47"/>
  <c r="AD77" i="55"/>
  <c r="W26" i="47"/>
  <c r="AA193" i="55"/>
  <c r="AA15" i="47"/>
  <c r="AE134" i="55"/>
  <c r="W52" i="47"/>
  <c r="AA234" i="55"/>
  <c r="Y40" i="47"/>
  <c r="AC88" i="55"/>
  <c r="X39" i="47"/>
  <c r="AB76" i="55"/>
  <c r="X31" i="47"/>
  <c r="AB72" i="55"/>
  <c r="W59" i="47"/>
  <c r="AA240" i="55"/>
  <c r="W30" i="47"/>
  <c r="AA203" i="55"/>
  <c r="AA14" i="47"/>
  <c r="AE138" i="55"/>
  <c r="X48" i="47"/>
  <c r="AB157" i="55"/>
  <c r="W42" i="47"/>
  <c r="AA156" i="55"/>
  <c r="Y35" i="47"/>
  <c r="AC75" i="55"/>
  <c r="X46" i="47"/>
  <c r="AB159" i="55"/>
  <c r="W61" i="47"/>
  <c r="AA243" i="55"/>
  <c r="X53" i="47"/>
  <c r="AB236" i="55"/>
  <c r="X28" i="47"/>
  <c r="AB200" i="55"/>
  <c r="AB12" i="47"/>
  <c r="AF142" i="55"/>
  <c r="W27" i="47"/>
  <c r="AA195" i="55"/>
  <c r="Z37" i="47"/>
  <c r="AD73" i="55"/>
  <c r="W56" i="47"/>
  <c r="AA237" i="55"/>
  <c r="X25" i="47"/>
  <c r="AB197" i="55"/>
  <c r="W54" i="47"/>
  <c r="AA241" i="55"/>
  <c r="W21" i="47"/>
  <c r="AA194" i="55"/>
  <c r="X51" i="47"/>
  <c r="AB165" i="55"/>
  <c r="Y41" i="47"/>
  <c r="AC81" i="55"/>
  <c r="Y33" i="47"/>
  <c r="AC79" i="55"/>
  <c r="X58" i="47"/>
  <c r="AB235" i="55"/>
  <c r="AB17" i="47"/>
  <c r="AF141" i="55"/>
  <c r="Y38" i="47"/>
  <c r="AC78" i="55"/>
  <c r="AA20" i="47"/>
  <c r="AE151" i="55"/>
  <c r="AA19" i="47"/>
  <c r="AE144" i="55"/>
  <c r="AA13" i="47"/>
  <c r="AE140" i="55"/>
  <c r="W24" i="47"/>
  <c r="AA199" i="55"/>
  <c r="AA18" i="47"/>
  <c r="AE139" i="55"/>
  <c r="W60" i="47"/>
  <c r="AA238" i="55"/>
  <c r="AE136" i="55" l="1"/>
  <c r="AA16" i="47"/>
  <c r="AA11" i="47"/>
  <c r="AE137" i="55"/>
  <c r="Y32" i="47"/>
  <c r="AC74" i="55"/>
  <c r="X47" i="47"/>
  <c r="AB155" i="55"/>
  <c r="X49" i="47"/>
  <c r="AB162" i="55"/>
  <c r="X44" i="47"/>
  <c r="AB163" i="55"/>
  <c r="X45" i="47"/>
  <c r="AB161" i="55"/>
  <c r="AB158" i="55"/>
  <c r="X43" i="47"/>
  <c r="AA10" i="47"/>
  <c r="AE135" i="55"/>
  <c r="X50" i="47"/>
  <c r="AB160" i="55"/>
  <c r="AB13" i="47"/>
  <c r="AF140" i="55"/>
  <c r="Z33" i="47"/>
  <c r="AD79" i="55"/>
  <c r="X56" i="47"/>
  <c r="AB237" i="55"/>
  <c r="Z35" i="47"/>
  <c r="AD75" i="55"/>
  <c r="X59" i="47"/>
  <c r="AB240" i="55"/>
  <c r="X23" i="47"/>
  <c r="AB201" i="55"/>
  <c r="X60" i="47"/>
  <c r="AB238" i="55"/>
  <c r="AB19" i="47"/>
  <c r="AF144" i="55"/>
  <c r="Z41" i="47"/>
  <c r="AD81" i="55"/>
  <c r="AA37" i="47"/>
  <c r="AE73" i="55"/>
  <c r="Y53" i="47"/>
  <c r="AC236" i="55"/>
  <c r="X42" i="47"/>
  <c r="AB156" i="55"/>
  <c r="Y31" i="47"/>
  <c r="AC72" i="55"/>
  <c r="AB15" i="47"/>
  <c r="AF134" i="55"/>
  <c r="Y55" i="47"/>
  <c r="AC239" i="55"/>
  <c r="AB20" i="47"/>
  <c r="AF151" i="55"/>
  <c r="X61" i="47"/>
  <c r="AB243" i="55"/>
  <c r="Y48" i="47"/>
  <c r="AC157" i="55"/>
  <c r="Y39" i="47"/>
  <c r="AC76" i="55"/>
  <c r="X26" i="47"/>
  <c r="AB193" i="55"/>
  <c r="X22" i="47"/>
  <c r="AB196" i="55"/>
  <c r="Z38" i="47"/>
  <c r="AD78" i="55"/>
  <c r="X21" i="47"/>
  <c r="AB194" i="55"/>
  <c r="AC12" i="47"/>
  <c r="AG142" i="55"/>
  <c r="Z40" i="47"/>
  <c r="AD88" i="55"/>
  <c r="AA34" i="47"/>
  <c r="AE77" i="55"/>
  <c r="AA36" i="47"/>
  <c r="AE71" i="55"/>
  <c r="Y51" i="47"/>
  <c r="AC165" i="55"/>
  <c r="AC17" i="47"/>
  <c r="AG141" i="55"/>
  <c r="X54" i="47"/>
  <c r="AB241" i="55"/>
  <c r="Y28" i="47"/>
  <c r="AC200" i="55"/>
  <c r="Y46" i="47"/>
  <c r="AC159" i="55"/>
  <c r="AB14" i="47"/>
  <c r="AF138" i="55"/>
  <c r="X52" i="47"/>
  <c r="AB234" i="55"/>
  <c r="Y132" i="47"/>
  <c r="AC253" i="55"/>
  <c r="X29" i="47"/>
  <c r="AB198" i="55"/>
  <c r="AB18" i="47"/>
  <c r="AF139" i="55"/>
  <c r="X27" i="47"/>
  <c r="AB195" i="55"/>
  <c r="Y58" i="47"/>
  <c r="AC235" i="55"/>
  <c r="Y25" i="47"/>
  <c r="AC197" i="55"/>
  <c r="X30" i="47"/>
  <c r="AB203" i="55"/>
  <c r="Y57" i="47"/>
  <c r="AC233" i="55"/>
  <c r="X24" i="47"/>
  <c r="AB199" i="55"/>
  <c r="AF136" i="55" l="1"/>
  <c r="AB16" i="47"/>
  <c r="AB11" i="47"/>
  <c r="AF137" i="55"/>
  <c r="Z32" i="47"/>
  <c r="AD74" i="55"/>
  <c r="AC162" i="55"/>
  <c r="Y49" i="47"/>
  <c r="Y47" i="47"/>
  <c r="AC155" i="55"/>
  <c r="Y44" i="47"/>
  <c r="AC163" i="55"/>
  <c r="Y45" i="47"/>
  <c r="AC161" i="55"/>
  <c r="AB10" i="47"/>
  <c r="AF135" i="55"/>
  <c r="Y43" i="47"/>
  <c r="AC158" i="55"/>
  <c r="Y50" i="47"/>
  <c r="AC160" i="55"/>
  <c r="AC20" i="47"/>
  <c r="AG151" i="55"/>
  <c r="AC18" i="47"/>
  <c r="AG139" i="55"/>
  <c r="Z28" i="47"/>
  <c r="AD200" i="55"/>
  <c r="Y24" i="47"/>
  <c r="AC199" i="55"/>
  <c r="Y29" i="47"/>
  <c r="AC198" i="55"/>
  <c r="Y54" i="47"/>
  <c r="AC241" i="55"/>
  <c r="Y22" i="47"/>
  <c r="AC196" i="55"/>
  <c r="Z55" i="47"/>
  <c r="AD239" i="55"/>
  <c r="AA41" i="47"/>
  <c r="AE81" i="55"/>
  <c r="AA35" i="47"/>
  <c r="AE75" i="55"/>
  <c r="Z25" i="47"/>
  <c r="AD197" i="55"/>
  <c r="Z132" i="47"/>
  <c r="AD253" i="55"/>
  <c r="AD17" i="47"/>
  <c r="AH141" i="55"/>
  <c r="Y26" i="47"/>
  <c r="AC193" i="55"/>
  <c r="AC15" i="47"/>
  <c r="AG134" i="55"/>
  <c r="AC19" i="47"/>
  <c r="AG144" i="55"/>
  <c r="AA40" i="47"/>
  <c r="AE88" i="55"/>
  <c r="AB37" i="47"/>
  <c r="AF73" i="55"/>
  <c r="Z57" i="47"/>
  <c r="AD233" i="55"/>
  <c r="Z58" i="47"/>
  <c r="AD235" i="55"/>
  <c r="Y52" i="47"/>
  <c r="AC234" i="55"/>
  <c r="Z51" i="47"/>
  <c r="AD165" i="55"/>
  <c r="AD12" i="47"/>
  <c r="AH142" i="55"/>
  <c r="Z39" i="47"/>
  <c r="AD76" i="55"/>
  <c r="Z31" i="47"/>
  <c r="AD72" i="55"/>
  <c r="Y60" i="47"/>
  <c r="AC238" i="55"/>
  <c r="Y56" i="47"/>
  <c r="AC237" i="55"/>
  <c r="Y59" i="47"/>
  <c r="AC240" i="55"/>
  <c r="AC14" i="47"/>
  <c r="AG138" i="55"/>
  <c r="AB36" i="47"/>
  <c r="AF71" i="55"/>
  <c r="Y21" i="47"/>
  <c r="AC194" i="55"/>
  <c r="Z48" i="47"/>
  <c r="AD157" i="55"/>
  <c r="Y42" i="47"/>
  <c r="AC156" i="55"/>
  <c r="Y23" i="47"/>
  <c r="AC201" i="55"/>
  <c r="AA33" i="47"/>
  <c r="AE79" i="55"/>
  <c r="Y30" i="47"/>
  <c r="AC203" i="55"/>
  <c r="Y27" i="47"/>
  <c r="AC195" i="55"/>
  <c r="Z46" i="47"/>
  <c r="AD159" i="55"/>
  <c r="AB34" i="47"/>
  <c r="AF77" i="55"/>
  <c r="AA38" i="47"/>
  <c r="AE78" i="55"/>
  <c r="Y61" i="47"/>
  <c r="AC243" i="55"/>
  <c r="Z53" i="47"/>
  <c r="AD236" i="55"/>
  <c r="AC13" i="47"/>
  <c r="AG140" i="55"/>
  <c r="AC16" i="47" l="1"/>
  <c r="AG136" i="55"/>
  <c r="AC11" i="47"/>
  <c r="AG137" i="55"/>
  <c r="AE74" i="55"/>
  <c r="AA32" i="47"/>
  <c r="Z47" i="47"/>
  <c r="AD155" i="55"/>
  <c r="Z49" i="47"/>
  <c r="AD162" i="55"/>
  <c r="Z44" i="47"/>
  <c r="AD163" i="55"/>
  <c r="Z45" i="47"/>
  <c r="AD161" i="55"/>
  <c r="Z43" i="47"/>
  <c r="AD158" i="55"/>
  <c r="AC10" i="47"/>
  <c r="AG135" i="55"/>
  <c r="Z50" i="47"/>
  <c r="AD160" i="55"/>
  <c r="AC34" i="47"/>
  <c r="AG77" i="55"/>
  <c r="AC36" i="47"/>
  <c r="AG71" i="55"/>
  <c r="Z60" i="47"/>
  <c r="AD238" i="55"/>
  <c r="AA58" i="47"/>
  <c r="AE235" i="55"/>
  <c r="AD15" i="47"/>
  <c r="AH134" i="55"/>
  <c r="Z54" i="47"/>
  <c r="AD241" i="55"/>
  <c r="AB33" i="47"/>
  <c r="AF79" i="55"/>
  <c r="AD14" i="47"/>
  <c r="AH138" i="55"/>
  <c r="AA31" i="47"/>
  <c r="AE72" i="55"/>
  <c r="AA57" i="47"/>
  <c r="AE233" i="55"/>
  <c r="Z26" i="47"/>
  <c r="AD193" i="55"/>
  <c r="AB35" i="47"/>
  <c r="AF75" i="55"/>
  <c r="Z29" i="47"/>
  <c r="AD198" i="55"/>
  <c r="AA39" i="47"/>
  <c r="AE76" i="55"/>
  <c r="AB41" i="47"/>
  <c r="AF81" i="55"/>
  <c r="Z24" i="47"/>
  <c r="AD199" i="55"/>
  <c r="Z23" i="47"/>
  <c r="AD201" i="55"/>
  <c r="Z27" i="47"/>
  <c r="AD195" i="55"/>
  <c r="AA53" i="47"/>
  <c r="AE236" i="55"/>
  <c r="Z30" i="47"/>
  <c r="AD203" i="55"/>
  <c r="Z42" i="47"/>
  <c r="AD156" i="55"/>
  <c r="AE12" i="47"/>
  <c r="AI142" i="55"/>
  <c r="AB40" i="47"/>
  <c r="AF88" i="55"/>
  <c r="AE17" i="47"/>
  <c r="AI141" i="55"/>
  <c r="AA55" i="47"/>
  <c r="AE239" i="55"/>
  <c r="AA28" i="47"/>
  <c r="AE200" i="55"/>
  <c r="AA46" i="47"/>
  <c r="AE159" i="55"/>
  <c r="Z61" i="47"/>
  <c r="AD243" i="55"/>
  <c r="AA48" i="47"/>
  <c r="AE157" i="55"/>
  <c r="Z59" i="47"/>
  <c r="AD240" i="55"/>
  <c r="AA51" i="47"/>
  <c r="AE165" i="55"/>
  <c r="AA132" i="47"/>
  <c r="AE253" i="55"/>
  <c r="Z22" i="47"/>
  <c r="AD196" i="55"/>
  <c r="AD18" i="47"/>
  <c r="AH139" i="55"/>
  <c r="AD13" i="47"/>
  <c r="AH140" i="55"/>
  <c r="AC37" i="47"/>
  <c r="AG73" i="55"/>
  <c r="AB38" i="47"/>
  <c r="AF78" i="55"/>
  <c r="Z21" i="47"/>
  <c r="AD194" i="55"/>
  <c r="Z56" i="47"/>
  <c r="AD237" i="55"/>
  <c r="Z52" i="47"/>
  <c r="AD234" i="55"/>
  <c r="AD19" i="47"/>
  <c r="AH144" i="55"/>
  <c r="AA25" i="47"/>
  <c r="AE197" i="55"/>
  <c r="AD20" i="47"/>
  <c r="AH151" i="55"/>
  <c r="AD16" i="47" l="1"/>
  <c r="AH136" i="55"/>
  <c r="AD11" i="47"/>
  <c r="AH137" i="55"/>
  <c r="AB32" i="47"/>
  <c r="AF74" i="55"/>
  <c r="AA49" i="47"/>
  <c r="AE162" i="55"/>
  <c r="AA47" i="47"/>
  <c r="AE155" i="55"/>
  <c r="AA44" i="47"/>
  <c r="AE163" i="55"/>
  <c r="AA45" i="47"/>
  <c r="AE161" i="55"/>
  <c r="AH135" i="55"/>
  <c r="AD10" i="47"/>
  <c r="AA43" i="47"/>
  <c r="AE158" i="55"/>
  <c r="AA50" i="47"/>
  <c r="AE160" i="55"/>
  <c r="AA56" i="47"/>
  <c r="AE237" i="55"/>
  <c r="AA59" i="47"/>
  <c r="AE240" i="55"/>
  <c r="AB28" i="47"/>
  <c r="AF200" i="55"/>
  <c r="AA42" i="47"/>
  <c r="AE156" i="55"/>
  <c r="AC41" i="47"/>
  <c r="AG81" i="55"/>
  <c r="AB57" i="47"/>
  <c r="AF233" i="55"/>
  <c r="AE15" i="47"/>
  <c r="AI134" i="55"/>
  <c r="AE20" i="47"/>
  <c r="AI151" i="55"/>
  <c r="AA21" i="47"/>
  <c r="AE194" i="55"/>
  <c r="AE18" i="47"/>
  <c r="AI139" i="55"/>
  <c r="AB48" i="47"/>
  <c r="AF157" i="55"/>
  <c r="AB55" i="47"/>
  <c r="AF239" i="55"/>
  <c r="AA30" i="47"/>
  <c r="AE203" i="55"/>
  <c r="AB31" i="47"/>
  <c r="AF72" i="55"/>
  <c r="AB58" i="47"/>
  <c r="AF235" i="55"/>
  <c r="AA22" i="47"/>
  <c r="AE196" i="55"/>
  <c r="AB53" i="47"/>
  <c r="AF236" i="55"/>
  <c r="AB39" i="47"/>
  <c r="AF76" i="55"/>
  <c r="AE14" i="47"/>
  <c r="AI138" i="55"/>
  <c r="AA60" i="47"/>
  <c r="AE238" i="55"/>
  <c r="AF17" i="47"/>
  <c r="AJ141" i="55"/>
  <c r="AB25" i="47"/>
  <c r="AF197" i="55"/>
  <c r="AA61" i="47"/>
  <c r="AE243" i="55"/>
  <c r="AC40" i="47"/>
  <c r="AG88" i="55"/>
  <c r="AA27" i="47"/>
  <c r="AE195" i="55"/>
  <c r="AA29" i="47"/>
  <c r="AE198" i="55"/>
  <c r="AC33" i="47"/>
  <c r="AG79" i="55"/>
  <c r="AD36" i="47"/>
  <c r="AH71" i="55"/>
  <c r="AE19" i="47"/>
  <c r="AI144" i="55"/>
  <c r="AD37" i="47"/>
  <c r="AH73" i="55"/>
  <c r="AF12" i="47"/>
  <c r="AJ142" i="55"/>
  <c r="AA23" i="47"/>
  <c r="AE201" i="55"/>
  <c r="AC35" i="47"/>
  <c r="AG75" i="55"/>
  <c r="AA54" i="47"/>
  <c r="AE241" i="55"/>
  <c r="AB132" i="47"/>
  <c r="AF253" i="55"/>
  <c r="AA52" i="47"/>
  <c r="AE234" i="55"/>
  <c r="AE13" i="47"/>
  <c r="AI140" i="55"/>
  <c r="AB51" i="47"/>
  <c r="AF165" i="55"/>
  <c r="AB46" i="47"/>
  <c r="AF159" i="55"/>
  <c r="AA24" i="47"/>
  <c r="AE199" i="55"/>
  <c r="AA26" i="47"/>
  <c r="AE193" i="55"/>
  <c r="AD34" i="47"/>
  <c r="AH77" i="55"/>
  <c r="AC38" i="47"/>
  <c r="AG78" i="55"/>
  <c r="AI136" i="55" l="1"/>
  <c r="AE16" i="47"/>
  <c r="AE11" i="47"/>
  <c r="AI137" i="55"/>
  <c r="AC32" i="47"/>
  <c r="AG74" i="55"/>
  <c r="AB47" i="47"/>
  <c r="AF155" i="55"/>
  <c r="AB49" i="47"/>
  <c r="AF162" i="55"/>
  <c r="AF163" i="55"/>
  <c r="AB44" i="47"/>
  <c r="AF161" i="55"/>
  <c r="AB45" i="47"/>
  <c r="AB43" i="47"/>
  <c r="AF158" i="55"/>
  <c r="AI135" i="55"/>
  <c r="AE10" i="47"/>
  <c r="AB50" i="47"/>
  <c r="AF160" i="55"/>
  <c r="AD33" i="47"/>
  <c r="AH79" i="55"/>
  <c r="AG17" i="47"/>
  <c r="AK141" i="55"/>
  <c r="AB22" i="47"/>
  <c r="AF196" i="55"/>
  <c r="AC48" i="47"/>
  <c r="AG157" i="55"/>
  <c r="AD41" i="47"/>
  <c r="AH81" i="55"/>
  <c r="AD38" i="47"/>
  <c r="AH78" i="55"/>
  <c r="AC46" i="47"/>
  <c r="AG159" i="55"/>
  <c r="AB29" i="47"/>
  <c r="AF198" i="55"/>
  <c r="AC58" i="47"/>
  <c r="AG235" i="55"/>
  <c r="AF18" i="47"/>
  <c r="AJ139" i="55"/>
  <c r="AB42" i="47"/>
  <c r="AF156" i="55"/>
  <c r="AB60" i="47"/>
  <c r="AF238" i="55"/>
  <c r="AC31" i="47"/>
  <c r="AG72" i="55"/>
  <c r="AB21" i="47"/>
  <c r="AF194" i="55"/>
  <c r="AC28" i="47"/>
  <c r="AG200" i="55"/>
  <c r="AE34" i="47"/>
  <c r="AI77" i="55"/>
  <c r="AF13" i="47"/>
  <c r="AJ140" i="55"/>
  <c r="AD35" i="47"/>
  <c r="AH75" i="55"/>
  <c r="AF19" i="47"/>
  <c r="AJ144" i="55"/>
  <c r="AD40" i="47"/>
  <c r="AH88" i="55"/>
  <c r="AF14" i="47"/>
  <c r="AJ138" i="55"/>
  <c r="AF20" i="47"/>
  <c r="AJ151" i="55"/>
  <c r="AB59" i="47"/>
  <c r="AF240" i="55"/>
  <c r="AB27" i="47"/>
  <c r="AF195" i="55"/>
  <c r="AB52" i="47"/>
  <c r="AF234" i="55"/>
  <c r="AB23" i="47"/>
  <c r="AF201" i="55"/>
  <c r="AB61" i="47"/>
  <c r="AF243" i="55"/>
  <c r="AC39" i="47"/>
  <c r="AG76" i="55"/>
  <c r="AB30" i="47"/>
  <c r="AF203" i="55"/>
  <c r="AF15" i="47"/>
  <c r="AJ134" i="55"/>
  <c r="AB54" i="47"/>
  <c r="AF241" i="55"/>
  <c r="AE37" i="47"/>
  <c r="AI73" i="55"/>
  <c r="AB26" i="47"/>
  <c r="AF193" i="55"/>
  <c r="AC132" i="47"/>
  <c r="AG253" i="55"/>
  <c r="AC51" i="47"/>
  <c r="AG165" i="55"/>
  <c r="AB24" i="47"/>
  <c r="AF199" i="55"/>
  <c r="AG12" i="47"/>
  <c r="AK142" i="55"/>
  <c r="AE36" i="47"/>
  <c r="AI71" i="55"/>
  <c r="AC25" i="47"/>
  <c r="AG197" i="55"/>
  <c r="AC53" i="47"/>
  <c r="AG236" i="55"/>
  <c r="AC55" i="47"/>
  <c r="AG239" i="55"/>
  <c r="AC57" i="47"/>
  <c r="AG233" i="55"/>
  <c r="AB56" i="47"/>
  <c r="AF237" i="55"/>
  <c r="AF16" i="47" l="1"/>
  <c r="AJ136" i="55"/>
  <c r="AF11" i="47"/>
  <c r="AJ137" i="55"/>
  <c r="AD32" i="47"/>
  <c r="AH74" i="55"/>
  <c r="AC49" i="47"/>
  <c r="AG162" i="55"/>
  <c r="AC47" i="47"/>
  <c r="AG155" i="55"/>
  <c r="AC44" i="47"/>
  <c r="AG163" i="55"/>
  <c r="AC45" i="47"/>
  <c r="AG161" i="55"/>
  <c r="AF10" i="47"/>
  <c r="AJ135" i="55"/>
  <c r="AG158" i="55"/>
  <c r="AC43" i="47"/>
  <c r="AC50" i="47"/>
  <c r="AG160" i="55"/>
  <c r="AC56" i="47"/>
  <c r="AG237" i="55"/>
  <c r="AH17" i="47"/>
  <c r="AL141" i="55"/>
  <c r="AF36" i="47"/>
  <c r="AJ71" i="55"/>
  <c r="AF37" i="47"/>
  <c r="AJ73" i="55"/>
  <c r="AC61" i="47"/>
  <c r="AG243" i="55"/>
  <c r="AG20" i="47"/>
  <c r="AK151" i="55"/>
  <c r="AG13" i="47"/>
  <c r="AK140" i="55"/>
  <c r="AC60" i="47"/>
  <c r="AG238" i="55"/>
  <c r="AC22" i="47"/>
  <c r="AG196" i="55"/>
  <c r="AD57" i="47"/>
  <c r="AH233" i="55"/>
  <c r="AC24" i="47"/>
  <c r="AG199" i="55"/>
  <c r="AC23" i="47"/>
  <c r="AG201" i="55"/>
  <c r="AG14" i="47"/>
  <c r="AK138" i="55"/>
  <c r="AF34" i="47"/>
  <c r="AJ77" i="55"/>
  <c r="AG18" i="47"/>
  <c r="AK139" i="55"/>
  <c r="AD46" i="47"/>
  <c r="AH159" i="55"/>
  <c r="AE33" i="47"/>
  <c r="AI79" i="55"/>
  <c r="AC54" i="47"/>
  <c r="AG241" i="55"/>
  <c r="AG15" i="47"/>
  <c r="AK134" i="55"/>
  <c r="AC52" i="47"/>
  <c r="AG234" i="55"/>
  <c r="AE40" i="47"/>
  <c r="AI88" i="55"/>
  <c r="AD28" i="47"/>
  <c r="AH200" i="55"/>
  <c r="AD58" i="47"/>
  <c r="AH235" i="55"/>
  <c r="AE38" i="47"/>
  <c r="AI78" i="55"/>
  <c r="AH12" i="47"/>
  <c r="AL142" i="55"/>
  <c r="AD53" i="47"/>
  <c r="AH236" i="55"/>
  <c r="AD132" i="47"/>
  <c r="AH253" i="55"/>
  <c r="AC30" i="47"/>
  <c r="AG203" i="55"/>
  <c r="AC27" i="47"/>
  <c r="AG195" i="55"/>
  <c r="AG19" i="47"/>
  <c r="AK144" i="55"/>
  <c r="AC21" i="47"/>
  <c r="AG194" i="55"/>
  <c r="AE41" i="47"/>
  <c r="AI81" i="55"/>
  <c r="AC42" i="47"/>
  <c r="AG156" i="55"/>
  <c r="AD51" i="47"/>
  <c r="AH165" i="55"/>
  <c r="AD25" i="47"/>
  <c r="AH197" i="55"/>
  <c r="AC26" i="47"/>
  <c r="AG193" i="55"/>
  <c r="AD39" i="47"/>
  <c r="AH76" i="55"/>
  <c r="AC59" i="47"/>
  <c r="AG240" i="55"/>
  <c r="AE35" i="47"/>
  <c r="AI75" i="55"/>
  <c r="AD31" i="47"/>
  <c r="AH72" i="55"/>
  <c r="AC29" i="47"/>
  <c r="AG198" i="55"/>
  <c r="AD48" i="47"/>
  <c r="AH157" i="55"/>
  <c r="AD55" i="47"/>
  <c r="AH239" i="55"/>
  <c r="AG16" i="47" l="1"/>
  <c r="AK136" i="55"/>
  <c r="AK137" i="55"/>
  <c r="AG11" i="47"/>
  <c r="AE32" i="47"/>
  <c r="AI74" i="55"/>
  <c r="AD47" i="47"/>
  <c r="AH155" i="55"/>
  <c r="AD49" i="47"/>
  <c r="AH162" i="55"/>
  <c r="AD44" i="47"/>
  <c r="AH163" i="55"/>
  <c r="AD45" i="47"/>
  <c r="AH161" i="55"/>
  <c r="AH158" i="55"/>
  <c r="AD43" i="47"/>
  <c r="AG10" i="47"/>
  <c r="AK135" i="55"/>
  <c r="AD50" i="47"/>
  <c r="AH160" i="55"/>
  <c r="AF35" i="47"/>
  <c r="AJ75" i="55"/>
  <c r="AE51" i="47"/>
  <c r="AI165" i="55"/>
  <c r="AH19" i="47"/>
  <c r="AL144" i="55"/>
  <c r="AD52" i="47"/>
  <c r="AH234" i="55"/>
  <c r="AH18" i="47"/>
  <c r="AL139" i="55"/>
  <c r="AE57" i="47"/>
  <c r="AI233" i="55"/>
  <c r="AH20" i="47"/>
  <c r="AL151" i="55"/>
  <c r="AE55" i="47"/>
  <c r="AI239" i="55"/>
  <c r="AD59" i="47"/>
  <c r="AH240" i="55"/>
  <c r="AD42" i="47"/>
  <c r="AH156" i="55"/>
  <c r="AD27" i="47"/>
  <c r="AH195" i="55"/>
  <c r="AH15" i="47"/>
  <c r="AL134" i="55"/>
  <c r="AG34" i="47"/>
  <c r="AK77" i="55"/>
  <c r="AD61" i="47"/>
  <c r="AH243" i="55"/>
  <c r="AE39" i="47"/>
  <c r="AI76" i="55"/>
  <c r="AD30" i="47"/>
  <c r="AH203" i="55"/>
  <c r="AF38" i="47"/>
  <c r="AJ78" i="55"/>
  <c r="AH14" i="47"/>
  <c r="AL138" i="55"/>
  <c r="AD22" i="47"/>
  <c r="AH196" i="55"/>
  <c r="AG37" i="47"/>
  <c r="AK73" i="55"/>
  <c r="AE48" i="47"/>
  <c r="AI157" i="55"/>
  <c r="AD26" i="47"/>
  <c r="AH193" i="55"/>
  <c r="AF41" i="47"/>
  <c r="AJ81" i="55"/>
  <c r="AE132" i="47"/>
  <c r="AI253" i="55"/>
  <c r="AE58" i="47"/>
  <c r="AI235" i="55"/>
  <c r="AD54" i="47"/>
  <c r="AH241" i="55"/>
  <c r="AD23" i="47"/>
  <c r="AH201" i="55"/>
  <c r="AG36" i="47"/>
  <c r="AK71" i="55"/>
  <c r="AD29" i="47"/>
  <c r="AH198" i="55"/>
  <c r="AE25" i="47"/>
  <c r="AI197" i="55"/>
  <c r="AE53" i="47"/>
  <c r="AI236" i="55"/>
  <c r="AE28" i="47"/>
  <c r="AI200" i="55"/>
  <c r="AF33" i="47"/>
  <c r="AJ79" i="55"/>
  <c r="AD60" i="47"/>
  <c r="AH238" i="55"/>
  <c r="AI17" i="47"/>
  <c r="AM141" i="55"/>
  <c r="AE31" i="47"/>
  <c r="AI72" i="55"/>
  <c r="AD21" i="47"/>
  <c r="AH194" i="55"/>
  <c r="AI12" i="47"/>
  <c r="AM142" i="55"/>
  <c r="AF40" i="47"/>
  <c r="AJ88" i="55"/>
  <c r="AE46" i="47"/>
  <c r="AI159" i="55"/>
  <c r="AD24" i="47"/>
  <c r="AH199" i="55"/>
  <c r="AH13" i="47"/>
  <c r="AL140" i="55"/>
  <c r="AD56" i="47"/>
  <c r="AH237" i="55"/>
  <c r="AH16" i="47" l="1"/>
  <c r="AL136" i="55"/>
  <c r="AH11" i="47"/>
  <c r="AL137" i="55"/>
  <c r="AF32" i="47"/>
  <c r="AJ74" i="55"/>
  <c r="AE49" i="47"/>
  <c r="AI162" i="55"/>
  <c r="AE47" i="47"/>
  <c r="AI155" i="55"/>
  <c r="AE44" i="47"/>
  <c r="AI163" i="55"/>
  <c r="AE45" i="47"/>
  <c r="AI161" i="55"/>
  <c r="AH10" i="47"/>
  <c r="AL135" i="55"/>
  <c r="AI158" i="55"/>
  <c r="AE43" i="47"/>
  <c r="AI160" i="55"/>
  <c r="AE50" i="47"/>
  <c r="AE29" i="47"/>
  <c r="AI198" i="55"/>
  <c r="AF132" i="47"/>
  <c r="AJ253" i="55"/>
  <c r="AI14" i="47"/>
  <c r="AM138" i="55"/>
  <c r="AE27" i="47"/>
  <c r="AI195" i="55"/>
  <c r="AI18" i="47"/>
  <c r="AM139" i="55"/>
  <c r="AJ12" i="47"/>
  <c r="AN142" i="55"/>
  <c r="AE56" i="47"/>
  <c r="AI237" i="55"/>
  <c r="AH36" i="47"/>
  <c r="AL71" i="55"/>
  <c r="AG41" i="47"/>
  <c r="AK81" i="55"/>
  <c r="AE61" i="47"/>
  <c r="AI243" i="55"/>
  <c r="AE42" i="47"/>
  <c r="AI156" i="55"/>
  <c r="AE52" i="47"/>
  <c r="AI234" i="55"/>
  <c r="AE26" i="47"/>
  <c r="AI193" i="55"/>
  <c r="AG38" i="47"/>
  <c r="AK78" i="55"/>
  <c r="AE59" i="47"/>
  <c r="AI240" i="55"/>
  <c r="AE24" i="47"/>
  <c r="AI199" i="55"/>
  <c r="AF31" i="47"/>
  <c r="AJ72" i="55"/>
  <c r="AF53" i="47"/>
  <c r="AJ236" i="55"/>
  <c r="AE23" i="47"/>
  <c r="AI201" i="55"/>
  <c r="AF48" i="47"/>
  <c r="AJ157" i="55"/>
  <c r="AE30" i="47"/>
  <c r="AI203" i="55"/>
  <c r="AH34" i="47"/>
  <c r="AL77" i="55"/>
  <c r="AF55" i="47"/>
  <c r="AJ239" i="55"/>
  <c r="AI19" i="47"/>
  <c r="AM144" i="55"/>
  <c r="AI13" i="47"/>
  <c r="AM140" i="55"/>
  <c r="AG33" i="47"/>
  <c r="AK79" i="55"/>
  <c r="AF46" i="47"/>
  <c r="AJ159" i="55"/>
  <c r="AJ17" i="47"/>
  <c r="AN141" i="55"/>
  <c r="AE54" i="47"/>
  <c r="AI241" i="55"/>
  <c r="AH37" i="47"/>
  <c r="AL73" i="55"/>
  <c r="AI15" i="47"/>
  <c r="AM134" i="55"/>
  <c r="AI20" i="47"/>
  <c r="AM151" i="55"/>
  <c r="AF51" i="47"/>
  <c r="AJ165" i="55"/>
  <c r="AE21" i="47"/>
  <c r="AI194" i="55"/>
  <c r="AF28" i="47"/>
  <c r="AJ200" i="55"/>
  <c r="AG40" i="47"/>
  <c r="AK88" i="55"/>
  <c r="AE60" i="47"/>
  <c r="AI238" i="55"/>
  <c r="AF25" i="47"/>
  <c r="AJ197" i="55"/>
  <c r="AF58" i="47"/>
  <c r="AJ235" i="55"/>
  <c r="AE22" i="47"/>
  <c r="AI196" i="55"/>
  <c r="AF39" i="47"/>
  <c r="AJ76" i="55"/>
  <c r="AF57" i="47"/>
  <c r="AJ233" i="55"/>
  <c r="AG35" i="47"/>
  <c r="AK75" i="55"/>
  <c r="AI16" i="47" l="1"/>
  <c r="AM136" i="55"/>
  <c r="AI11" i="47"/>
  <c r="AM137" i="55"/>
  <c r="AG32" i="47"/>
  <c r="AK74" i="55"/>
  <c r="AF47" i="47"/>
  <c r="AJ155" i="55"/>
  <c r="AF49" i="47"/>
  <c r="AJ162" i="55"/>
  <c r="AF44" i="47"/>
  <c r="AJ163" i="55"/>
  <c r="AJ161" i="55"/>
  <c r="AF45" i="47"/>
  <c r="AF43" i="47"/>
  <c r="AJ158" i="55"/>
  <c r="AI10" i="47"/>
  <c r="AM135" i="55"/>
  <c r="AF50" i="47"/>
  <c r="AJ160" i="55"/>
  <c r="AG58" i="47"/>
  <c r="AK235" i="55"/>
  <c r="AG25" i="47"/>
  <c r="AK197" i="55"/>
  <c r="AF26" i="47"/>
  <c r="AJ193" i="55"/>
  <c r="AF27" i="47"/>
  <c r="AJ195" i="55"/>
  <c r="AG46" i="47"/>
  <c r="AK159" i="55"/>
  <c r="AI34" i="47"/>
  <c r="AM77" i="55"/>
  <c r="AF24" i="47"/>
  <c r="AJ199" i="55"/>
  <c r="AH41" i="47"/>
  <c r="AL81" i="55"/>
  <c r="AJ19" i="47"/>
  <c r="AN144" i="55"/>
  <c r="AF61" i="47"/>
  <c r="AJ243" i="55"/>
  <c r="AK17" i="47"/>
  <c r="AO141" i="55"/>
  <c r="AH40" i="47"/>
  <c r="AL88" i="55"/>
  <c r="AF30" i="47"/>
  <c r="AJ203" i="55"/>
  <c r="AI36" i="47"/>
  <c r="AM71" i="55"/>
  <c r="AJ14" i="47"/>
  <c r="AN138" i="55"/>
  <c r="AG51" i="47"/>
  <c r="AK165" i="55"/>
  <c r="AG55" i="47"/>
  <c r="AK239" i="55"/>
  <c r="AF60" i="47"/>
  <c r="AJ238" i="55"/>
  <c r="AG39" i="47"/>
  <c r="AK76" i="55"/>
  <c r="AG28" i="47"/>
  <c r="AK200" i="55"/>
  <c r="AI37" i="47"/>
  <c r="AM73" i="55"/>
  <c r="AH33" i="47"/>
  <c r="AL79" i="55"/>
  <c r="AG48" i="47"/>
  <c r="AK157" i="55"/>
  <c r="AF59" i="47"/>
  <c r="AJ240" i="55"/>
  <c r="AF52" i="47"/>
  <c r="AJ234" i="55"/>
  <c r="AF56" i="47"/>
  <c r="AJ237" i="55"/>
  <c r="AG132" i="47"/>
  <c r="AK253" i="55"/>
  <c r="AG53" i="47"/>
  <c r="AK236" i="55"/>
  <c r="AJ18" i="47"/>
  <c r="AN139" i="55"/>
  <c r="AJ20" i="47"/>
  <c r="AN151" i="55"/>
  <c r="AJ15" i="47"/>
  <c r="AN134" i="55"/>
  <c r="AF22" i="47"/>
  <c r="AJ196" i="55"/>
  <c r="AF21" i="47"/>
  <c r="AJ194" i="55"/>
  <c r="AF54" i="47"/>
  <c r="AJ241" i="55"/>
  <c r="AJ13" i="47"/>
  <c r="AN140" i="55"/>
  <c r="AF23" i="47"/>
  <c r="AJ201" i="55"/>
  <c r="AF42" i="47"/>
  <c r="AJ156" i="55"/>
  <c r="AK12" i="47"/>
  <c r="AO142" i="55"/>
  <c r="AF29" i="47"/>
  <c r="AJ198" i="55"/>
  <c r="AH38" i="47"/>
  <c r="AL78" i="55"/>
  <c r="AH35" i="47"/>
  <c r="AL75" i="55"/>
  <c r="AG31" i="47"/>
  <c r="AK72" i="55"/>
  <c r="AG57" i="47"/>
  <c r="AK233" i="55"/>
  <c r="AJ16" i="47" l="1"/>
  <c r="AN136" i="55"/>
  <c r="AJ11" i="47"/>
  <c r="AN137" i="55"/>
  <c r="AH32" i="47"/>
  <c r="AL74" i="55"/>
  <c r="AG49" i="47"/>
  <c r="AK162" i="55"/>
  <c r="AG47" i="47"/>
  <c r="AK155" i="55"/>
  <c r="AG44" i="47"/>
  <c r="AK163" i="55"/>
  <c r="AG45" i="47"/>
  <c r="AK161" i="55"/>
  <c r="AJ10" i="47"/>
  <c r="AN135" i="55"/>
  <c r="AG43" i="47"/>
  <c r="AK158" i="55"/>
  <c r="AK160" i="55"/>
  <c r="AG50" i="47"/>
  <c r="AH53" i="47"/>
  <c r="AL236" i="55"/>
  <c r="AG22" i="47"/>
  <c r="AK196" i="55"/>
  <c r="AG27" i="47"/>
  <c r="AK195" i="55"/>
  <c r="AL12" i="47"/>
  <c r="AP142" i="55"/>
  <c r="AM12" i="47" s="1"/>
  <c r="AH28" i="47"/>
  <c r="AL200" i="55"/>
  <c r="AG23" i="47"/>
  <c r="AK201" i="55"/>
  <c r="AH39" i="47"/>
  <c r="AL76" i="55"/>
  <c r="AL17" i="47"/>
  <c r="AP141" i="55"/>
  <c r="AM17" i="47" s="1"/>
  <c r="AG24" i="47"/>
  <c r="AK199" i="55"/>
  <c r="AG26" i="47"/>
  <c r="AK193" i="55"/>
  <c r="AI33" i="47"/>
  <c r="AM79" i="55"/>
  <c r="AK15" i="47"/>
  <c r="AO134" i="55"/>
  <c r="AG21" i="47"/>
  <c r="AK194" i="55"/>
  <c r="AG42" i="47"/>
  <c r="AK156" i="55"/>
  <c r="AI41" i="47"/>
  <c r="AM81" i="55"/>
  <c r="AI38" i="47"/>
  <c r="AM78" i="55"/>
  <c r="AK13" i="47"/>
  <c r="AO140" i="55"/>
  <c r="AK18" i="47"/>
  <c r="AO139" i="55"/>
  <c r="AG59" i="47"/>
  <c r="AK240" i="55"/>
  <c r="AG60" i="47"/>
  <c r="AK238" i="55"/>
  <c r="AG61" i="47"/>
  <c r="AK243" i="55"/>
  <c r="AJ34" i="47"/>
  <c r="AN77" i="55"/>
  <c r="AH25" i="47"/>
  <c r="AL197" i="55"/>
  <c r="AH132" i="47"/>
  <c r="AL253" i="55"/>
  <c r="AH31" i="47"/>
  <c r="AL72" i="55"/>
  <c r="AH51" i="47"/>
  <c r="AL165" i="55"/>
  <c r="AH57" i="47"/>
  <c r="AL233" i="55"/>
  <c r="AJ37" i="47"/>
  <c r="AN73" i="55"/>
  <c r="AG56" i="47"/>
  <c r="AK237" i="55"/>
  <c r="AI40" i="47"/>
  <c r="AM88" i="55"/>
  <c r="AK20" i="47"/>
  <c r="AO151" i="55"/>
  <c r="AG29" i="47"/>
  <c r="AK198" i="55"/>
  <c r="AG54" i="47"/>
  <c r="AK241" i="55"/>
  <c r="AH48" i="47"/>
  <c r="AL157" i="55"/>
  <c r="AH55" i="47"/>
  <c r="AL239" i="55"/>
  <c r="AG30" i="47"/>
  <c r="AK203" i="55"/>
  <c r="AK19" i="47"/>
  <c r="AO144" i="55"/>
  <c r="AH46" i="47"/>
  <c r="AL159" i="55"/>
  <c r="AH58" i="47"/>
  <c r="AL235" i="55"/>
  <c r="AK14" i="47"/>
  <c r="AO138" i="55"/>
  <c r="AJ36" i="47"/>
  <c r="AN71" i="55"/>
  <c r="AI35" i="47"/>
  <c r="AM75" i="55"/>
  <c r="AG52" i="47"/>
  <c r="AK234" i="55"/>
  <c r="AK16" i="47" l="1"/>
  <c r="AO136" i="55"/>
  <c r="AK11" i="47"/>
  <c r="AO137" i="55"/>
  <c r="AI32" i="47"/>
  <c r="AM74" i="55"/>
  <c r="AH47" i="47"/>
  <c r="AL155" i="55"/>
  <c r="AH49" i="47"/>
  <c r="AL162" i="55"/>
  <c r="AH44" i="47"/>
  <c r="AL163" i="55"/>
  <c r="AH45" i="47"/>
  <c r="AL161" i="55"/>
  <c r="AH43" i="47"/>
  <c r="AL158" i="55"/>
  <c r="AK10" i="47"/>
  <c r="AO135" i="55"/>
  <c r="AH50" i="47"/>
  <c r="AL160" i="55"/>
  <c r="AI58" i="47"/>
  <c r="AM235" i="55"/>
  <c r="AI46" i="47"/>
  <c r="AM159" i="55"/>
  <c r="AH61" i="47"/>
  <c r="AL243" i="55"/>
  <c r="AJ38" i="47"/>
  <c r="AN78" i="55"/>
  <c r="AH27" i="47"/>
  <c r="AL195" i="55"/>
  <c r="AK37" i="47"/>
  <c r="AO73" i="55"/>
  <c r="AJ35" i="47"/>
  <c r="AN75" i="55"/>
  <c r="AL19" i="47"/>
  <c r="AP144" i="55"/>
  <c r="AM19" i="47" s="1"/>
  <c r="AH29" i="47"/>
  <c r="AL198" i="55"/>
  <c r="AI51" i="47"/>
  <c r="AM165" i="55"/>
  <c r="AL15" i="47"/>
  <c r="AP134" i="55"/>
  <c r="AM15" i="47" s="1"/>
  <c r="AH22" i="47"/>
  <c r="AL196" i="55"/>
  <c r="AH24" i="47"/>
  <c r="AL199" i="55"/>
  <c r="AI57" i="47"/>
  <c r="AM233" i="55"/>
  <c r="AK36" i="47"/>
  <c r="AO71" i="55"/>
  <c r="AL20" i="47"/>
  <c r="AP151" i="55"/>
  <c r="AM20" i="47" s="1"/>
  <c r="AI31" i="47"/>
  <c r="AM72" i="55"/>
  <c r="AH60" i="47"/>
  <c r="AL238" i="55"/>
  <c r="AJ41" i="47"/>
  <c r="AN81" i="55"/>
  <c r="AI39" i="47"/>
  <c r="AM76" i="55"/>
  <c r="AH21" i="47"/>
  <c r="AL194" i="55"/>
  <c r="AH52" i="47"/>
  <c r="AL234" i="55"/>
  <c r="AH30" i="47"/>
  <c r="AL203" i="55"/>
  <c r="AI55" i="47"/>
  <c r="AM239" i="55"/>
  <c r="AJ40" i="47"/>
  <c r="AN88" i="55"/>
  <c r="AI132" i="47"/>
  <c r="AM253" i="55"/>
  <c r="AH59" i="47"/>
  <c r="AL240" i="55"/>
  <c r="AH42" i="47"/>
  <c r="AL156" i="55"/>
  <c r="AJ33" i="47"/>
  <c r="AN79" i="55"/>
  <c r="AH23" i="47"/>
  <c r="AL201" i="55"/>
  <c r="AI53" i="47"/>
  <c r="AM236" i="55"/>
  <c r="AL13" i="47"/>
  <c r="AP140" i="55"/>
  <c r="AM13" i="47" s="1"/>
  <c r="AK34" i="47"/>
  <c r="AO77" i="55"/>
  <c r="AH54" i="47"/>
  <c r="AL241" i="55"/>
  <c r="AL14" i="47"/>
  <c r="AP138" i="55"/>
  <c r="AM14" i="47" s="1"/>
  <c r="AI48" i="47"/>
  <c r="AM157" i="55"/>
  <c r="AH56" i="47"/>
  <c r="AL237" i="55"/>
  <c r="AI25" i="47"/>
  <c r="AM197" i="55"/>
  <c r="AL18" i="47"/>
  <c r="AP139" i="55"/>
  <c r="AM18" i="47" s="1"/>
  <c r="AH26" i="47"/>
  <c r="AL193" i="55"/>
  <c r="AI28" i="47"/>
  <c r="AM200" i="55"/>
  <c r="AL16" i="47" l="1"/>
  <c r="AP136" i="55"/>
  <c r="AM16" i="47" s="1"/>
  <c r="AL11" i="47"/>
  <c r="AP137" i="55"/>
  <c r="AM11" i="47" s="1"/>
  <c r="AN74" i="55"/>
  <c r="AJ32" i="47"/>
  <c r="AI49" i="47"/>
  <c r="AM162" i="55"/>
  <c r="AI47" i="47"/>
  <c r="AM155" i="55"/>
  <c r="AI44" i="47"/>
  <c r="AM163" i="55"/>
  <c r="AM161" i="55"/>
  <c r="AI45" i="47"/>
  <c r="AL10" i="47"/>
  <c r="AP135" i="55"/>
  <c r="AM10" i="47" s="1"/>
  <c r="AM158" i="55"/>
  <c r="AI43" i="47"/>
  <c r="AI50" i="47"/>
  <c r="AM160" i="55"/>
  <c r="AJ28" i="47"/>
  <c r="AN200" i="55"/>
  <c r="AJ48" i="47"/>
  <c r="AN157" i="55"/>
  <c r="AI23" i="47"/>
  <c r="AM201" i="55"/>
  <c r="AJ55" i="47"/>
  <c r="AN239" i="55"/>
  <c r="AK41" i="47"/>
  <c r="AO81" i="55"/>
  <c r="AI24" i="47"/>
  <c r="AM199" i="55"/>
  <c r="AJ51" i="47"/>
  <c r="AN165" i="55"/>
  <c r="AI56" i="47"/>
  <c r="AM237" i="55"/>
  <c r="AK33" i="47"/>
  <c r="AO79" i="55"/>
  <c r="AI30" i="47"/>
  <c r="AM203" i="55"/>
  <c r="AI60" i="47"/>
  <c r="AM238" i="55"/>
  <c r="AI22" i="47"/>
  <c r="AM196" i="55"/>
  <c r="AI29" i="47"/>
  <c r="AM198" i="55"/>
  <c r="AK38" i="47"/>
  <c r="AO78" i="55"/>
  <c r="AI27" i="47"/>
  <c r="AM195" i="55"/>
  <c r="AI54" i="47"/>
  <c r="AM241" i="55"/>
  <c r="AI42" i="47"/>
  <c r="AM156" i="55"/>
  <c r="AI52" i="47"/>
  <c r="AM234" i="55"/>
  <c r="AJ31" i="47"/>
  <c r="AN72" i="55"/>
  <c r="AI61" i="47"/>
  <c r="AM243" i="55"/>
  <c r="AI59" i="47"/>
  <c r="AM240" i="55"/>
  <c r="AI21" i="47"/>
  <c r="AM194" i="55"/>
  <c r="AK35" i="47"/>
  <c r="AO75" i="55"/>
  <c r="AJ46" i="47"/>
  <c r="AN159" i="55"/>
  <c r="AJ53" i="47"/>
  <c r="AN236" i="55"/>
  <c r="AK40" i="47"/>
  <c r="AO88" i="55"/>
  <c r="AI26" i="47"/>
  <c r="AM193" i="55"/>
  <c r="AL34" i="47"/>
  <c r="AP77" i="55"/>
  <c r="AM34" i="47" s="1"/>
  <c r="AJ25" i="47"/>
  <c r="AN197" i="55"/>
  <c r="AJ132" i="47"/>
  <c r="AN253" i="55"/>
  <c r="AJ39" i="47"/>
  <c r="AN76" i="55"/>
  <c r="AL36" i="47"/>
  <c r="AP71" i="55"/>
  <c r="AM36" i="47" s="1"/>
  <c r="AL37" i="47"/>
  <c r="AP73" i="55"/>
  <c r="AM37" i="47" s="1"/>
  <c r="AJ58" i="47"/>
  <c r="AN235" i="55"/>
  <c r="AJ57" i="47"/>
  <c r="AN233" i="55"/>
  <c r="AK32" i="47" l="1"/>
  <c r="AO74" i="55"/>
  <c r="AJ47" i="47"/>
  <c r="AN155" i="55"/>
  <c r="AJ49" i="47"/>
  <c r="AN162" i="55"/>
  <c r="AJ44" i="47"/>
  <c r="AN163" i="55"/>
  <c r="AJ45" i="47"/>
  <c r="AN161" i="55"/>
  <c r="AJ43" i="47"/>
  <c r="AN158" i="55"/>
  <c r="AJ50" i="47"/>
  <c r="AN160" i="55"/>
  <c r="AK57" i="47"/>
  <c r="AO233" i="55"/>
  <c r="AK132" i="47"/>
  <c r="AO253" i="55"/>
  <c r="AK46" i="47"/>
  <c r="AO159" i="55"/>
  <c r="AK31" i="47"/>
  <c r="AO72" i="55"/>
  <c r="AL33" i="47"/>
  <c r="AP79" i="55"/>
  <c r="AM33" i="47" s="1"/>
  <c r="AJ24" i="47"/>
  <c r="AN199" i="55"/>
  <c r="AL38" i="47"/>
  <c r="AP78" i="55"/>
  <c r="AM38" i="47" s="1"/>
  <c r="AJ21" i="47"/>
  <c r="AN194" i="55"/>
  <c r="AJ42" i="47"/>
  <c r="AN156" i="55"/>
  <c r="AJ29" i="47"/>
  <c r="AN198" i="55"/>
  <c r="AJ56" i="47"/>
  <c r="AN237" i="55"/>
  <c r="AK55" i="47"/>
  <c r="AO239" i="55"/>
  <c r="AK25" i="47"/>
  <c r="AO197" i="55"/>
  <c r="AJ26" i="47"/>
  <c r="AN193" i="55"/>
  <c r="AJ59" i="47"/>
  <c r="AN240" i="55"/>
  <c r="AJ54" i="47"/>
  <c r="AN241" i="55"/>
  <c r="AJ22" i="47"/>
  <c r="AN196" i="55"/>
  <c r="AJ23" i="47"/>
  <c r="AN201" i="55"/>
  <c r="AL35" i="47"/>
  <c r="AP75" i="55"/>
  <c r="AM35" i="47" s="1"/>
  <c r="AK58" i="47"/>
  <c r="AO235" i="55"/>
  <c r="AL40" i="47"/>
  <c r="AP88" i="55"/>
  <c r="AM40" i="47" s="1"/>
  <c r="AJ61" i="47"/>
  <c r="AN243" i="55"/>
  <c r="AJ60" i="47"/>
  <c r="AN238" i="55"/>
  <c r="AK48" i="47"/>
  <c r="AO157" i="55"/>
  <c r="AJ52" i="47"/>
  <c r="AN234" i="55"/>
  <c r="AK39" i="47"/>
  <c r="AO76" i="55"/>
  <c r="AK53" i="47"/>
  <c r="AO236" i="55"/>
  <c r="AJ27" i="47"/>
  <c r="AN195" i="55"/>
  <c r="AJ30" i="47"/>
  <c r="AN203" i="55"/>
  <c r="AK51" i="47"/>
  <c r="AO165" i="55"/>
  <c r="AK28" i="47"/>
  <c r="AO200" i="55"/>
  <c r="AL41" i="47"/>
  <c r="AP81" i="55"/>
  <c r="AM41" i="47" s="1"/>
  <c r="AL32" i="47" l="1"/>
  <c r="AP74" i="55"/>
  <c r="AM32" i="47" s="1"/>
  <c r="AO162" i="55"/>
  <c r="AK49" i="47"/>
  <c r="AK47" i="47"/>
  <c r="AO155" i="55"/>
  <c r="AK44" i="47"/>
  <c r="AO163" i="55"/>
  <c r="AK45" i="47"/>
  <c r="AO161" i="55"/>
  <c r="AK43" i="47"/>
  <c r="AO158" i="55"/>
  <c r="AK50" i="47"/>
  <c r="AO160" i="55"/>
  <c r="AK56" i="47"/>
  <c r="AO237" i="55"/>
  <c r="AL48" i="47"/>
  <c r="AP157" i="55"/>
  <c r="AM48" i="47" s="1"/>
  <c r="AK26" i="47"/>
  <c r="AO193" i="55"/>
  <c r="AK42" i="47"/>
  <c r="AO156" i="55"/>
  <c r="AL31" i="47"/>
  <c r="AP72" i="55"/>
  <c r="AM31" i="47" s="1"/>
  <c r="AK54" i="47"/>
  <c r="AO241" i="55"/>
  <c r="AK29" i="47"/>
  <c r="AO198" i="55"/>
  <c r="AK21" i="47"/>
  <c r="AO194" i="55"/>
  <c r="AL46" i="47"/>
  <c r="AP159" i="55"/>
  <c r="AM46" i="47" s="1"/>
  <c r="AK52" i="47"/>
  <c r="AO234" i="55"/>
  <c r="AK59" i="47"/>
  <c r="AO240" i="55"/>
  <c r="AK60" i="47"/>
  <c r="AO238" i="55"/>
  <c r="AK23" i="47"/>
  <c r="AO201" i="55"/>
  <c r="AK30" i="47"/>
  <c r="AO203" i="55"/>
  <c r="AK27" i="47"/>
  <c r="AO195" i="55"/>
  <c r="AL53" i="47"/>
  <c r="AP236" i="55"/>
  <c r="AM53" i="47" s="1"/>
  <c r="AL25" i="47"/>
  <c r="AP197" i="55"/>
  <c r="AM25" i="47" s="1"/>
  <c r="AL132" i="47"/>
  <c r="AP253" i="55"/>
  <c r="AM132" i="47" s="1"/>
  <c r="AL58" i="47"/>
  <c r="AP235" i="55"/>
  <c r="AM58" i="47" s="1"/>
  <c r="AL28" i="47"/>
  <c r="AP200" i="55"/>
  <c r="AM28" i="47" s="1"/>
  <c r="AL39" i="47"/>
  <c r="AP76" i="55"/>
  <c r="AM39" i="47" s="1"/>
  <c r="AK61" i="47"/>
  <c r="AO243" i="55"/>
  <c r="AK22" i="47"/>
  <c r="AO196" i="55"/>
  <c r="AL55" i="47"/>
  <c r="AP239" i="55"/>
  <c r="AM55" i="47" s="1"/>
  <c r="AK24" i="47"/>
  <c r="AO199" i="55"/>
  <c r="AL57" i="47"/>
  <c r="AP233" i="55"/>
  <c r="AM57" i="47" s="1"/>
  <c r="AL51" i="47"/>
  <c r="AP165" i="55"/>
  <c r="AM51" i="47" s="1"/>
  <c r="AL47" i="47" l="1"/>
  <c r="AP155" i="55"/>
  <c r="AM47" i="47" s="1"/>
  <c r="AL49" i="47"/>
  <c r="AP162" i="55"/>
  <c r="AM49" i="47" s="1"/>
  <c r="AL44" i="47"/>
  <c r="AP163" i="55"/>
  <c r="AM44" i="47" s="1"/>
  <c r="AL45" i="47"/>
  <c r="AP161" i="55"/>
  <c r="AM45" i="47" s="1"/>
  <c r="AP158" i="55"/>
  <c r="AM43" i="47" s="1"/>
  <c r="AL43" i="47"/>
  <c r="AL50" i="47"/>
  <c r="AP160" i="55"/>
  <c r="AM50" i="47" s="1"/>
  <c r="AL54" i="47"/>
  <c r="AP241" i="55"/>
  <c r="AM54" i="47" s="1"/>
  <c r="AL52" i="47"/>
  <c r="AP234" i="55"/>
  <c r="AM52" i="47" s="1"/>
  <c r="AL42" i="47"/>
  <c r="AP156" i="55"/>
  <c r="AM42" i="47" s="1"/>
  <c r="AL22" i="47"/>
  <c r="AP196" i="55"/>
  <c r="AM22" i="47" s="1"/>
  <c r="AL27" i="47"/>
  <c r="AP195" i="55"/>
  <c r="AM27" i="47" s="1"/>
  <c r="AL26" i="47"/>
  <c r="AP193" i="55"/>
  <c r="AM26" i="47" s="1"/>
  <c r="AL30" i="47"/>
  <c r="AP203" i="55"/>
  <c r="AM30" i="47" s="1"/>
  <c r="AL21" i="47"/>
  <c r="AP194" i="55"/>
  <c r="AM21" i="47" s="1"/>
  <c r="AL60" i="47"/>
  <c r="AP238" i="55"/>
  <c r="AM60" i="47" s="1"/>
  <c r="AL61" i="47"/>
  <c r="AP243" i="55"/>
  <c r="AM61" i="47" s="1"/>
  <c r="AL59" i="47"/>
  <c r="AP240" i="55"/>
  <c r="AM59" i="47" s="1"/>
  <c r="AL23" i="47"/>
  <c r="AP201" i="55"/>
  <c r="AM23" i="47" s="1"/>
  <c r="AL29" i="47"/>
  <c r="AP198" i="55"/>
  <c r="AM29" i="47" s="1"/>
  <c r="AL56" i="47"/>
  <c r="AP237" i="55"/>
  <c r="AM56" i="47" s="1"/>
  <c r="AL24" i="47"/>
  <c r="AP199" i="55"/>
  <c r="AM24" i="47" s="1"/>
  <c r="AC26" i="57" l="1"/>
  <c r="K26" i="57" s="1"/>
  <c r="AC55" i="57" l="1"/>
  <c r="K55" i="57" s="1"/>
  <c r="AD26" i="57"/>
  <c r="L26" i="57" s="1"/>
  <c r="AC81" i="57"/>
  <c r="K81" i="57" s="1"/>
  <c r="AC108" i="57"/>
  <c r="K108" i="57" s="1"/>
  <c r="AC97" i="57"/>
  <c r="K97" i="57" s="1"/>
  <c r="AD108" i="57" l="1"/>
  <c r="L108" i="57" s="1"/>
  <c r="AD81" i="57"/>
  <c r="L81" i="57" s="1"/>
  <c r="AD97" i="57"/>
  <c r="L97" i="57" s="1"/>
  <c r="AE26" i="57"/>
  <c r="M26" i="57" s="1"/>
  <c r="AD55" i="57"/>
  <c r="L55" i="57" s="1"/>
  <c r="AE55" i="57" l="1"/>
  <c r="M55" i="57" s="1"/>
  <c r="AE108" i="57"/>
  <c r="M108" i="57" s="1"/>
  <c r="AE81" i="57"/>
  <c r="M81" i="57" s="1"/>
  <c r="AE97" i="57"/>
  <c r="M97" i="57" s="1"/>
  <c r="AC27" i="57" l="1"/>
  <c r="K27" i="57" s="1"/>
  <c r="AC101" i="57" l="1"/>
  <c r="K101" i="57" s="1"/>
  <c r="AC56" i="57"/>
  <c r="K56" i="57" s="1"/>
  <c r="AC86" i="57"/>
  <c r="K86" i="57" s="1"/>
  <c r="AD27" i="57"/>
  <c r="L27" i="57" s="1"/>
  <c r="AC109" i="57"/>
  <c r="K109" i="57" s="1"/>
  <c r="AD101" i="57" l="1"/>
  <c r="L101" i="57" s="1"/>
  <c r="AD109" i="57"/>
  <c r="L109" i="57" s="1"/>
  <c r="AE27" i="57"/>
  <c r="M27" i="57" s="1"/>
  <c r="AD56" i="57"/>
  <c r="L56" i="57" s="1"/>
  <c r="AD86" i="57"/>
  <c r="L86" i="57" s="1"/>
  <c r="AE109" i="57" l="1"/>
  <c r="M109" i="57" s="1"/>
  <c r="AE56" i="57"/>
  <c r="M56" i="57" s="1"/>
  <c r="AE86" i="57"/>
  <c r="M86" i="57" s="1"/>
  <c r="AE101" i="57"/>
  <c r="M101" i="57" s="1"/>
  <c r="O107" i="57" l="1"/>
  <c r="X107" i="57" s="1"/>
  <c r="O54" i="57"/>
  <c r="O162" i="57" s="1"/>
  <c r="X162" i="57" l="1"/>
  <c r="F162" i="57" s="1"/>
  <c r="X54" i="57"/>
  <c r="X58" i="57" s="1"/>
  <c r="X59" i="57" s="1"/>
  <c r="X60" i="57" s="1"/>
  <c r="O111" i="57"/>
  <c r="F107" i="57"/>
  <c r="F54" i="57"/>
  <c r="F45" i="57" s="1"/>
  <c r="O58" i="57"/>
  <c r="O161" i="57"/>
  <c r="AC30" i="57"/>
  <c r="K30" i="57" s="1"/>
  <c r="O163" i="57"/>
  <c r="M234" i="57" l="1" a="1"/>
  <c r="M234" i="57" s="1"/>
  <c r="K234" i="57" a="1"/>
  <c r="K234" i="57" s="1"/>
  <c r="L234" i="57" s="1" a="1"/>
  <c r="L234" i="57" s="1"/>
  <c r="F58" i="57"/>
  <c r="O61" i="57"/>
  <c r="O59" i="57"/>
  <c r="F59" i="57" s="1"/>
  <c r="F60" i="57" s="1"/>
  <c r="AC54" i="57"/>
  <c r="X161" i="57"/>
  <c r="X183" i="57" s="1"/>
  <c r="O150" i="57"/>
  <c r="X111" i="57"/>
  <c r="F111" i="57" s="1"/>
  <c r="X163" i="57"/>
  <c r="F163" i="57" s="1"/>
  <c r="X61" i="57"/>
  <c r="O151" i="57"/>
  <c r="O149" i="57"/>
  <c r="G45" i="57"/>
  <c r="F61" i="57" l="1"/>
  <c r="M235" i="57" a="1"/>
  <c r="M235" i="57" s="1"/>
  <c r="K235" i="57" a="1"/>
  <c r="K235" i="57" s="1"/>
  <c r="L235" i="57" s="1" a="1"/>
  <c r="L235" i="57" s="1"/>
  <c r="F161" i="57"/>
  <c r="K233" i="57" s="1" a="1"/>
  <c r="K233" i="57" s="1"/>
  <c r="L233" i="57" s="1" a="1"/>
  <c r="L233" i="57" s="1"/>
  <c r="O60" i="57"/>
  <c r="AC58" i="57"/>
  <c r="K54" i="57"/>
  <c r="K45" i="57" s="1"/>
  <c r="X149" i="57"/>
  <c r="F149" i="57" s="1"/>
  <c r="X151" i="57"/>
  <c r="F151" i="57" s="1"/>
  <c r="F188" i="57" s="1"/>
  <c r="X150" i="57"/>
  <c r="F150" i="57" s="1"/>
  <c r="F187" i="57" s="1"/>
  <c r="G61" i="57"/>
  <c r="H45" i="57"/>
  <c r="E255" i="57"/>
  <c r="E254" i="57"/>
  <c r="E253" i="57"/>
  <c r="AC107" i="57"/>
  <c r="K107" i="57" s="1"/>
  <c r="AD30" i="57"/>
  <c r="L30" i="57" s="1"/>
  <c r="M233" i="57" l="1" a="1"/>
  <c r="M233" i="57" s="1"/>
  <c r="F112" i="57"/>
  <c r="K260" i="57" a="1"/>
  <c r="K260" i="57" s="1"/>
  <c r="L260" i="57" s="1" a="1"/>
  <c r="L260" i="57" s="1"/>
  <c r="M260" i="57" a="1"/>
  <c r="M260" i="57" s="1"/>
  <c r="N260" i="57" s="1" a="1"/>
  <c r="N260" i="57" s="1"/>
  <c r="K261" i="57" a="1"/>
  <c r="K261" i="57" s="1"/>
  <c r="L261" i="57" s="1" a="1"/>
  <c r="L261" i="57" s="1"/>
  <c r="M261" i="57" a="1"/>
  <c r="M261" i="57" s="1"/>
  <c r="N261" i="57" s="1" a="1"/>
  <c r="N261" i="57" s="1"/>
  <c r="K262" i="57" a="1"/>
  <c r="K262" i="57" s="1"/>
  <c r="L262" i="57" s="1" a="1"/>
  <c r="L262" i="57" s="1"/>
  <c r="M262" i="57" a="1"/>
  <c r="M262" i="57" s="1"/>
  <c r="N262" i="57" s="1" a="1"/>
  <c r="N262" i="57" s="1"/>
  <c r="K220" i="57" a="1"/>
  <c r="K220" i="57" s="1"/>
  <c r="L220" i="57" s="1" a="1"/>
  <c r="L220" i="57" s="1"/>
  <c r="N201" i="57" a="1"/>
  <c r="N201" i="57" s="1"/>
  <c r="O201" i="57" s="1" a="1"/>
  <c r="O201" i="57" s="1"/>
  <c r="M220" i="57" a="1"/>
  <c r="M220" i="57" s="1"/>
  <c r="J102" i="47" s="1"/>
  <c r="P201" i="57" a="1"/>
  <c r="P201" i="57" s="1"/>
  <c r="N202" i="57" a="1"/>
  <c r="N202" i="57" s="1"/>
  <c r="O202" i="57" s="1" a="1"/>
  <c r="O202" i="57" s="1"/>
  <c r="K221" i="57" a="1"/>
  <c r="K221" i="57" s="1"/>
  <c r="L221" i="57" s="1" a="1"/>
  <c r="L221" i="57" s="1"/>
  <c r="M221" i="57" a="1"/>
  <c r="M221" i="57" s="1"/>
  <c r="J101" i="47" s="1"/>
  <c r="P202" i="57" a="1"/>
  <c r="P202" i="57" s="1"/>
  <c r="K58" i="57"/>
  <c r="AC59" i="57"/>
  <c r="AC61" i="57"/>
  <c r="AC111" i="57"/>
  <c r="K111" i="57" s="1"/>
  <c r="AD54" i="57"/>
  <c r="AE30" i="57"/>
  <c r="M30" i="57" s="1"/>
  <c r="AD107" i="57"/>
  <c r="L107" i="57" s="1"/>
  <c r="F186" i="57"/>
  <c r="H102" i="47" l="1"/>
  <c r="H101" i="47"/>
  <c r="N200" i="57" a="1"/>
  <c r="N200" i="57" s="1"/>
  <c r="O200" i="57" s="1" a="1"/>
  <c r="O200" i="57" s="1"/>
  <c r="K219" i="57" a="1"/>
  <c r="K219" i="57" s="1"/>
  <c r="L219" i="57" s="1" a="1"/>
  <c r="L219" i="57" s="1"/>
  <c r="M219" i="57" a="1"/>
  <c r="M219" i="57" s="1"/>
  <c r="J100" i="47" s="1"/>
  <c r="P200" i="57" a="1"/>
  <c r="P200" i="57" s="1"/>
  <c r="AD58" i="57"/>
  <c r="L58" i="57" s="1"/>
  <c r="L54" i="57"/>
  <c r="L45" i="57" s="1"/>
  <c r="AC60" i="57"/>
  <c r="K59" i="57"/>
  <c r="K60" i="57" s="1"/>
  <c r="I45" i="57"/>
  <c r="AD111" i="57"/>
  <c r="L111" i="57" s="1"/>
  <c r="I102" i="47"/>
  <c r="K61" i="57"/>
  <c r="H61" i="57"/>
  <c r="H255" i="57"/>
  <c r="H254" i="57"/>
  <c r="H253" i="57"/>
  <c r="I101" i="47"/>
  <c r="AE107" i="57"/>
  <c r="M107" i="57" s="1"/>
  <c r="AE54" i="57"/>
  <c r="AD61" i="57"/>
  <c r="L61" i="57" s="1"/>
  <c r="AB260" i="57" l="1" a="1"/>
  <c r="AB260" i="57" s="1"/>
  <c r="AB261" i="57" a="1"/>
  <c r="AB261" i="57" s="1"/>
  <c r="AB262" i="57" a="1"/>
  <c r="AB262" i="57" s="1"/>
  <c r="AD59" i="57"/>
  <c r="AD60" i="57" s="1"/>
  <c r="AE58" i="57"/>
  <c r="M58" i="57" s="1"/>
  <c r="M54" i="57"/>
  <c r="M45" i="57" s="1"/>
  <c r="I253" i="57"/>
  <c r="AE111" i="57"/>
  <c r="M111" i="57" s="1"/>
  <c r="K253" i="57" s="1"/>
  <c r="J45" i="57"/>
  <c r="H100" i="47"/>
  <c r="I100" i="47"/>
  <c r="I61" i="57"/>
  <c r="G255" i="57"/>
  <c r="G254" i="57"/>
  <c r="G253" i="57"/>
  <c r="I255" i="57"/>
  <c r="I254" i="57"/>
  <c r="L59" i="57" l="1"/>
  <c r="L60" i="57" s="1"/>
  <c r="AC262" i="57" a="1"/>
  <c r="AC262" i="57" s="1"/>
  <c r="AD262" i="57" s="1" a="1"/>
  <c r="AD262" i="57" s="1"/>
  <c r="AE262" i="57" s="1" a="1"/>
  <c r="AE262" i="57" s="1"/>
  <c r="AF262" i="57" s="1" a="1"/>
  <c r="AF262" i="57" s="1"/>
  <c r="AG262" i="57" s="1" a="1"/>
  <c r="AG262" i="57" s="1"/>
  <c r="AH262" i="57" s="1" a="1"/>
  <c r="AH262" i="57" s="1"/>
  <c r="AI262" i="57" s="1" a="1"/>
  <c r="AI262" i="57" s="1"/>
  <c r="AJ262" i="57" s="1" a="1"/>
  <c r="AJ262" i="57" s="1"/>
  <c r="AK262" i="57" s="1" a="1"/>
  <c r="AK262" i="57" s="1"/>
  <c r="AL262" i="57" a="1"/>
  <c r="AL262" i="57" s="1"/>
  <c r="AC261" i="57" a="1"/>
  <c r="AC261" i="57" s="1"/>
  <c r="AD261" i="57" s="1" a="1"/>
  <c r="AD261" i="57" s="1"/>
  <c r="AE261" i="57" s="1" a="1"/>
  <c r="AE261" i="57" s="1"/>
  <c r="AF261" i="57" s="1" a="1"/>
  <c r="AF261" i="57" s="1"/>
  <c r="AG261" i="57" s="1" a="1"/>
  <c r="AG261" i="57" s="1"/>
  <c r="AH261" i="57" s="1" a="1"/>
  <c r="AH261" i="57" s="1"/>
  <c r="AI261" i="57" s="1" a="1"/>
  <c r="AI261" i="57" s="1"/>
  <c r="AJ261" i="57" s="1" a="1"/>
  <c r="AJ261" i="57" s="1"/>
  <c r="AK261" i="57" s="1" a="1"/>
  <c r="AK261" i="57" s="1"/>
  <c r="AL261" i="57" a="1"/>
  <c r="AL261" i="57" s="1"/>
  <c r="P262" i="57" a="1"/>
  <c r="P262" i="57" s="1"/>
  <c r="Q262" i="57" s="1" a="1"/>
  <c r="Q262" i="57" s="1"/>
  <c r="R262" i="57" a="1"/>
  <c r="R262" i="57" s="1"/>
  <c r="S262" i="57" s="1" a="1"/>
  <c r="S262" i="57" s="1"/>
  <c r="T262" i="57" s="1" a="1"/>
  <c r="T262" i="57" s="1"/>
  <c r="U262" i="57" s="1" a="1"/>
  <c r="U262" i="57" s="1"/>
  <c r="V262" i="57" s="1" a="1"/>
  <c r="V262" i="57" s="1"/>
  <c r="W262" i="57" s="1" a="1"/>
  <c r="W262" i="57" s="1"/>
  <c r="X262" i="57" s="1" a="1"/>
  <c r="X262" i="57" s="1"/>
  <c r="Y262" i="57" s="1" a="1"/>
  <c r="Y262" i="57" s="1"/>
  <c r="Z262" i="57" s="1" a="1"/>
  <c r="Z262" i="57" s="1"/>
  <c r="AA262" i="57" s="1" a="1"/>
  <c r="AA262" i="57" s="1"/>
  <c r="P261" i="57" a="1"/>
  <c r="P261" i="57" s="1"/>
  <c r="Q261" i="57" s="1" a="1"/>
  <c r="Q261" i="57" s="1"/>
  <c r="R261" i="57" a="1"/>
  <c r="R261" i="57" s="1"/>
  <c r="S261" i="57" s="1" a="1"/>
  <c r="S261" i="57" s="1"/>
  <c r="T261" i="57" s="1" a="1"/>
  <c r="T261" i="57" s="1"/>
  <c r="U261" i="57" s="1" a="1"/>
  <c r="U261" i="57" s="1"/>
  <c r="V261" i="57" s="1" a="1"/>
  <c r="V261" i="57" s="1"/>
  <c r="W261" i="57" s="1" a="1"/>
  <c r="W261" i="57" s="1"/>
  <c r="X261" i="57" s="1" a="1"/>
  <c r="X261" i="57" s="1"/>
  <c r="Y261" i="57" s="1" a="1"/>
  <c r="Y261" i="57" s="1"/>
  <c r="Z261" i="57" s="1" a="1"/>
  <c r="Z261" i="57" s="1"/>
  <c r="AA261" i="57" s="1" a="1"/>
  <c r="AA261" i="57" s="1"/>
  <c r="AC260" i="57" a="1"/>
  <c r="AC260" i="57" s="1"/>
  <c r="AD260" i="57" s="1" a="1"/>
  <c r="AD260" i="57" s="1"/>
  <c r="AE260" i="57" s="1" a="1"/>
  <c r="AE260" i="57" s="1"/>
  <c r="AF260" i="57" s="1" a="1"/>
  <c r="AF260" i="57" s="1"/>
  <c r="AG260" i="57" s="1" a="1"/>
  <c r="AG260" i="57" s="1"/>
  <c r="AH260" i="57" s="1" a="1"/>
  <c r="AH260" i="57" s="1"/>
  <c r="AI260" i="57" s="1" a="1"/>
  <c r="AI260" i="57" s="1"/>
  <c r="AJ260" i="57" s="1" a="1"/>
  <c r="AJ260" i="57" s="1"/>
  <c r="AK260" i="57" s="1" a="1"/>
  <c r="AK260" i="57" s="1"/>
  <c r="AL260" i="57" a="1"/>
  <c r="AL260" i="57" s="1"/>
  <c r="AE59" i="57"/>
  <c r="AE60" i="57" s="1"/>
  <c r="P260" i="57" a="1"/>
  <c r="P260" i="57" s="1"/>
  <c r="Q260" i="57" s="1" a="1"/>
  <c r="Q260" i="57" s="1"/>
  <c r="R260" i="57" a="1"/>
  <c r="R260" i="57" s="1"/>
  <c r="S260" i="57" s="1" a="1"/>
  <c r="S260" i="57" s="1"/>
  <c r="T260" i="57" s="1" a="1"/>
  <c r="T260" i="57" s="1"/>
  <c r="U260" i="57" s="1" a="1"/>
  <c r="U260" i="57" s="1"/>
  <c r="V260" i="57" s="1" a="1"/>
  <c r="V260" i="57" s="1"/>
  <c r="W260" i="57" s="1" a="1"/>
  <c r="W260" i="57" s="1"/>
  <c r="X260" i="57" s="1" a="1"/>
  <c r="X260" i="57" s="1"/>
  <c r="Y260" i="57" s="1" a="1"/>
  <c r="Y260" i="57" s="1"/>
  <c r="Z260" i="57" s="1" a="1"/>
  <c r="Z260" i="57" s="1"/>
  <c r="AA260" i="57" s="1" a="1"/>
  <c r="AA260" i="57" s="1"/>
  <c r="AE61" i="57"/>
  <c r="J61" i="57" s="1"/>
  <c r="J253" i="57"/>
  <c r="K255" i="57"/>
  <c r="J255" i="57"/>
  <c r="K254" i="57"/>
  <c r="J254" i="57"/>
  <c r="M61" i="57" l="1"/>
  <c r="M59" i="57"/>
  <c r="M60" i="57" s="1"/>
  <c r="AM260" i="57" a="1"/>
  <c r="AM260" i="57" s="1"/>
  <c r="AN260" i="57" s="1" a="1"/>
  <c r="AN260" i="57" s="1"/>
  <c r="AO260" i="57" s="1" a="1"/>
  <c r="AO260" i="57" s="1"/>
  <c r="AP260" i="57" s="1" a="1"/>
  <c r="AP260" i="57" s="1"/>
  <c r="AQ260" i="57" s="1" a="1"/>
  <c r="AQ260" i="57" s="1"/>
  <c r="AR260" i="57" s="1" a="1"/>
  <c r="AR260" i="57" s="1"/>
  <c r="AS260" i="57" s="1" a="1"/>
  <c r="AS260" i="57" s="1"/>
  <c r="AT260" i="57" s="1" a="1"/>
  <c r="AT260" i="57" s="1"/>
  <c r="AU260" i="57" s="1" a="1"/>
  <c r="AU260" i="57" s="1"/>
  <c r="AZ260" i="57" a="1"/>
  <c r="AZ260" i="57" s="1"/>
  <c r="BA260" i="57" s="1" a="1"/>
  <c r="BA260" i="57" s="1"/>
  <c r="BB260" i="57" s="1" a="1"/>
  <c r="BB260" i="57" s="1"/>
  <c r="BC260" i="57" s="1" a="1"/>
  <c r="BC260" i="57" s="1"/>
  <c r="BD260" i="57" s="1" a="1"/>
  <c r="BD260" i="57" s="1"/>
  <c r="AV260" i="57" a="1"/>
  <c r="AV260" i="57" s="1"/>
  <c r="AW260" i="57" s="1" a="1"/>
  <c r="AW260" i="57" s="1"/>
  <c r="AX260" i="57" s="1" a="1"/>
  <c r="AX260" i="57" s="1"/>
  <c r="AY260" i="57" s="1" a="1"/>
  <c r="AY260" i="57" s="1"/>
  <c r="AM262" i="57" a="1"/>
  <c r="AM262" i="57" s="1"/>
  <c r="AN262" i="57" s="1" a="1"/>
  <c r="AN262" i="57" s="1"/>
  <c r="AO262" i="57" s="1" a="1"/>
  <c r="AO262" i="57" s="1"/>
  <c r="AP262" i="57" s="1" a="1"/>
  <c r="AP262" i="57" s="1"/>
  <c r="AQ262" i="57" s="1" a="1"/>
  <c r="AQ262" i="57" s="1"/>
  <c r="AR262" i="57" s="1" a="1"/>
  <c r="AR262" i="57" s="1"/>
  <c r="AS262" i="57" s="1" a="1"/>
  <c r="AS262" i="57" s="1"/>
  <c r="AT262" i="57" s="1" a="1"/>
  <c r="AT262" i="57" s="1"/>
  <c r="AU262" i="57" s="1" a="1"/>
  <c r="AU262" i="57" s="1"/>
  <c r="AV262" i="57" a="1"/>
  <c r="AV262" i="57" s="1"/>
  <c r="AW262" i="57" s="1" a="1"/>
  <c r="AW262" i="57" s="1"/>
  <c r="AX262" i="57" s="1" a="1"/>
  <c r="AX262" i="57" s="1"/>
  <c r="AY262" i="57" s="1" a="1"/>
  <c r="AY262" i="57" s="1"/>
  <c r="AZ262" i="57" a="1"/>
  <c r="AZ262" i="57" s="1"/>
  <c r="BA262" i="57" s="1" a="1"/>
  <c r="BA262" i="57" s="1"/>
  <c r="BB262" i="57" s="1" a="1"/>
  <c r="BB262" i="57" s="1"/>
  <c r="BC262" i="57" s="1" a="1"/>
  <c r="BC262" i="57" s="1"/>
  <c r="BD262" i="57" s="1" a="1"/>
  <c r="BD262" i="57" s="1"/>
  <c r="AM261" i="57" a="1"/>
  <c r="AM261" i="57" s="1"/>
  <c r="AN261" i="57" s="1" a="1"/>
  <c r="AN261" i="57" s="1"/>
  <c r="AO261" i="57" s="1" a="1"/>
  <c r="AO261" i="57" s="1"/>
  <c r="AP261" i="57" s="1" a="1"/>
  <c r="AP261" i="57" s="1"/>
  <c r="AQ261" i="57" s="1" a="1"/>
  <c r="AQ261" i="57" s="1"/>
  <c r="AR261" i="57" s="1" a="1"/>
  <c r="AR261" i="57" s="1"/>
  <c r="AS261" i="57" s="1" a="1"/>
  <c r="AS261" i="57" s="1"/>
  <c r="AT261" i="57" s="1" a="1"/>
  <c r="AT261" i="57" s="1"/>
  <c r="AU261" i="57" s="1" a="1"/>
  <c r="AU261" i="57" s="1"/>
  <c r="AV261" i="57" a="1"/>
  <c r="AV261" i="57" s="1"/>
  <c r="AW261" i="57" s="1" a="1"/>
  <c r="AW261" i="57" s="1"/>
  <c r="AX261" i="57" s="1" a="1"/>
  <c r="AX261" i="57" s="1"/>
  <c r="AY261" i="57" s="1" a="1"/>
  <c r="AY261" i="57" s="1"/>
  <c r="AZ261" i="57" a="1"/>
  <c r="AZ261" i="57" s="1"/>
  <c r="BA261" i="57" s="1" a="1"/>
  <c r="BA261" i="57" s="1"/>
  <c r="BB261" i="57" s="1" a="1"/>
  <c r="BB261" i="57" s="1"/>
  <c r="BC261" i="57" s="1" a="1"/>
  <c r="BC261" i="57" s="1"/>
  <c r="BD261" i="57" s="1" a="1"/>
  <c r="BD261" i="57" s="1"/>
  <c r="O87" i="57"/>
  <c r="F64" i="57"/>
  <c r="O82" i="57"/>
  <c r="X82" i="57" l="1"/>
  <c r="F82" i="57" s="1"/>
  <c r="F85" i="57" s="1"/>
  <c r="X87" i="57"/>
  <c r="F87" i="57" s="1"/>
  <c r="F90" i="57" s="1"/>
  <c r="AC64" i="57"/>
  <c r="K64" i="57" s="1"/>
  <c r="AD64" i="57" l="1"/>
  <c r="L64" i="57" s="1"/>
  <c r="AE64" i="57" l="1"/>
  <c r="M64" i="57" s="1"/>
  <c r="F73" i="57" l="1"/>
  <c r="P73" i="57" l="1"/>
  <c r="Y73" i="57" s="1"/>
  <c r="G73" i="57" s="1"/>
  <c r="Q73" i="57" l="1"/>
  <c r="P115" i="57"/>
  <c r="Y115" i="57" s="1"/>
  <c r="P123" i="57"/>
  <c r="Y123" i="57" s="1"/>
  <c r="P116" i="57"/>
  <c r="Y116" i="57" s="1"/>
  <c r="P120" i="57"/>
  <c r="Y120" i="57" s="1"/>
  <c r="P124" i="57"/>
  <c r="Y124" i="57" s="1"/>
  <c r="P119" i="57"/>
  <c r="Y119" i="57" s="1"/>
  <c r="Z73" i="57" l="1"/>
  <c r="H73" i="57" s="1"/>
  <c r="P127" i="57"/>
  <c r="Q119" i="57"/>
  <c r="Z119" i="57" s="1"/>
  <c r="Q115" i="57"/>
  <c r="Z115" i="57" s="1"/>
  <c r="Q120" i="57"/>
  <c r="Z120" i="57" s="1"/>
  <c r="Q123" i="57"/>
  <c r="Z123" i="57" s="1"/>
  <c r="Q124" i="57"/>
  <c r="Z124" i="57" s="1"/>
  <c r="Q116" i="57"/>
  <c r="Z116" i="57" s="1"/>
  <c r="P128" i="57"/>
  <c r="P156" i="57" l="1"/>
  <c r="Y156" i="57" s="1"/>
  <c r="G156" i="57" s="1"/>
  <c r="Y128" i="57"/>
  <c r="P154" i="57"/>
  <c r="Y154" i="57" s="1"/>
  <c r="G154" i="57" s="1"/>
  <c r="Y127" i="57"/>
  <c r="Q128" i="57"/>
  <c r="R73" i="57"/>
  <c r="Q127" i="57"/>
  <c r="P166" i="57" l="1"/>
  <c r="Y166" i="57" s="1"/>
  <c r="G166" i="57" s="1"/>
  <c r="P168" i="57"/>
  <c r="Y168" i="57" s="1"/>
  <c r="G168" i="57" s="1"/>
  <c r="AA73" i="57"/>
  <c r="I73" i="57" s="1"/>
  <c r="Q156" i="57"/>
  <c r="Z128" i="57"/>
  <c r="Q154" i="57"/>
  <c r="Z154" i="57" s="1"/>
  <c r="H154" i="57" s="1"/>
  <c r="H191" i="57" s="1"/>
  <c r="Z127" i="57"/>
  <c r="R119" i="57"/>
  <c r="AA119" i="57" s="1"/>
  <c r="R123" i="57"/>
  <c r="AA123" i="57" s="1"/>
  <c r="R120" i="57"/>
  <c r="AA120" i="57" s="1"/>
  <c r="R124" i="57"/>
  <c r="AA124" i="57" s="1"/>
  <c r="R116" i="57"/>
  <c r="AA116" i="57" s="1"/>
  <c r="O240" i="57" l="1" a="1"/>
  <c r="O240" i="57" s="1"/>
  <c r="Q224" i="57" a="1"/>
  <c r="Q224" i="57" s="1"/>
  <c r="T205" i="57" a="1"/>
  <c r="T205" i="57" s="1"/>
  <c r="O238" i="57" a="1"/>
  <c r="O238" i="57" s="1"/>
  <c r="AC73" i="57"/>
  <c r="AD73" i="57" s="1"/>
  <c r="Q166" i="57"/>
  <c r="Z166" i="57" s="1"/>
  <c r="Z156" i="57"/>
  <c r="H156" i="57" s="1"/>
  <c r="H193" i="57" s="1"/>
  <c r="Q168" i="57"/>
  <c r="R128" i="57"/>
  <c r="S73" i="57"/>
  <c r="T207" i="57" l="1" a="1"/>
  <c r="T207" i="57" s="1"/>
  <c r="Q226" i="57" a="1"/>
  <c r="Q226" i="57" s="1"/>
  <c r="H166" i="57"/>
  <c r="AB73" i="57"/>
  <c r="J73" i="57" s="1"/>
  <c r="R156" i="57"/>
  <c r="AA128" i="57"/>
  <c r="Z168" i="57"/>
  <c r="AE73" i="57"/>
  <c r="S119" i="57"/>
  <c r="AB119" i="57" s="1"/>
  <c r="S123" i="57"/>
  <c r="AB123" i="57" s="1"/>
  <c r="S120" i="57"/>
  <c r="AB120" i="57" s="1"/>
  <c r="S124" i="57"/>
  <c r="AB124" i="57" s="1"/>
  <c r="S116" i="57"/>
  <c r="AB116" i="57" s="1"/>
  <c r="P238" i="57" l="1" a="1"/>
  <c r="P238" i="57" s="1"/>
  <c r="Q238" i="57" s="1" a="1"/>
  <c r="Q238" i="57" s="1"/>
  <c r="R238" i="57" a="1"/>
  <c r="R238" i="57" s="1"/>
  <c r="H168" i="57"/>
  <c r="R168" i="57"/>
  <c r="AA156" i="57"/>
  <c r="I156" i="57" s="1"/>
  <c r="I193" i="57" s="1"/>
  <c r="S128" i="57"/>
  <c r="T73" i="57"/>
  <c r="K73" i="57" s="1"/>
  <c r="U207" i="57" l="1" a="1"/>
  <c r="U207" i="57" s="1"/>
  <c r="R226" i="57" a="1"/>
  <c r="R226" i="57" s="1"/>
  <c r="O105" i="47" s="1"/>
  <c r="P240" i="57" a="1"/>
  <c r="P240" i="57" s="1"/>
  <c r="Q240" i="57" s="1" a="1"/>
  <c r="Q240" i="57" s="1"/>
  <c r="R240" i="57" a="1"/>
  <c r="R240" i="57" s="1"/>
  <c r="U73" i="57"/>
  <c r="L73" i="57" s="1"/>
  <c r="S156" i="57"/>
  <c r="AB128" i="57"/>
  <c r="AA168" i="57"/>
  <c r="I168" i="57" s="1"/>
  <c r="T124" i="57"/>
  <c r="R90" i="57"/>
  <c r="T123" i="57"/>
  <c r="P90" i="57"/>
  <c r="S90" i="57"/>
  <c r="Q90" i="57"/>
  <c r="O124" i="57"/>
  <c r="X124" i="57" s="1"/>
  <c r="O123" i="57"/>
  <c r="X123" i="57" s="1"/>
  <c r="S240" i="57" l="1" a="1"/>
  <c r="S240" i="57" s="1"/>
  <c r="T240" i="57" s="1" a="1"/>
  <c r="T240" i="57" s="1"/>
  <c r="U240" i="57" s="1" a="1"/>
  <c r="U240" i="57" s="1"/>
  <c r="V240" i="57" s="1" a="1"/>
  <c r="V240" i="57" s="1"/>
  <c r="W240" i="57" s="1" a="1"/>
  <c r="W240" i="57" s="1"/>
  <c r="X240" i="57" s="1" a="1"/>
  <c r="X240" i="57" s="1"/>
  <c r="Y240" i="57" s="1" a="1"/>
  <c r="Y240" i="57" s="1"/>
  <c r="Z240" i="57" s="1" a="1"/>
  <c r="Z240" i="57" s="1"/>
  <c r="AA240" i="57" s="1" a="1"/>
  <c r="AA240" i="57" s="1"/>
  <c r="AB240" i="57" a="1"/>
  <c r="AB240" i="57" s="1"/>
  <c r="V73" i="57"/>
  <c r="M73" i="57" s="1"/>
  <c r="S125" i="57"/>
  <c r="AB125" i="57" s="1"/>
  <c r="AB90" i="57"/>
  <c r="Q125" i="57"/>
  <c r="Z125" i="57" s="1"/>
  <c r="Z90" i="57"/>
  <c r="P125" i="57"/>
  <c r="Y125" i="57" s="1"/>
  <c r="Y90" i="57"/>
  <c r="S168" i="57"/>
  <c r="AB156" i="57"/>
  <c r="J156" i="57" s="1"/>
  <c r="R125" i="57"/>
  <c r="AA125" i="57" s="1"/>
  <c r="AA90" i="57"/>
  <c r="U124" i="57"/>
  <c r="U123" i="57"/>
  <c r="T90" i="57"/>
  <c r="T125" i="57" s="1"/>
  <c r="O90" i="57"/>
  <c r="V90" i="57"/>
  <c r="U90" i="57"/>
  <c r="U125" i="57" s="1"/>
  <c r="V123" i="57" l="1"/>
  <c r="V124" i="57"/>
  <c r="V125" i="57"/>
  <c r="AB168" i="57"/>
  <c r="J168" i="57" s="1"/>
  <c r="O125" i="57"/>
  <c r="X125" i="57" s="1"/>
  <c r="X90" i="57"/>
  <c r="AC240" i="57" l="1" a="1"/>
  <c r="AC240" i="57" s="1"/>
  <c r="AD240" i="57" s="1" a="1"/>
  <c r="AD240" i="57" s="1"/>
  <c r="AE240" i="57" s="1" a="1"/>
  <c r="AE240" i="57" s="1"/>
  <c r="AF240" i="57" s="1" a="1"/>
  <c r="AF240" i="57" s="1"/>
  <c r="AG240" i="57" s="1" a="1"/>
  <c r="AG240" i="57" s="1"/>
  <c r="AH240" i="57" s="1" a="1"/>
  <c r="AH240" i="57" s="1"/>
  <c r="AI240" i="57" s="1" a="1"/>
  <c r="AI240" i="57" s="1"/>
  <c r="AJ240" i="57" s="1" a="1"/>
  <c r="AJ240" i="57" s="1"/>
  <c r="AK240" i="57" s="1" a="1"/>
  <c r="AK240" i="57" s="1"/>
  <c r="AL240" i="57" a="1"/>
  <c r="AL240" i="57" s="1"/>
  <c r="U85" i="57"/>
  <c r="V120" i="57"/>
  <c r="T119" i="57"/>
  <c r="S85" i="57"/>
  <c r="AB85" i="57" s="1"/>
  <c r="T85" i="57"/>
  <c r="T120" i="57"/>
  <c r="O85" i="57"/>
  <c r="X85" i="57" s="1"/>
  <c r="Q85" i="57"/>
  <c r="Z85" i="57" s="1"/>
  <c r="O120" i="57"/>
  <c r="X120" i="57" s="1"/>
  <c r="O121" i="57" l="1"/>
  <c r="X121" i="57" s="1"/>
  <c r="S121" i="57"/>
  <c r="AB121" i="57" s="1"/>
  <c r="Q121" i="57"/>
  <c r="Z121" i="57" s="1"/>
  <c r="T121" i="57"/>
  <c r="U121" i="57"/>
  <c r="P85" i="57"/>
  <c r="Y85" i="57" s="1"/>
  <c r="O119" i="57"/>
  <c r="X119" i="57" s="1"/>
  <c r="U120" i="57"/>
  <c r="V85" i="57"/>
  <c r="V119" i="57"/>
  <c r="R85" i="57"/>
  <c r="U119" i="57"/>
  <c r="P80" i="57"/>
  <c r="Y80" i="57" s="1"/>
  <c r="T116" i="57"/>
  <c r="T128" i="57" s="1"/>
  <c r="T156" i="57" s="1"/>
  <c r="T115" i="57"/>
  <c r="T127" i="57" s="1"/>
  <c r="T154" i="57" s="1"/>
  <c r="T80" i="57"/>
  <c r="O116" i="57"/>
  <c r="O115" i="57"/>
  <c r="X115" i="57" s="1"/>
  <c r="O128" i="57" l="1"/>
  <c r="X116" i="57"/>
  <c r="R121" i="57"/>
  <c r="AA121" i="57" s="1"/>
  <c r="AA85" i="57"/>
  <c r="P121" i="57"/>
  <c r="Y121" i="57" s="1"/>
  <c r="P117" i="57"/>
  <c r="V121" i="57"/>
  <c r="T117" i="57"/>
  <c r="T129" i="57" s="1"/>
  <c r="T153" i="57" s="1"/>
  <c r="O127" i="57"/>
  <c r="G193" i="57"/>
  <c r="T166" i="57"/>
  <c r="T168" i="57"/>
  <c r="V116" i="57"/>
  <c r="V128" i="57" s="1"/>
  <c r="V156" i="57" s="1"/>
  <c r="V80" i="57"/>
  <c r="G191" i="57"/>
  <c r="O80" i="57"/>
  <c r="X80" i="57" s="1"/>
  <c r="U115" i="57"/>
  <c r="U127" i="57" s="1"/>
  <c r="U154" i="57" s="1"/>
  <c r="V115" i="57"/>
  <c r="V127" i="57" s="1"/>
  <c r="U116" i="57"/>
  <c r="U128" i="57" s="1"/>
  <c r="U156" i="57" s="1"/>
  <c r="U80" i="57"/>
  <c r="O226" i="57" l="1" a="1"/>
  <c r="O226" i="57" s="1"/>
  <c r="P226" i="57" s="1" a="1"/>
  <c r="P226" i="57" s="1"/>
  <c r="R207" i="57" a="1"/>
  <c r="R207" i="57" s="1"/>
  <c r="S207" i="57" s="1" a="1"/>
  <c r="S207" i="57" s="1"/>
  <c r="R205" i="57" a="1"/>
  <c r="R205" i="57" s="1"/>
  <c r="S205" i="57" s="1" a="1"/>
  <c r="S205" i="57" s="1"/>
  <c r="O224" i="57" a="1"/>
  <c r="O224" i="57" s="1"/>
  <c r="L103" i="47" s="1"/>
  <c r="P129" i="57"/>
  <c r="P153" i="57" s="1"/>
  <c r="Y153" i="57" s="1"/>
  <c r="G153" i="57" s="1"/>
  <c r="Y117" i="57"/>
  <c r="Y129" i="57" s="1"/>
  <c r="O154" i="57"/>
  <c r="X127" i="57"/>
  <c r="O156" i="57"/>
  <c r="X128" i="57"/>
  <c r="O117" i="57"/>
  <c r="U117" i="57"/>
  <c r="U129" i="57" s="1"/>
  <c r="U153" i="57" s="1"/>
  <c r="V117" i="57"/>
  <c r="V129" i="57" s="1"/>
  <c r="V155" i="57" s="1"/>
  <c r="T152" i="57"/>
  <c r="T155" i="57"/>
  <c r="T165" i="57"/>
  <c r="U166" i="57"/>
  <c r="U168" i="57"/>
  <c r="V168" i="57"/>
  <c r="L105" i="47" l="1"/>
  <c r="P224" i="57" a="1"/>
  <c r="P224" i="57" s="1"/>
  <c r="M103" i="47" s="1"/>
  <c r="X154" i="57"/>
  <c r="F154" i="57" s="1"/>
  <c r="F191" i="57" s="1"/>
  <c r="P155" i="57"/>
  <c r="Y155" i="57" s="1"/>
  <c r="G155" i="57" s="1"/>
  <c r="P152" i="57"/>
  <c r="Y152" i="57" s="1"/>
  <c r="O129" i="57"/>
  <c r="X117" i="57"/>
  <c r="X129" i="57" s="1"/>
  <c r="X156" i="57"/>
  <c r="F156" i="57" s="1"/>
  <c r="F193" i="57" s="1"/>
  <c r="O168" i="57"/>
  <c r="T164" i="57"/>
  <c r="O166" i="57"/>
  <c r="U152" i="57"/>
  <c r="U155" i="57"/>
  <c r="P165" i="57"/>
  <c r="G190" i="57"/>
  <c r="T167" i="57"/>
  <c r="M105" i="47"/>
  <c r="U165" i="57"/>
  <c r="V167" i="57"/>
  <c r="K224" i="57" l="1" a="1"/>
  <c r="K224" i="57" s="1"/>
  <c r="L224" i="57" s="1" a="1"/>
  <c r="L224" i="57" s="1"/>
  <c r="N205" i="57" a="1"/>
  <c r="N205" i="57" s="1"/>
  <c r="O205" i="57" s="1" a="1"/>
  <c r="O205" i="57" s="1"/>
  <c r="M224" i="57" a="1"/>
  <c r="M224" i="57" s="1"/>
  <c r="N224" i="57" s="1" a="1"/>
  <c r="N224" i="57" s="1"/>
  <c r="P205" i="57" a="1"/>
  <c r="P205" i="57" s="1"/>
  <c r="Q205" i="57" s="1" a="1"/>
  <c r="Q205" i="57" s="1"/>
  <c r="K226" i="57" a="1"/>
  <c r="K226" i="57" s="1"/>
  <c r="L226" i="57" s="1" a="1"/>
  <c r="L226" i="57" s="1"/>
  <c r="N207" i="57" a="1"/>
  <c r="N207" i="57" s="1"/>
  <c r="O207" i="57" s="1" a="1"/>
  <c r="O207" i="57" s="1"/>
  <c r="M226" i="57" a="1"/>
  <c r="M226" i="57" s="1"/>
  <c r="N226" i="57" s="1" a="1"/>
  <c r="N226" i="57" s="1"/>
  <c r="P207" i="57" a="1"/>
  <c r="P207" i="57" s="1"/>
  <c r="Q207" i="57" s="1" a="1"/>
  <c r="Q207" i="57" s="1"/>
  <c r="R204" i="57" a="1"/>
  <c r="R204" i="57" s="1"/>
  <c r="O223" i="57" a="1"/>
  <c r="O223" i="57" s="1"/>
  <c r="L106" i="47" s="1"/>
  <c r="G152" i="57"/>
  <c r="G189" i="57" s="1"/>
  <c r="P167" i="57"/>
  <c r="Y167" i="57" s="1"/>
  <c r="G167" i="57" s="1"/>
  <c r="P164" i="57"/>
  <c r="Y164" i="57" s="1"/>
  <c r="Y165" i="57"/>
  <c r="X166" i="57"/>
  <c r="F166" i="57" s="1"/>
  <c r="U167" i="57"/>
  <c r="X168" i="57"/>
  <c r="F168" i="57" s="1"/>
  <c r="X193" i="57"/>
  <c r="Y193" i="57" s="1"/>
  <c r="Z193" i="57" s="1"/>
  <c r="AA193" i="57" s="1"/>
  <c r="O193" i="57"/>
  <c r="P193" i="57" s="1"/>
  <c r="Q193" i="57" s="1"/>
  <c r="R193" i="57" s="1"/>
  <c r="U164" i="57"/>
  <c r="O152" i="57"/>
  <c r="O155" i="57"/>
  <c r="O153" i="57"/>
  <c r="N103" i="47"/>
  <c r="N105" i="47"/>
  <c r="J103" i="47" l="1"/>
  <c r="H103" i="47"/>
  <c r="K240" i="57" a="1"/>
  <c r="K240" i="57" s="1"/>
  <c r="L240" i="57" s="1" a="1"/>
  <c r="L240" i="57" s="1"/>
  <c r="M240" i="57" a="1"/>
  <c r="M240" i="57" s="1"/>
  <c r="N240" i="57" s="1" a="1"/>
  <c r="N240" i="57" s="1"/>
  <c r="K238" i="57" a="1"/>
  <c r="K238" i="57" s="1"/>
  <c r="L238" i="57" s="1" a="1"/>
  <c r="L238" i="57" s="1"/>
  <c r="M238" i="57" a="1"/>
  <c r="M238" i="57" s="1"/>
  <c r="N238" i="57" s="1" a="1"/>
  <c r="N238" i="57" s="1"/>
  <c r="O222" i="57" a="1"/>
  <c r="O222" i="57" s="1"/>
  <c r="L104" i="47" s="1"/>
  <c r="R203" i="57" a="1"/>
  <c r="R203" i="57" s="1"/>
  <c r="O239" i="57" a="1"/>
  <c r="O239" i="57" s="1"/>
  <c r="G165" i="57"/>
  <c r="G164" i="57"/>
  <c r="H105" i="47"/>
  <c r="I105" i="47"/>
  <c r="X153" i="57"/>
  <c r="F153" i="57" s="1"/>
  <c r="F190" i="57" s="1"/>
  <c r="O165" i="57"/>
  <c r="J105" i="47"/>
  <c r="K105" i="47"/>
  <c r="X152" i="57"/>
  <c r="F152" i="57" s="1"/>
  <c r="F189" i="57" s="1"/>
  <c r="O164" i="57"/>
  <c r="X155" i="57"/>
  <c r="F155" i="57" s="1"/>
  <c r="O167" i="57"/>
  <c r="K103" i="47"/>
  <c r="I103" i="47"/>
  <c r="O237" i="57" l="1" a="1"/>
  <c r="O237" i="57" s="1"/>
  <c r="N203" i="57" a="1"/>
  <c r="N203" i="57" s="1"/>
  <c r="O203" i="57" s="1" a="1"/>
  <c r="O203" i="57" s="1"/>
  <c r="K222" i="57" a="1"/>
  <c r="K222" i="57" s="1"/>
  <c r="H104" i="47" s="1"/>
  <c r="M222" i="57" a="1"/>
  <c r="M222" i="57" s="1"/>
  <c r="N222" i="57" s="1" a="1"/>
  <c r="N222" i="57" s="1"/>
  <c r="P203" i="57" a="1"/>
  <c r="P203" i="57" s="1"/>
  <c r="Q203" i="57" s="1" a="1"/>
  <c r="Q203" i="57" s="1"/>
  <c r="O236" i="57" a="1"/>
  <c r="O236" i="57" s="1"/>
  <c r="K223" i="57" a="1"/>
  <c r="K223" i="57" s="1"/>
  <c r="L223" i="57" s="1" a="1"/>
  <c r="L223" i="57" s="1"/>
  <c r="N204" i="57" a="1"/>
  <c r="N204" i="57" s="1"/>
  <c r="O204" i="57" s="1" a="1"/>
  <c r="O204" i="57" s="1"/>
  <c r="P204" i="57" a="1"/>
  <c r="P204" i="57" s="1"/>
  <c r="Q204" i="57" s="1" a="1"/>
  <c r="Q204" i="57" s="1"/>
  <c r="M223" i="57" a="1"/>
  <c r="M223" i="57" s="1"/>
  <c r="N223" i="57" s="1" a="1"/>
  <c r="N223" i="57" s="1"/>
  <c r="X164" i="57"/>
  <c r="F164" i="57" s="1"/>
  <c r="O169" i="57"/>
  <c r="O178" i="57" s="1"/>
  <c r="X178" i="57" s="1"/>
  <c r="X165" i="57"/>
  <c r="F165" i="57" s="1"/>
  <c r="X167" i="57"/>
  <c r="F167" i="57" s="1"/>
  <c r="K239" i="57" l="1" a="1"/>
  <c r="K239" i="57" s="1"/>
  <c r="L239" i="57" s="1" a="1"/>
  <c r="L239" i="57" s="1"/>
  <c r="M239" i="57" a="1"/>
  <c r="M239" i="57" s="1"/>
  <c r="N239" i="57" s="1" a="1"/>
  <c r="N239" i="57" s="1"/>
  <c r="K236" i="57" a="1"/>
  <c r="K236" i="57" s="1"/>
  <c r="L236" i="57" s="1" a="1"/>
  <c r="L236" i="57" s="1"/>
  <c r="M236" i="57" a="1"/>
  <c r="M236" i="57" s="1"/>
  <c r="N236" i="57" s="1" a="1"/>
  <c r="N236" i="57" s="1"/>
  <c r="M237" i="57" a="1"/>
  <c r="M237" i="57" s="1"/>
  <c r="N237" i="57" s="1" a="1"/>
  <c r="N237" i="57" s="1"/>
  <c r="K237" i="57" a="1"/>
  <c r="K237" i="57" s="1"/>
  <c r="L237" i="57" s="1" a="1"/>
  <c r="L237" i="57" s="1"/>
  <c r="L222" i="57" a="1"/>
  <c r="L222" i="57" s="1"/>
  <c r="I104" i="47" s="1"/>
  <c r="J104" i="47"/>
  <c r="K104" i="47"/>
  <c r="H106" i="47"/>
  <c r="I106" i="47"/>
  <c r="J106" i="47"/>
  <c r="K106" i="47"/>
  <c r="O176" i="57"/>
  <c r="X176" i="57" s="1"/>
  <c r="O173" i="57"/>
  <c r="X173" i="57" s="1"/>
  <c r="O174" i="57"/>
  <c r="X174" i="57" s="1"/>
  <c r="O177" i="57"/>
  <c r="X177" i="57" s="1"/>
  <c r="O179" i="57"/>
  <c r="X179" i="57" s="1"/>
  <c r="O172" i="57"/>
  <c r="O175" i="57"/>
  <c r="X175" i="57" s="1"/>
  <c r="F169" i="57"/>
  <c r="F172" i="57" s="1"/>
  <c r="X172" i="57" l="1"/>
  <c r="O181" i="57"/>
  <c r="O182" i="57" l="1"/>
  <c r="X182" i="57" s="1"/>
  <c r="X181" i="57"/>
  <c r="Q80" i="57" l="1"/>
  <c r="Z80" i="57" s="1"/>
  <c r="R78" i="57"/>
  <c r="I78" i="57" s="1"/>
  <c r="I80" i="57" s="1"/>
  <c r="AA78" i="57" l="1"/>
  <c r="S78" i="57"/>
  <c r="S115" i="57" s="1"/>
  <c r="Q117" i="57"/>
  <c r="R115" i="57"/>
  <c r="R80" i="57"/>
  <c r="AB78" i="57" l="1"/>
  <c r="J78" i="57"/>
  <c r="J80" i="57" s="1"/>
  <c r="R127" i="57"/>
  <c r="AA115" i="57"/>
  <c r="S127" i="57"/>
  <c r="AB115" i="57"/>
  <c r="Q129" i="57"/>
  <c r="Q153" i="57" s="1"/>
  <c r="Z153" i="57" s="1"/>
  <c r="H153" i="57" s="1"/>
  <c r="Z117" i="57"/>
  <c r="Z129" i="57" s="1"/>
  <c r="R117" i="57"/>
  <c r="AA80" i="57"/>
  <c r="S80" i="57"/>
  <c r="AB80" i="57" s="1"/>
  <c r="S117" i="57" l="1"/>
  <c r="Q152" i="57"/>
  <c r="Z152" i="57" s="1"/>
  <c r="S154" i="57"/>
  <c r="AB127" i="57"/>
  <c r="Q155" i="57"/>
  <c r="Z155" i="57" s="1"/>
  <c r="H155" i="57" s="1"/>
  <c r="R154" i="57"/>
  <c r="AA127" i="57"/>
  <c r="R129" i="57"/>
  <c r="AA117" i="57"/>
  <c r="AA129" i="57" s="1"/>
  <c r="Q165" i="57"/>
  <c r="H190" i="57"/>
  <c r="Q164" i="57" l="1"/>
  <c r="Z164" i="57" s="1"/>
  <c r="H164" i="57" s="1"/>
  <c r="S204" i="57" a="1"/>
  <c r="S204" i="57" s="1"/>
  <c r="P223" i="57" a="1"/>
  <c r="P223" i="57" s="1"/>
  <c r="M106" i="47" s="1"/>
  <c r="T204" i="57" a="1"/>
  <c r="T204" i="57" s="1"/>
  <c r="Q223" i="57" a="1"/>
  <c r="Q223" i="57" s="1"/>
  <c r="H152" i="57"/>
  <c r="H189" i="57" s="1"/>
  <c r="Q167" i="57"/>
  <c r="Z167" i="57" s="1"/>
  <c r="AA154" i="57"/>
  <c r="I154" i="57" s="1"/>
  <c r="I191" i="57" s="1"/>
  <c r="R166" i="57"/>
  <c r="AB154" i="57"/>
  <c r="J154" i="57" s="1"/>
  <c r="S166" i="57"/>
  <c r="Z165" i="57"/>
  <c r="H165" i="57" s="1"/>
  <c r="H192" i="57"/>
  <c r="S129" i="57"/>
  <c r="AB117" i="57"/>
  <c r="AB129" i="57" s="1"/>
  <c r="R155" i="57"/>
  <c r="R153" i="57"/>
  <c r="R152" i="57"/>
  <c r="P236" i="57" l="1" a="1"/>
  <c r="P236" i="57" s="1"/>
  <c r="Q236" i="57" s="1" a="1"/>
  <c r="Q236" i="57" s="1"/>
  <c r="R236" i="57" a="1"/>
  <c r="R236" i="57" s="1"/>
  <c r="S203" i="57" a="1"/>
  <c r="S203" i="57" s="1"/>
  <c r="P222" i="57" a="1"/>
  <c r="P222" i="57" s="1"/>
  <c r="M104" i="47" s="1"/>
  <c r="Q222" i="57" a="1"/>
  <c r="Q222" i="57" s="1"/>
  <c r="N104" i="47" s="1"/>
  <c r="T203" i="57" a="1"/>
  <c r="T203" i="57" s="1"/>
  <c r="U205" i="57" a="1"/>
  <c r="U205" i="57" s="1"/>
  <c r="R224" i="57" a="1"/>
  <c r="R224" i="57" s="1"/>
  <c r="O103" i="47" s="1"/>
  <c r="T206" i="57" a="1"/>
  <c r="T206" i="57" s="1"/>
  <c r="Q225" i="57" a="1"/>
  <c r="Q225" i="57" s="1"/>
  <c r="P237" i="57" a="1"/>
  <c r="P237" i="57" s="1"/>
  <c r="Q237" i="57" s="1" a="1"/>
  <c r="Q237" i="57" s="1"/>
  <c r="R237" i="57" a="1"/>
  <c r="R237" i="57" s="1"/>
  <c r="H167" i="57"/>
  <c r="X191" i="57"/>
  <c r="Y191" i="57" s="1"/>
  <c r="Z191" i="57" s="1"/>
  <c r="AA191" i="57" s="1"/>
  <c r="O191" i="57"/>
  <c r="P191" i="57" s="1"/>
  <c r="Q191" i="57" s="1"/>
  <c r="R191" i="57" s="1"/>
  <c r="AB166" i="57"/>
  <c r="J166" i="57" s="1"/>
  <c r="AA166" i="57"/>
  <c r="I166" i="57" s="1"/>
  <c r="S153" i="57"/>
  <c r="S152" i="57"/>
  <c r="S155" i="57"/>
  <c r="AA152" i="57"/>
  <c r="I152" i="57" s="1"/>
  <c r="I189" i="57" s="1"/>
  <c r="R164" i="57"/>
  <c r="AA153" i="57"/>
  <c r="R165" i="57"/>
  <c r="AA155" i="57"/>
  <c r="I155" i="57" s="1"/>
  <c r="I192" i="57" s="1"/>
  <c r="R167" i="57"/>
  <c r="N106" i="47"/>
  <c r="S238" i="57" l="1" a="1"/>
  <c r="S238" i="57" s="1"/>
  <c r="T238" i="57" s="1" a="1"/>
  <c r="T238" i="57" s="1"/>
  <c r="U238" i="57" s="1" a="1"/>
  <c r="U238" i="57" s="1"/>
  <c r="V238" i="57" s="1" a="1"/>
  <c r="V238" i="57" s="1"/>
  <c r="W238" i="57" s="1" a="1"/>
  <c r="W238" i="57" s="1"/>
  <c r="X238" i="57" s="1" a="1"/>
  <c r="X238" i="57" s="1"/>
  <c r="Y238" i="57" s="1" a="1"/>
  <c r="Y238" i="57" s="1"/>
  <c r="Z238" i="57" s="1" a="1"/>
  <c r="Z238" i="57" s="1"/>
  <c r="AA238" i="57" s="1" a="1"/>
  <c r="AA238" i="57" s="1"/>
  <c r="AB238" i="57" a="1"/>
  <c r="AB238" i="57" s="1"/>
  <c r="AC238" i="57" s="1" a="1"/>
  <c r="AC238" i="57" s="1"/>
  <c r="AD238" i="57" s="1" a="1"/>
  <c r="AD238" i="57" s="1"/>
  <c r="AE238" i="57" s="1" a="1"/>
  <c r="AE238" i="57" s="1"/>
  <c r="AF238" i="57" s="1" a="1"/>
  <c r="AF238" i="57" s="1"/>
  <c r="AG238" i="57" s="1" a="1"/>
  <c r="AG238" i="57" s="1"/>
  <c r="AH238" i="57" s="1" a="1"/>
  <c r="AH238" i="57" s="1"/>
  <c r="AI238" i="57" s="1" a="1"/>
  <c r="AI238" i="57" s="1"/>
  <c r="AJ238" i="57" s="1" a="1"/>
  <c r="AJ238" i="57" s="1"/>
  <c r="AK238" i="57" s="1" a="1"/>
  <c r="AK238" i="57" s="1"/>
  <c r="AL238" i="57" a="1"/>
  <c r="AL238" i="57" s="1"/>
  <c r="P239" i="57" a="1"/>
  <c r="P239" i="57" s="1"/>
  <c r="Q239" i="57" s="1" a="1"/>
  <c r="Q239" i="57" s="1"/>
  <c r="R239" i="57" a="1"/>
  <c r="R239" i="57" s="1"/>
  <c r="U206" i="57" a="1"/>
  <c r="U206" i="57" s="1"/>
  <c r="R225" i="57" a="1"/>
  <c r="R225" i="57" s="1"/>
  <c r="O107" i="47" s="1"/>
  <c r="U203" i="57" a="1"/>
  <c r="U203" i="57" s="1"/>
  <c r="R222" i="57" a="1"/>
  <c r="R222" i="57" s="1"/>
  <c r="O104" i="47" s="1"/>
  <c r="I153" i="57"/>
  <c r="I190" i="57" s="1"/>
  <c r="AB153" i="57"/>
  <c r="J153" i="57" s="1"/>
  <c r="S165" i="57"/>
  <c r="AB152" i="57"/>
  <c r="J152" i="57" s="1"/>
  <c r="S164" i="57"/>
  <c r="AB155" i="57"/>
  <c r="J155" i="57" s="1"/>
  <c r="S167" i="57"/>
  <c r="AA167" i="57"/>
  <c r="I167" i="57" s="1"/>
  <c r="AA165" i="57"/>
  <c r="I165" i="57" s="1"/>
  <c r="O189" i="57"/>
  <c r="P189" i="57" s="1"/>
  <c r="Q189" i="57" s="1"/>
  <c r="R189" i="57" s="1"/>
  <c r="X189" i="57"/>
  <c r="Y189" i="57" s="1"/>
  <c r="Z189" i="57" s="1"/>
  <c r="AA189" i="57" s="1"/>
  <c r="AA164" i="57"/>
  <c r="I164" i="57" s="1"/>
  <c r="S239" i="57" l="1" a="1"/>
  <c r="S239" i="57" s="1"/>
  <c r="T239" i="57" s="1" a="1"/>
  <c r="T239" i="57" s="1"/>
  <c r="U239" i="57" s="1" a="1"/>
  <c r="U239" i="57" s="1"/>
  <c r="V239" i="57" s="1" a="1"/>
  <c r="V239" i="57" s="1"/>
  <c r="W239" i="57" s="1" a="1"/>
  <c r="W239" i="57" s="1"/>
  <c r="X239" i="57" s="1" a="1"/>
  <c r="X239" i="57" s="1"/>
  <c r="Y239" i="57" s="1" a="1"/>
  <c r="Y239" i="57" s="1"/>
  <c r="Z239" i="57" s="1" a="1"/>
  <c r="Z239" i="57" s="1"/>
  <c r="AA239" i="57" s="1" a="1"/>
  <c r="AA239" i="57" s="1"/>
  <c r="AB239" i="57" a="1"/>
  <c r="AB239" i="57" s="1"/>
  <c r="S236" i="57" a="1"/>
  <c r="S236" i="57" s="1"/>
  <c r="T236" i="57" s="1" a="1"/>
  <c r="T236" i="57" s="1"/>
  <c r="U236" i="57" s="1" a="1"/>
  <c r="U236" i="57" s="1"/>
  <c r="V236" i="57" s="1" a="1"/>
  <c r="V236" i="57" s="1"/>
  <c r="W236" i="57" s="1" a="1"/>
  <c r="W236" i="57" s="1"/>
  <c r="X236" i="57" s="1" a="1"/>
  <c r="X236" i="57" s="1"/>
  <c r="Y236" i="57" s="1" a="1"/>
  <c r="Y236" i="57" s="1"/>
  <c r="Z236" i="57" s="1" a="1"/>
  <c r="Z236" i="57" s="1"/>
  <c r="AA236" i="57" s="1" a="1"/>
  <c r="AA236" i="57" s="1"/>
  <c r="AB236" i="57" a="1"/>
  <c r="AB236" i="57" s="1"/>
  <c r="U204" i="57" a="1"/>
  <c r="U204" i="57" s="1"/>
  <c r="R223" i="57" a="1"/>
  <c r="R223" i="57" s="1"/>
  <c r="O106" i="47" s="1"/>
  <c r="S237" i="57" a="1"/>
  <c r="S237" i="57" s="1"/>
  <c r="T237" i="57" s="1" a="1"/>
  <c r="T237" i="57" s="1"/>
  <c r="U237" i="57" s="1" a="1"/>
  <c r="U237" i="57" s="1"/>
  <c r="V237" i="57" s="1" a="1"/>
  <c r="V237" i="57" s="1"/>
  <c r="W237" i="57" s="1" a="1"/>
  <c r="W237" i="57" s="1"/>
  <c r="X237" i="57" s="1" a="1"/>
  <c r="X237" i="57" s="1"/>
  <c r="Y237" i="57" s="1" a="1"/>
  <c r="Y237" i="57" s="1"/>
  <c r="Z237" i="57" s="1" a="1"/>
  <c r="Z237" i="57" s="1"/>
  <c r="AA237" i="57" s="1" a="1"/>
  <c r="AA237" i="57" s="1"/>
  <c r="AB237" i="57" a="1"/>
  <c r="AB237" i="57" s="1"/>
  <c r="O190" i="57"/>
  <c r="P190" i="57" s="1"/>
  <c r="Q190" i="57" s="1"/>
  <c r="R190" i="57" s="1"/>
  <c r="X190" i="57"/>
  <c r="Y190" i="57" s="1"/>
  <c r="Z190" i="57" s="1"/>
  <c r="AA190" i="57" s="1"/>
  <c r="AB164" i="57"/>
  <c r="J164" i="57" s="1"/>
  <c r="AB165" i="57"/>
  <c r="J165" i="57" s="1"/>
  <c r="AB167" i="57"/>
  <c r="J167" i="57" s="1"/>
  <c r="AC236" i="57" l="1" a="1"/>
  <c r="AC236" i="57" s="1"/>
  <c r="AD236" i="57" s="1" a="1"/>
  <c r="AD236" i="57" s="1"/>
  <c r="AE236" i="57" s="1" a="1"/>
  <c r="AE236" i="57" s="1"/>
  <c r="AF236" i="57" s="1" a="1"/>
  <c r="AF236" i="57" s="1"/>
  <c r="AG236" i="57" s="1" a="1"/>
  <c r="AG236" i="57" s="1"/>
  <c r="AH236" i="57" s="1" a="1"/>
  <c r="AH236" i="57" s="1"/>
  <c r="AI236" i="57" s="1" a="1"/>
  <c r="AI236" i="57" s="1"/>
  <c r="AJ236" i="57" s="1" a="1"/>
  <c r="AJ236" i="57" s="1"/>
  <c r="AK236" i="57" s="1" a="1"/>
  <c r="AK236" i="57" s="1"/>
  <c r="AL236" i="57" a="1"/>
  <c r="AL236" i="57" s="1"/>
  <c r="AC239" i="57" a="1"/>
  <c r="AC239" i="57" s="1"/>
  <c r="AD239" i="57" s="1" a="1"/>
  <c r="AD239" i="57" s="1"/>
  <c r="AE239" i="57" s="1" a="1"/>
  <c r="AE239" i="57" s="1"/>
  <c r="AF239" i="57" s="1" a="1"/>
  <c r="AF239" i="57" s="1"/>
  <c r="AG239" i="57" s="1" a="1"/>
  <c r="AG239" i="57" s="1"/>
  <c r="AH239" i="57" s="1" a="1"/>
  <c r="AH239" i="57" s="1"/>
  <c r="AI239" i="57" s="1" a="1"/>
  <c r="AI239" i="57" s="1"/>
  <c r="AJ239" i="57" s="1" a="1"/>
  <c r="AJ239" i="57" s="1"/>
  <c r="AK239" i="57" s="1" a="1"/>
  <c r="AK239" i="57" s="1"/>
  <c r="AL239" i="57" a="1"/>
  <c r="AL239" i="57" s="1"/>
  <c r="AC237" i="57" a="1"/>
  <c r="AC237" i="57" s="1"/>
  <c r="AD237" i="57" s="1" a="1"/>
  <c r="AD237" i="57" s="1"/>
  <c r="AE237" i="57" s="1" a="1"/>
  <c r="AE237" i="57" s="1"/>
  <c r="AF237" i="57" s="1" a="1"/>
  <c r="AF237" i="57" s="1"/>
  <c r="AG237" i="57" s="1" a="1"/>
  <c r="AG237" i="57" s="1"/>
  <c r="AH237" i="57" s="1" a="1"/>
  <c r="AH237" i="57" s="1"/>
  <c r="AI237" i="57" s="1" a="1"/>
  <c r="AI237" i="57" s="1"/>
  <c r="AJ237" i="57" s="1" a="1"/>
  <c r="AJ237" i="57" s="1"/>
  <c r="AK237" i="57" s="1" a="1"/>
  <c r="AK237" i="57" s="1"/>
  <c r="AL237" i="57" a="1"/>
  <c r="AL237" i="57" s="1"/>
  <c r="V153" i="57"/>
  <c r="V152" i="57"/>
  <c r="V154" i="57"/>
  <c r="V166" i="57" l="1"/>
  <c r="V165" i="57"/>
  <c r="V164" i="57"/>
  <c r="F192" i="57" l="1"/>
  <c r="G192" i="57"/>
  <c r="O225" i="57" l="1" a="1"/>
  <c r="O225" i="57" s="1"/>
  <c r="P225" i="57" s="1" a="1"/>
  <c r="P225" i="57" s="1"/>
  <c r="R206" i="57" a="1"/>
  <c r="R206" i="57" s="1"/>
  <c r="S206" i="57" s="1" a="1"/>
  <c r="S206" i="57" s="1"/>
  <c r="K225" i="57" a="1"/>
  <c r="K225" i="57" s="1"/>
  <c r="H107" i="47" s="1"/>
  <c r="N206" i="57" a="1"/>
  <c r="N206" i="57" s="1"/>
  <c r="O206" i="57" s="1" a="1"/>
  <c r="O206" i="57" s="1"/>
  <c r="M225" i="57" a="1"/>
  <c r="M225" i="57" s="1"/>
  <c r="N225" i="57" s="1" a="1"/>
  <c r="N225" i="57" s="1"/>
  <c r="P206" i="57" a="1"/>
  <c r="P206" i="57" s="1"/>
  <c r="Q206" i="57" s="1" a="1"/>
  <c r="Q206" i="57" s="1"/>
  <c r="O192" i="57"/>
  <c r="P192" i="57" s="1"/>
  <c r="Q192" i="57" s="1"/>
  <c r="R192" i="57" s="1"/>
  <c r="X192" i="57"/>
  <c r="Y192" i="57" s="1"/>
  <c r="Z192" i="57" s="1"/>
  <c r="AA192" i="57" s="1"/>
  <c r="AC138" i="57"/>
  <c r="X169" i="57"/>
  <c r="F178" i="57"/>
  <c r="L107" i="47" l="1"/>
  <c r="L225" i="57" a="1"/>
  <c r="L225" i="57" s="1"/>
  <c r="I107" i="47" s="1"/>
  <c r="J107" i="47"/>
  <c r="K107" i="47"/>
  <c r="M107" i="47"/>
  <c r="AC137" i="57"/>
  <c r="AD138" i="57"/>
  <c r="F174" i="57"/>
  <c r="F175" i="57"/>
  <c r="F176" i="57"/>
  <c r="F179" i="57"/>
  <c r="F173" i="57"/>
  <c r="F177" i="57"/>
  <c r="N107" i="47" l="1"/>
  <c r="F181" i="57"/>
  <c r="F182" i="57" s="1"/>
  <c r="AE138" i="57"/>
  <c r="AE137" i="57" s="1"/>
  <c r="M137" i="57" s="1"/>
  <c r="AD137" i="57"/>
  <c r="U150" i="57" l="1"/>
  <c r="V150" i="57"/>
  <c r="U151" i="57"/>
  <c r="V151" i="57"/>
  <c r="Q162" i="57"/>
  <c r="Z162" i="57" s="1"/>
  <c r="H162" i="57" s="1"/>
  <c r="U162" i="57"/>
  <c r="AD162" i="57" s="1" a="1"/>
  <c r="AD162" i="57" s="1"/>
  <c r="L162" i="57" s="1"/>
  <c r="AE162" i="57" a="1"/>
  <c r="AE162" i="57" s="1"/>
  <c r="M162" i="57" s="1"/>
  <c r="T162" i="57"/>
  <c r="AC162" i="57" s="1" a="1"/>
  <c r="AC162" i="57" s="1"/>
  <c r="R163" i="57"/>
  <c r="AA163" i="57" s="1"/>
  <c r="I163" i="57" s="1"/>
  <c r="T151" i="57"/>
  <c r="R151" i="57"/>
  <c r="R162" i="57"/>
  <c r="AA162" i="57" s="1"/>
  <c r="I162" i="57" s="1"/>
  <c r="U132" i="57"/>
  <c r="T150" i="57"/>
  <c r="R150" i="57"/>
  <c r="V132" i="57"/>
  <c r="T163" i="57"/>
  <c r="AC163" i="57" s="1" a="1"/>
  <c r="AC163" i="57" s="1"/>
  <c r="U163" i="57"/>
  <c r="T132" i="57"/>
  <c r="R132" i="57"/>
  <c r="P162" i="57"/>
  <c r="S163" i="57"/>
  <c r="AB163" i="57" s="1"/>
  <c r="J163" i="57" s="1"/>
  <c r="V163" i="57"/>
  <c r="AE163" i="57" s="1" a="1"/>
  <c r="AE163" i="57" s="1"/>
  <c r="M163" i="57" s="1"/>
  <c r="Q150" i="57"/>
  <c r="AB234" i="57" l="1" a="1"/>
  <c r="AB234" i="57" s="1"/>
  <c r="AL235" i="57" a="1"/>
  <c r="AL235" i="57" s="1"/>
  <c r="AB235" i="57" a="1"/>
  <c r="AB235" i="57" s="1"/>
  <c r="AC235" i="57" s="1" a="1"/>
  <c r="AC235" i="57" s="1"/>
  <c r="AD235" i="57" s="1" a="1"/>
  <c r="AD235" i="57" s="1"/>
  <c r="AE235" i="57" s="1" a="1"/>
  <c r="AE235" i="57" s="1"/>
  <c r="AF235" i="57" s="1" a="1"/>
  <c r="AF235" i="57" s="1"/>
  <c r="AG235" i="57" s="1" a="1"/>
  <c r="AG235" i="57" s="1"/>
  <c r="AH235" i="57" s="1" a="1"/>
  <c r="AH235" i="57" s="1"/>
  <c r="AI235" i="57" s="1" a="1"/>
  <c r="AI235" i="57" s="1"/>
  <c r="AJ235" i="57" s="1" a="1"/>
  <c r="AJ235" i="57" s="1"/>
  <c r="AK235" i="57" s="1" a="1"/>
  <c r="AK235" i="57" s="1"/>
  <c r="R234" i="57" a="1"/>
  <c r="R234" i="57" s="1"/>
  <c r="S234" i="57" s="1" a="1"/>
  <c r="S234" i="57" s="1"/>
  <c r="T234" i="57" s="1" a="1"/>
  <c r="T234" i="57" s="1"/>
  <c r="U234" i="57" s="1" a="1"/>
  <c r="U234" i="57" s="1"/>
  <c r="V234" i="57" s="1" a="1"/>
  <c r="V234" i="57" s="1"/>
  <c r="W234" i="57" s="1" a="1"/>
  <c r="W234" i="57" s="1"/>
  <c r="X234" i="57" s="1" a="1"/>
  <c r="X234" i="57" s="1"/>
  <c r="Y234" i="57" s="1" a="1"/>
  <c r="Y234" i="57" s="1"/>
  <c r="Z234" i="57" s="1" a="1"/>
  <c r="Z234" i="57" s="1"/>
  <c r="AA234" i="57" s="1" a="1"/>
  <c r="AA234" i="57" s="1"/>
  <c r="T161" i="57"/>
  <c r="AC161" i="57" s="1" a="1"/>
  <c r="AC161" i="57" s="1"/>
  <c r="AC149" i="57" s="1"/>
  <c r="K132" i="57"/>
  <c r="V161" i="57"/>
  <c r="V169" i="57" s="1"/>
  <c r="V172" i="57" s="1"/>
  <c r="M132" i="57"/>
  <c r="U149" i="57"/>
  <c r="L132" i="57"/>
  <c r="AC150" i="57"/>
  <c r="K150" i="57" s="1"/>
  <c r="K187" i="57" s="1"/>
  <c r="K162" i="57"/>
  <c r="AC151" i="57"/>
  <c r="K151" i="57" s="1"/>
  <c r="K188" i="57" s="1"/>
  <c r="K163" i="57"/>
  <c r="Z150" i="57"/>
  <c r="Y162" i="57"/>
  <c r="G162" i="57" s="1"/>
  <c r="R149" i="57"/>
  <c r="AA149" i="57" s="1"/>
  <c r="AA132" i="57"/>
  <c r="I132" i="57" s="1"/>
  <c r="AA151" i="57"/>
  <c r="AA150" i="57"/>
  <c r="U161" i="57"/>
  <c r="AD161" i="57" s="1" a="1"/>
  <c r="AD161" i="57" s="1"/>
  <c r="L161" i="57" s="1"/>
  <c r="R161" i="57"/>
  <c r="AA161" i="57" s="1"/>
  <c r="I161" i="57" s="1"/>
  <c r="AE150" i="57"/>
  <c r="AD150" i="57"/>
  <c r="AE151" i="57"/>
  <c r="T149" i="57"/>
  <c r="S162" i="57"/>
  <c r="AB162" i="57" s="1"/>
  <c r="J162" i="57" s="1"/>
  <c r="S132" i="57"/>
  <c r="AD163" i="57" a="1"/>
  <c r="AD163" i="57" s="1"/>
  <c r="L163" i="57" s="1"/>
  <c r="P150" i="57"/>
  <c r="P151" i="57"/>
  <c r="S150" i="57"/>
  <c r="P163" i="57"/>
  <c r="Y163" i="57" s="1"/>
  <c r="G163" i="57" s="1"/>
  <c r="S151" i="57"/>
  <c r="V149" i="57"/>
  <c r="P132" i="57"/>
  <c r="Q132" i="57"/>
  <c r="AC234" i="57" l="1" a="1"/>
  <c r="AC234" i="57" s="1"/>
  <c r="AD234" i="57" s="1" a="1"/>
  <c r="AD234" i="57" s="1"/>
  <c r="AE234" i="57" s="1" a="1"/>
  <c r="AE234" i="57" s="1"/>
  <c r="AF234" i="57" s="1" a="1"/>
  <c r="AF234" i="57" s="1"/>
  <c r="AG234" i="57" s="1" a="1"/>
  <c r="AG234" i="57" s="1"/>
  <c r="AH234" i="57" s="1" a="1"/>
  <c r="AH234" i="57" s="1"/>
  <c r="AI234" i="57" s="1" a="1"/>
  <c r="AI234" i="57" s="1"/>
  <c r="AJ234" i="57" s="1" a="1"/>
  <c r="AJ234" i="57" s="1"/>
  <c r="AK234" i="57" s="1" a="1"/>
  <c r="AK234" i="57" s="1"/>
  <c r="AL234" i="57" a="1"/>
  <c r="AL234" i="57" s="1"/>
  <c r="AM234" i="57" s="1" a="1"/>
  <c r="AM234" i="57" s="1"/>
  <c r="AN234" i="57" s="1" a="1"/>
  <c r="AN234" i="57" s="1"/>
  <c r="AO234" i="57" s="1" a="1"/>
  <c r="AO234" i="57" s="1"/>
  <c r="AP234" i="57" s="1" a="1"/>
  <c r="AP234" i="57" s="1"/>
  <c r="AQ234" i="57" s="1" a="1"/>
  <c r="AQ234" i="57" s="1"/>
  <c r="AR234" i="57" s="1" a="1"/>
  <c r="AR234" i="57" s="1"/>
  <c r="AS234" i="57" s="1" a="1"/>
  <c r="AS234" i="57" s="1"/>
  <c r="AT234" i="57" s="1" a="1"/>
  <c r="AT234" i="57" s="1"/>
  <c r="AU234" i="57" s="1" a="1"/>
  <c r="AU234" i="57" s="1"/>
  <c r="AM235" i="57" a="1"/>
  <c r="AM235" i="57" s="1"/>
  <c r="AN235" i="57" s="1" a="1"/>
  <c r="AN235" i="57" s="1"/>
  <c r="AO235" i="57" s="1" a="1"/>
  <c r="AO235" i="57" s="1"/>
  <c r="AP235" i="57" s="1" a="1"/>
  <c r="AP235" i="57" s="1"/>
  <c r="AQ235" i="57" s="1" a="1"/>
  <c r="AQ235" i="57" s="1"/>
  <c r="AR235" i="57" s="1" a="1"/>
  <c r="AR235" i="57" s="1"/>
  <c r="AS235" i="57" s="1" a="1"/>
  <c r="AS235" i="57" s="1"/>
  <c r="AT235" i="57" s="1" a="1"/>
  <c r="AT235" i="57" s="1"/>
  <c r="AU235" i="57" s="1" a="1"/>
  <c r="AU235" i="57" s="1"/>
  <c r="AV235" i="57" a="1"/>
  <c r="AV235" i="57" s="1"/>
  <c r="AW235" i="57" s="1" a="1"/>
  <c r="AW235" i="57" s="1"/>
  <c r="AX235" i="57" s="1" a="1"/>
  <c r="AX235" i="57" s="1"/>
  <c r="AV234" i="57" a="1"/>
  <c r="AV234" i="57" s="1"/>
  <c r="AW234" i="57" s="1" a="1"/>
  <c r="AW234" i="57" s="1"/>
  <c r="AX234" i="57" s="1" a="1"/>
  <c r="AX234" i="57" s="1"/>
  <c r="AB220" i="57" a="1"/>
  <c r="AB220" i="57" s="1"/>
  <c r="Y102" i="47" s="1"/>
  <c r="AE201" i="57" a="1"/>
  <c r="AE201" i="57" s="1"/>
  <c r="N234" i="57" a="1"/>
  <c r="N234" i="57" s="1"/>
  <c r="O234" i="57" a="1"/>
  <c r="O234" i="57" s="1"/>
  <c r="P234" i="57" s="1" a="1"/>
  <c r="P234" i="57" s="1"/>
  <c r="Q234" i="57" s="1" a="1"/>
  <c r="Q234" i="57" s="1"/>
  <c r="T169" i="57"/>
  <c r="T173" i="57" s="1"/>
  <c r="AB233" i="57" a="1"/>
  <c r="AB233" i="57" s="1"/>
  <c r="AB221" i="57" a="1"/>
  <c r="AB221" i="57" s="1"/>
  <c r="Y101" i="47" s="1"/>
  <c r="AE202" i="57" a="1"/>
  <c r="AE202" i="57" s="1"/>
  <c r="N235" i="57" a="1"/>
  <c r="N235" i="57" s="1"/>
  <c r="O235" i="57" a="1"/>
  <c r="O235" i="57" s="1"/>
  <c r="K161" i="57"/>
  <c r="AE161" i="57" a="1"/>
  <c r="AE161" i="57" s="1"/>
  <c r="AE183" i="57" s="1"/>
  <c r="AB132" i="57"/>
  <c r="J132" i="57" s="1"/>
  <c r="Z132" i="57"/>
  <c r="H132" i="57" s="1"/>
  <c r="Y132" i="57"/>
  <c r="G132" i="57" s="1"/>
  <c r="K149" i="57"/>
  <c r="K186" i="57" s="1"/>
  <c r="M150" i="57"/>
  <c r="M187" i="57" s="1"/>
  <c r="H150" i="57"/>
  <c r="H187" i="57" s="1"/>
  <c r="L150" i="57"/>
  <c r="L187" i="57" s="1"/>
  <c r="I149" i="57"/>
  <c r="M151" i="57"/>
  <c r="M188" i="57" s="1"/>
  <c r="I150" i="57"/>
  <c r="I187" i="57" s="1"/>
  <c r="I151" i="57"/>
  <c r="I188" i="57" s="1"/>
  <c r="U169" i="57"/>
  <c r="U174" i="57" s="1"/>
  <c r="AB150" i="57"/>
  <c r="J150" i="57" s="1"/>
  <c r="J187" i="57" s="1"/>
  <c r="Y150" i="57"/>
  <c r="AA169" i="57"/>
  <c r="AA183" i="57"/>
  <c r="Y151" i="57"/>
  <c r="AB151" i="57"/>
  <c r="J151" i="57" s="1"/>
  <c r="J188" i="57" s="1"/>
  <c r="V173" i="57"/>
  <c r="R169" i="57"/>
  <c r="Q161" i="57"/>
  <c r="Z161" i="57" s="1"/>
  <c r="H161" i="57" s="1"/>
  <c r="Q149" i="57"/>
  <c r="P161" i="57"/>
  <c r="Y161" i="57" s="1"/>
  <c r="G161" i="57" s="1"/>
  <c r="P149" i="57"/>
  <c r="V178" i="57"/>
  <c r="V179" i="57"/>
  <c r="V175" i="57"/>
  <c r="V176" i="57"/>
  <c r="V174" i="57"/>
  <c r="V177" i="57"/>
  <c r="Q163" i="57"/>
  <c r="Z163" i="57" s="1"/>
  <c r="H163" i="57" s="1"/>
  <c r="Q151" i="57"/>
  <c r="AD151" i="57"/>
  <c r="AC183" i="57"/>
  <c r="AD149" i="57"/>
  <c r="AD183" i="57"/>
  <c r="S161" i="57"/>
  <c r="AB161" i="57" s="1"/>
  <c r="J161" i="57" s="1"/>
  <c r="S149" i="57"/>
  <c r="T176" i="57" l="1"/>
  <c r="AG176" i="57" s="1"/>
  <c r="T177" i="57"/>
  <c r="AG177" i="57" s="1"/>
  <c r="T178" i="57"/>
  <c r="AG178" i="57" s="1"/>
  <c r="T172" i="57"/>
  <c r="T175" i="57"/>
  <c r="AG175" i="57" s="1"/>
  <c r="T174" i="57"/>
  <c r="T179" i="57"/>
  <c r="AG179" i="57" s="1"/>
  <c r="M161" i="57"/>
  <c r="AB219" i="57" a="1"/>
  <c r="AB219" i="57" s="1"/>
  <c r="Y100" i="47" s="1"/>
  <c r="AE200" i="57" a="1"/>
  <c r="AE200" i="57" s="1"/>
  <c r="V202" i="57" a="1"/>
  <c r="V202" i="57" s="1"/>
  <c r="W202" i="57" s="1" a="1"/>
  <c r="W202" i="57" s="1"/>
  <c r="X202" i="57" s="1" a="1"/>
  <c r="X202" i="57" s="1"/>
  <c r="Y202" i="57" s="1" a="1"/>
  <c r="Y202" i="57" s="1"/>
  <c r="Z202" i="57" s="1" a="1"/>
  <c r="Z202" i="57" s="1"/>
  <c r="AA202" i="57" s="1" a="1"/>
  <c r="AA202" i="57" s="1"/>
  <c r="AB202" i="57" s="1" a="1"/>
  <c r="AB202" i="57" s="1"/>
  <c r="AC202" i="57" s="1" a="1"/>
  <c r="AC202" i="57" s="1"/>
  <c r="AD202" i="57" s="1" a="1"/>
  <c r="AD202" i="57" s="1"/>
  <c r="S221" i="57" a="1"/>
  <c r="S221" i="57" s="1"/>
  <c r="T221" i="57" s="1" a="1"/>
  <c r="T221" i="57" s="1"/>
  <c r="U221" i="57" s="1" a="1"/>
  <c r="U221" i="57" s="1"/>
  <c r="V221" i="57" s="1" a="1"/>
  <c r="V221" i="57" s="1"/>
  <c r="W221" i="57" s="1" a="1"/>
  <c r="W221" i="57" s="1"/>
  <c r="X221" i="57" s="1" a="1"/>
  <c r="X221" i="57" s="1"/>
  <c r="Y221" i="57" s="1" a="1"/>
  <c r="Y221" i="57" s="1"/>
  <c r="Z221" i="57" s="1" a="1"/>
  <c r="Z221" i="57" s="1"/>
  <c r="AA221" i="57" s="1" a="1"/>
  <c r="AA221" i="57" s="1"/>
  <c r="AV233" i="57" a="1"/>
  <c r="AV233" i="57" s="1"/>
  <c r="AW233" i="57" s="1" a="1"/>
  <c r="AW233" i="57" s="1"/>
  <c r="AX233" i="57" s="1" a="1"/>
  <c r="AX233" i="57" s="1"/>
  <c r="V201" i="57" a="1"/>
  <c r="V201" i="57" s="1"/>
  <c r="W201" i="57" s="1" a="1"/>
  <c r="W201" i="57" s="1"/>
  <c r="X201" i="57" s="1" a="1"/>
  <c r="X201" i="57" s="1"/>
  <c r="Y201" i="57" s="1" a="1"/>
  <c r="Y201" i="57" s="1"/>
  <c r="Z201" i="57" s="1" a="1"/>
  <c r="Z201" i="57" s="1"/>
  <c r="AA201" i="57" s="1" a="1"/>
  <c r="AA201" i="57" s="1"/>
  <c r="AB201" i="57" s="1" a="1"/>
  <c r="AB201" i="57" s="1"/>
  <c r="AC201" i="57" s="1" a="1"/>
  <c r="AC201" i="57" s="1"/>
  <c r="AD201" i="57" s="1" a="1"/>
  <c r="AD201" i="57" s="1"/>
  <c r="S220" i="57" a="1"/>
  <c r="S220" i="57" s="1"/>
  <c r="T220" i="57" s="1" a="1"/>
  <c r="T220" i="57" s="1"/>
  <c r="U220" i="57" s="1" a="1"/>
  <c r="U220" i="57" s="1"/>
  <c r="V220" i="57" s="1" a="1"/>
  <c r="V220" i="57" s="1"/>
  <c r="W220" i="57" s="1" a="1"/>
  <c r="W220" i="57" s="1"/>
  <c r="X220" i="57" s="1" a="1"/>
  <c r="X220" i="57" s="1"/>
  <c r="Y220" i="57" s="1" a="1"/>
  <c r="Y220" i="57" s="1"/>
  <c r="Z220" i="57" s="1" a="1"/>
  <c r="Z220" i="57" s="1"/>
  <c r="AA220" i="57" s="1" a="1"/>
  <c r="AA220" i="57" s="1"/>
  <c r="N233" i="57" a="1"/>
  <c r="N233" i="57" s="1"/>
  <c r="O233" i="57" a="1"/>
  <c r="O233" i="57" s="1"/>
  <c r="P233" i="57" s="1" a="1"/>
  <c r="P233" i="57" s="1"/>
  <c r="Q233" i="57" s="1" a="1"/>
  <c r="Q233" i="57" s="1"/>
  <c r="P235" i="57" a="1"/>
  <c r="P235" i="57" s="1"/>
  <c r="Q235" i="57" s="1" a="1"/>
  <c r="Q235" i="57" s="1"/>
  <c r="R235" i="57" a="1"/>
  <c r="R235" i="57" s="1"/>
  <c r="S235" i="57" s="1" a="1"/>
  <c r="S235" i="57" s="1"/>
  <c r="T235" i="57" s="1" a="1"/>
  <c r="T235" i="57" s="1"/>
  <c r="U235" i="57" s="1" a="1"/>
  <c r="U235" i="57" s="1"/>
  <c r="V235" i="57" s="1" a="1"/>
  <c r="V235" i="57" s="1"/>
  <c r="W235" i="57" s="1" a="1"/>
  <c r="W235" i="57" s="1"/>
  <c r="X235" i="57" s="1" a="1"/>
  <c r="X235" i="57" s="1"/>
  <c r="Y235" i="57" s="1" a="1"/>
  <c r="Y235" i="57" s="1"/>
  <c r="Z235" i="57" s="1" a="1"/>
  <c r="Z235" i="57" s="1"/>
  <c r="AA235" i="57" s="1" a="1"/>
  <c r="AA235" i="57" s="1"/>
  <c r="R233" i="57" a="1"/>
  <c r="R233" i="57" s="1"/>
  <c r="S233" i="57" s="1" a="1"/>
  <c r="S233" i="57" s="1"/>
  <c r="T233" i="57" s="1" a="1"/>
  <c r="T233" i="57" s="1"/>
  <c r="U233" i="57" s="1" a="1"/>
  <c r="U233" i="57" s="1"/>
  <c r="V233" i="57" s="1" a="1"/>
  <c r="V233" i="57" s="1"/>
  <c r="W233" i="57" s="1" a="1"/>
  <c r="W233" i="57" s="1"/>
  <c r="X233" i="57" s="1" a="1"/>
  <c r="X233" i="57" s="1"/>
  <c r="Y233" i="57" s="1" a="1"/>
  <c r="Y233" i="57" s="1"/>
  <c r="Z233" i="57" s="1" a="1"/>
  <c r="Z233" i="57" s="1"/>
  <c r="AA233" i="57" s="1" a="1"/>
  <c r="AA233" i="57" s="1"/>
  <c r="U201" i="57" a="1"/>
  <c r="U201" i="57" s="1"/>
  <c r="R220" i="57" a="1"/>
  <c r="R220" i="57" s="1"/>
  <c r="O102" i="47" s="1"/>
  <c r="AN221" i="57" a="1"/>
  <c r="AN221" i="57" s="1"/>
  <c r="AO221" i="57" s="1" a="1"/>
  <c r="AO221" i="57" s="1"/>
  <c r="AP221" i="57" s="1" a="1"/>
  <c r="AP221" i="57" s="1"/>
  <c r="AQ202" i="57" a="1"/>
  <c r="AQ202" i="57" s="1"/>
  <c r="AR202" i="57" s="1" a="1"/>
  <c r="AR202" i="57" s="1"/>
  <c r="AS202" i="57" s="1" a="1"/>
  <c r="AS202" i="57" s="1"/>
  <c r="AQ201" i="57" a="1"/>
  <c r="AQ201" i="57" s="1"/>
  <c r="AR201" i="57" s="1" a="1"/>
  <c r="AR201" i="57" s="1"/>
  <c r="AS201" i="57" s="1" a="1"/>
  <c r="AS201" i="57" s="1"/>
  <c r="AN220" i="57" a="1"/>
  <c r="AN220" i="57" s="1"/>
  <c r="AO220" i="57" s="1" a="1"/>
  <c r="AO220" i="57" s="1"/>
  <c r="AP220" i="57" s="1" a="1"/>
  <c r="AP220" i="57" s="1"/>
  <c r="U202" i="57" a="1"/>
  <c r="U202" i="57" s="1"/>
  <c r="R221" i="57" a="1"/>
  <c r="R221" i="57" s="1"/>
  <c r="O101" i="47" s="1"/>
  <c r="Q220" i="57" a="1"/>
  <c r="Q220" i="57" s="1"/>
  <c r="T201" i="57" a="1"/>
  <c r="T201" i="57" s="1"/>
  <c r="AC233" i="57" a="1"/>
  <c r="AC233" i="57" s="1"/>
  <c r="AD233" i="57" s="1" a="1"/>
  <c r="AD233" i="57" s="1"/>
  <c r="AE233" i="57" s="1" a="1"/>
  <c r="AE233" i="57" s="1"/>
  <c r="AF233" i="57" s="1" a="1"/>
  <c r="AF233" i="57" s="1"/>
  <c r="AG233" i="57" s="1" a="1"/>
  <c r="AG233" i="57" s="1"/>
  <c r="AH233" i="57" s="1" a="1"/>
  <c r="AH233" i="57" s="1"/>
  <c r="AI233" i="57" s="1" a="1"/>
  <c r="AI233" i="57" s="1"/>
  <c r="AJ233" i="57" s="1" a="1"/>
  <c r="AJ233" i="57" s="1"/>
  <c r="AK233" i="57" s="1" a="1"/>
  <c r="AK233" i="57" s="1"/>
  <c r="AL233" i="57" a="1"/>
  <c r="AL233" i="57" s="1"/>
  <c r="AM233" i="57" s="1" a="1"/>
  <c r="AM233" i="57" s="1"/>
  <c r="AN233" i="57" s="1" a="1"/>
  <c r="AN233" i="57" s="1"/>
  <c r="AO233" i="57" s="1" a="1"/>
  <c r="AO233" i="57" s="1"/>
  <c r="AP233" i="57" s="1" a="1"/>
  <c r="AP233" i="57" s="1"/>
  <c r="AQ233" i="57" s="1" a="1"/>
  <c r="AQ233" i="57" s="1"/>
  <c r="AR233" i="57" s="1" a="1"/>
  <c r="AR233" i="57" s="1"/>
  <c r="AS233" i="57" s="1" a="1"/>
  <c r="AS233" i="57" s="1"/>
  <c r="AT233" i="57" s="1" a="1"/>
  <c r="AT233" i="57" s="1"/>
  <c r="AU233" i="57" s="1" a="1"/>
  <c r="AU233" i="57" s="1"/>
  <c r="AE149" i="57"/>
  <c r="M149" i="57" s="1"/>
  <c r="M186" i="57" s="1"/>
  <c r="AC220" i="57" a="1"/>
  <c r="AC220" i="57" s="1"/>
  <c r="Z102" i="47" s="1"/>
  <c r="AF201" i="57" a="1"/>
  <c r="AF201" i="57" s="1"/>
  <c r="AG201" i="57" s="1" a="1"/>
  <c r="AG201" i="57" s="1"/>
  <c r="AH201" i="57" s="1" a="1"/>
  <c r="AH201" i="57" s="1"/>
  <c r="AI201" i="57" s="1" a="1"/>
  <c r="AI201" i="57" s="1"/>
  <c r="AJ201" i="57" s="1" a="1"/>
  <c r="AJ201" i="57" s="1"/>
  <c r="AK201" i="57" s="1" a="1"/>
  <c r="AK201" i="57" s="1"/>
  <c r="AL201" i="57" s="1" a="1"/>
  <c r="AL201" i="57" s="1"/>
  <c r="AM201" i="57" s="1" a="1"/>
  <c r="AM201" i="57" s="1"/>
  <c r="AN201" i="57" s="1" a="1"/>
  <c r="AN201" i="57" s="1"/>
  <c r="AL220" i="57" a="1"/>
  <c r="AL220" i="57" s="1"/>
  <c r="AO201" i="57" a="1"/>
  <c r="AO201" i="57" s="1"/>
  <c r="AP201" i="57" s="1" a="1"/>
  <c r="AP201" i="57" s="1"/>
  <c r="K112" i="57"/>
  <c r="U177" i="57"/>
  <c r="U176" i="57"/>
  <c r="U178" i="57"/>
  <c r="U172" i="57"/>
  <c r="U175" i="57"/>
  <c r="X187" i="57"/>
  <c r="Y187" i="57" s="1"/>
  <c r="Z187" i="57" s="1"/>
  <c r="AA187" i="57" s="1"/>
  <c r="AB187" i="57" s="1"/>
  <c r="AC187" i="57" s="1"/>
  <c r="AD187" i="57" s="1"/>
  <c r="AE187" i="57" s="1"/>
  <c r="AF187" i="57" s="1"/>
  <c r="AG187" i="57" s="1"/>
  <c r="AH187" i="57" s="1"/>
  <c r="AI187" i="57" s="1"/>
  <c r="AJ187" i="57" s="1"/>
  <c r="AK187" i="57" s="1"/>
  <c r="AL187" i="57" s="1"/>
  <c r="AM187" i="57" s="1"/>
  <c r="AN187" i="57" s="1"/>
  <c r="AO187" i="57" s="1"/>
  <c r="AP187" i="57" s="1"/>
  <c r="AQ187" i="57" s="1"/>
  <c r="AR187" i="57" s="1"/>
  <c r="I112" i="57"/>
  <c r="U179" i="57"/>
  <c r="X188" i="57"/>
  <c r="Y188" i="57" s="1"/>
  <c r="Z188" i="57" s="1"/>
  <c r="AA188" i="57" s="1"/>
  <c r="AB188" i="57" s="1"/>
  <c r="AC188" i="57" s="1"/>
  <c r="O188" i="57"/>
  <c r="P188" i="57" s="1"/>
  <c r="Q188" i="57" s="1"/>
  <c r="R188" i="57" s="1"/>
  <c r="S188" i="57" s="1"/>
  <c r="T188" i="57" s="1"/>
  <c r="I186" i="57"/>
  <c r="L151" i="57"/>
  <c r="L188" i="57" s="1"/>
  <c r="G151" i="57"/>
  <c r="G188" i="57" s="1"/>
  <c r="U173" i="57"/>
  <c r="G150" i="57"/>
  <c r="G187" i="57" s="1"/>
  <c r="L149" i="57"/>
  <c r="L186" i="57" s="1"/>
  <c r="O187" i="57"/>
  <c r="P187" i="57" s="1"/>
  <c r="Q187" i="57" s="1"/>
  <c r="R187" i="57" s="1"/>
  <c r="S187" i="57" s="1"/>
  <c r="T187" i="57" s="1"/>
  <c r="U187" i="57" s="1"/>
  <c r="V187" i="57" s="1"/>
  <c r="T181" i="57"/>
  <c r="T182" i="57" s="1"/>
  <c r="Z149" i="57"/>
  <c r="H149" i="57" s="1"/>
  <c r="Z183" i="57"/>
  <c r="Z169" i="57"/>
  <c r="Z151" i="57"/>
  <c r="Y149" i="57"/>
  <c r="G149" i="57" s="1"/>
  <c r="AB149" i="57"/>
  <c r="J149" i="57" s="1"/>
  <c r="Y183" i="57"/>
  <c r="Y169" i="57"/>
  <c r="AB169" i="57"/>
  <c r="AB183" i="57"/>
  <c r="V181" i="57"/>
  <c r="V182" i="57" s="1"/>
  <c r="I169" i="57"/>
  <c r="R172" i="57"/>
  <c r="AA172" i="57" s="1"/>
  <c r="R179" i="57"/>
  <c r="AA179" i="57" s="1"/>
  <c r="R178" i="57"/>
  <c r="AA178" i="57" s="1"/>
  <c r="R175" i="57"/>
  <c r="AA175" i="57" s="1"/>
  <c r="R174" i="57"/>
  <c r="AA174" i="57" s="1"/>
  <c r="R177" i="57"/>
  <c r="AA177" i="57" s="1"/>
  <c r="R173" i="57"/>
  <c r="AA173" i="57" s="1"/>
  <c r="R176" i="57"/>
  <c r="AA176" i="57" s="1"/>
  <c r="S169" i="57"/>
  <c r="S172" i="57" s="1"/>
  <c r="AB172" i="57" s="1"/>
  <c r="P169" i="57"/>
  <c r="P172" i="57" s="1"/>
  <c r="Y172" i="57" s="1"/>
  <c r="Q169" i="57"/>
  <c r="Q172" i="57" s="1"/>
  <c r="Z172" i="57" s="1"/>
  <c r="AG180" i="57" l="1"/>
  <c r="AI177" i="57" s="1"/>
  <c r="AJ177" i="57" s="1"/>
  <c r="AM220" i="57"/>
  <c r="AD220" i="57" a="1"/>
  <c r="AD220" i="57" s="1"/>
  <c r="AE220" i="57" s="1" a="1"/>
  <c r="AE220" i="57" s="1"/>
  <c r="AF220" i="57" s="1" a="1"/>
  <c r="AF220" i="57" s="1"/>
  <c r="AG220" i="57" s="1" a="1"/>
  <c r="AG220" i="57" s="1"/>
  <c r="AH220" i="57" s="1" a="1"/>
  <c r="AH220" i="57" s="1"/>
  <c r="AI220" i="57" s="1" a="1"/>
  <c r="AI220" i="57" s="1"/>
  <c r="AJ220" i="57" s="1" a="1"/>
  <c r="AJ220" i="57" s="1"/>
  <c r="AK220" i="57" s="1" a="1"/>
  <c r="AK220" i="57" s="1"/>
  <c r="AN219" i="57" a="1"/>
  <c r="AN219" i="57" s="1"/>
  <c r="AO219" i="57" s="1" a="1"/>
  <c r="AO219" i="57" s="1"/>
  <c r="AP219" i="57" s="1" a="1"/>
  <c r="AP219" i="57" s="1"/>
  <c r="AQ200" i="57" a="1"/>
  <c r="AQ200" i="57" s="1"/>
  <c r="AR200" i="57" s="1" a="1"/>
  <c r="AR200" i="57" s="1"/>
  <c r="AS200" i="57" s="1" a="1"/>
  <c r="AS200" i="57" s="1"/>
  <c r="U200" i="57" a="1"/>
  <c r="U200" i="57" s="1"/>
  <c r="R219" i="57" a="1"/>
  <c r="R219" i="57" s="1"/>
  <c r="O100" i="47" s="1"/>
  <c r="AF200" i="57" a="1"/>
  <c r="AF200" i="57" s="1"/>
  <c r="AG200" i="57" s="1" a="1"/>
  <c r="AG200" i="57" s="1"/>
  <c r="AH200" i="57" s="1" a="1"/>
  <c r="AH200" i="57" s="1"/>
  <c r="AI200" i="57" s="1" a="1"/>
  <c r="AI200" i="57" s="1"/>
  <c r="AJ200" i="57" s="1" a="1"/>
  <c r="AJ200" i="57" s="1"/>
  <c r="AK200" i="57" s="1" a="1"/>
  <c r="AK200" i="57" s="1"/>
  <c r="AL200" i="57" s="1" a="1"/>
  <c r="AL200" i="57" s="1"/>
  <c r="AM200" i="57" s="1" a="1"/>
  <c r="AM200" i="57" s="1"/>
  <c r="AN200" i="57" s="1" a="1"/>
  <c r="AN200" i="57" s="1"/>
  <c r="AC219" i="57" a="1"/>
  <c r="AC219" i="57" s="1"/>
  <c r="AD219" i="57" s="1" a="1"/>
  <c r="AD219" i="57" s="1"/>
  <c r="AE219" i="57" s="1" a="1"/>
  <c r="AE219" i="57" s="1"/>
  <c r="AF219" i="57" s="1" a="1"/>
  <c r="AF219" i="57" s="1"/>
  <c r="AG219" i="57" s="1" a="1"/>
  <c r="AG219" i="57" s="1"/>
  <c r="AH219" i="57" s="1" a="1"/>
  <c r="AH219" i="57" s="1"/>
  <c r="AI219" i="57" s="1" a="1"/>
  <c r="AI219" i="57" s="1"/>
  <c r="AJ219" i="57" s="1" a="1"/>
  <c r="AJ219" i="57" s="1"/>
  <c r="AK219" i="57" s="1" a="1"/>
  <c r="AK219" i="57" s="1"/>
  <c r="AL219" i="57" a="1"/>
  <c r="AL219" i="57" s="1"/>
  <c r="AO200" i="57" a="1"/>
  <c r="AO200" i="57" s="1"/>
  <c r="AP200" i="57" s="1" a="1"/>
  <c r="AP200" i="57" s="1"/>
  <c r="Q202" i="57" a="1"/>
  <c r="Q202" i="57" s="1"/>
  <c r="N221" i="57" a="1"/>
  <c r="N221" i="57" s="1"/>
  <c r="K101" i="47" s="1"/>
  <c r="O221" i="57" a="1"/>
  <c r="O221" i="57" s="1"/>
  <c r="L101" i="47" s="1"/>
  <c r="R202" i="57" a="1"/>
  <c r="R202" i="57" s="1"/>
  <c r="AF202" i="57" a="1"/>
  <c r="AF202" i="57" s="1"/>
  <c r="AG202" i="57" s="1" a="1"/>
  <c r="AG202" i="57" s="1"/>
  <c r="AH202" i="57" s="1" a="1"/>
  <c r="AH202" i="57" s="1"/>
  <c r="AI202" i="57" s="1" a="1"/>
  <c r="AI202" i="57" s="1"/>
  <c r="AJ202" i="57" s="1" a="1"/>
  <c r="AJ202" i="57" s="1"/>
  <c r="AK202" i="57" s="1" a="1"/>
  <c r="AK202" i="57" s="1"/>
  <c r="AL202" i="57" s="1" a="1"/>
  <c r="AL202" i="57" s="1"/>
  <c r="AM202" i="57" s="1" a="1"/>
  <c r="AM202" i="57" s="1"/>
  <c r="AN202" i="57" s="1" a="1"/>
  <c r="AN202" i="57" s="1"/>
  <c r="AC221" i="57" a="1"/>
  <c r="AC221" i="57" s="1"/>
  <c r="AD221" i="57" s="1" a="1"/>
  <c r="AD221" i="57" s="1"/>
  <c r="AE221" i="57" s="1" a="1"/>
  <c r="AE221" i="57" s="1"/>
  <c r="AF221" i="57" s="1" a="1"/>
  <c r="AF221" i="57" s="1"/>
  <c r="AG221" i="57" s="1" a="1"/>
  <c r="AG221" i="57" s="1"/>
  <c r="AH221" i="57" s="1" a="1"/>
  <c r="AH221" i="57" s="1"/>
  <c r="AI221" i="57" s="1" a="1"/>
  <c r="AI221" i="57" s="1"/>
  <c r="AJ221" i="57" s="1" a="1"/>
  <c r="AJ221" i="57" s="1"/>
  <c r="AK221" i="57" s="1" a="1"/>
  <c r="AK221" i="57" s="1"/>
  <c r="AO202" i="57" a="1"/>
  <c r="AO202" i="57" s="1"/>
  <c r="AP202" i="57" s="1" a="1"/>
  <c r="AP202" i="57" s="1"/>
  <c r="AL221" i="57" a="1"/>
  <c r="AL221" i="57" s="1"/>
  <c r="AM221" i="57" s="1"/>
  <c r="Q201" i="57" a="1"/>
  <c r="Q201" i="57" s="1"/>
  <c r="N220" i="57" a="1"/>
  <c r="N220" i="57" s="1"/>
  <c r="K102" i="47" s="1"/>
  <c r="R201" i="57" a="1"/>
  <c r="R201" i="57" s="1"/>
  <c r="S201" i="57" s="1" a="1"/>
  <c r="S201" i="57" s="1"/>
  <c r="O220" i="57" a="1"/>
  <c r="O220" i="57" s="1"/>
  <c r="P220" i="57" s="1" a="1"/>
  <c r="P220" i="57" s="1"/>
  <c r="U181" i="57"/>
  <c r="U182" i="57" s="1"/>
  <c r="AI102" i="47"/>
  <c r="P102" i="47"/>
  <c r="G112" i="57"/>
  <c r="L112" i="57"/>
  <c r="O186" i="57"/>
  <c r="P186" i="57" s="1"/>
  <c r="Q186" i="57" s="1"/>
  <c r="R186" i="57" s="1"/>
  <c r="S186" i="57" s="1"/>
  <c r="T186" i="57" s="1"/>
  <c r="U186" i="57" s="1"/>
  <c r="V186" i="57" s="1"/>
  <c r="X186" i="57"/>
  <c r="Y186" i="57" s="1"/>
  <c r="Z186" i="57" s="1"/>
  <c r="AA186" i="57" s="1"/>
  <c r="AB186" i="57" s="1"/>
  <c r="AC186" i="57" s="1"/>
  <c r="AD186" i="57" s="1"/>
  <c r="AE186" i="57" s="1"/>
  <c r="AF186" i="57" s="1"/>
  <c r="AG186" i="57" s="1"/>
  <c r="AH186" i="57" s="1"/>
  <c r="AI186" i="57" s="1"/>
  <c r="AJ186" i="57" s="1"/>
  <c r="AK186" i="57" s="1"/>
  <c r="AL186" i="57" s="1"/>
  <c r="AM186" i="57" s="1"/>
  <c r="AN186" i="57" s="1"/>
  <c r="AO186" i="57" s="1"/>
  <c r="AP186" i="57" s="1"/>
  <c r="AQ186" i="57" s="1"/>
  <c r="AR186" i="57" s="1"/>
  <c r="H151" i="57"/>
  <c r="H188" i="57" s="1"/>
  <c r="M112" i="57"/>
  <c r="U188" i="57"/>
  <c r="V188" i="57" s="1"/>
  <c r="AD188" i="57"/>
  <c r="AE188" i="57" s="1"/>
  <c r="AF188" i="57" s="1"/>
  <c r="AG188" i="57" s="1"/>
  <c r="AH188" i="57" s="1"/>
  <c r="AI188" i="57" s="1"/>
  <c r="AJ188" i="57" s="1"/>
  <c r="AK188" i="57" s="1"/>
  <c r="AL188" i="57" s="1"/>
  <c r="AM188" i="57" s="1"/>
  <c r="AN188" i="57" s="1"/>
  <c r="AO188" i="57" s="1"/>
  <c r="AP188" i="57" s="1"/>
  <c r="AQ188" i="57" s="1"/>
  <c r="AR188" i="57" s="1"/>
  <c r="J186" i="57"/>
  <c r="J112" i="57"/>
  <c r="H186" i="57"/>
  <c r="G186" i="57"/>
  <c r="R181" i="57"/>
  <c r="I174" i="57"/>
  <c r="I176" i="57"/>
  <c r="I175" i="57"/>
  <c r="I177" i="57"/>
  <c r="I172" i="57"/>
  <c r="I179" i="57"/>
  <c r="I173" i="57"/>
  <c r="I178" i="57"/>
  <c r="P101" i="47"/>
  <c r="S178" i="57"/>
  <c r="AB178" i="57" s="1"/>
  <c r="S177" i="57"/>
  <c r="AB177" i="57" s="1"/>
  <c r="S175" i="57"/>
  <c r="AB175" i="57" s="1"/>
  <c r="S176" i="57"/>
  <c r="AB176" i="57" s="1"/>
  <c r="S179" i="57"/>
  <c r="AB179" i="57" s="1"/>
  <c r="S174" i="57"/>
  <c r="AB174" i="57" s="1"/>
  <c r="S173" i="57"/>
  <c r="AB173" i="57" s="1"/>
  <c r="Q175" i="57"/>
  <c r="Z175" i="57" s="1"/>
  <c r="Q177" i="57"/>
  <c r="Z177" i="57" s="1"/>
  <c r="Q176" i="57"/>
  <c r="Z176" i="57" s="1"/>
  <c r="Q179" i="57"/>
  <c r="Z179" i="57" s="1"/>
  <c r="Q178" i="57"/>
  <c r="Z178" i="57" s="1"/>
  <c r="Q173" i="57"/>
  <c r="Z173" i="57" s="1"/>
  <c r="H169" i="57"/>
  <c r="H172" i="57" s="1"/>
  <c r="G169" i="57"/>
  <c r="G172" i="57" s="1"/>
  <c r="Q102" i="47"/>
  <c r="P175" i="57"/>
  <c r="Y175" i="57" s="1"/>
  <c r="P178" i="57"/>
  <c r="Y178" i="57" s="1"/>
  <c r="P177" i="57"/>
  <c r="Y177" i="57" s="1"/>
  <c r="P176" i="57"/>
  <c r="Y176" i="57" s="1"/>
  <c r="P173" i="57"/>
  <c r="Y173" i="57" s="1"/>
  <c r="P179" i="57"/>
  <c r="Y179" i="57" s="1"/>
  <c r="P174" i="57"/>
  <c r="Y174" i="57" s="1"/>
  <c r="Q174" i="57"/>
  <c r="N102" i="47"/>
  <c r="AA102" i="47" l="1"/>
  <c r="AM177" i="57"/>
  <c r="AI166" i="57"/>
  <c r="AI179" i="57"/>
  <c r="AJ179" i="57" s="1"/>
  <c r="AJ168" i="57" s="1"/>
  <c r="AI178" i="57"/>
  <c r="AM178" i="57" s="1"/>
  <c r="AQ178" i="57" s="1"/>
  <c r="AQ167" i="57" s="1"/>
  <c r="AI175" i="57"/>
  <c r="AM175" i="57" s="1"/>
  <c r="AQ175" i="57" s="1"/>
  <c r="AQ164" i="57" s="1"/>
  <c r="Z101" i="47"/>
  <c r="Z100" i="47"/>
  <c r="S202" i="57" a="1"/>
  <c r="S202" i="57" s="1"/>
  <c r="P221" i="57" a="1"/>
  <c r="P221" i="57" s="1"/>
  <c r="M101" i="47" s="1"/>
  <c r="T202" i="57" a="1"/>
  <c r="T202" i="57" s="1"/>
  <c r="Q221" i="57" a="1"/>
  <c r="Q221" i="57" s="1"/>
  <c r="N101" i="47" s="1"/>
  <c r="N219" i="57" a="1"/>
  <c r="N219" i="57" s="1"/>
  <c r="K100" i="47" s="1"/>
  <c r="Q200" i="57" a="1"/>
  <c r="Q200" i="57" s="1"/>
  <c r="O219" i="57" a="1"/>
  <c r="O219" i="57" s="1"/>
  <c r="L100" i="47" s="1"/>
  <c r="R200" i="57" a="1"/>
  <c r="R200" i="57" s="1"/>
  <c r="S200" i="57" s="1" a="1"/>
  <c r="S200" i="57" s="1"/>
  <c r="L102" i="47"/>
  <c r="Q219" i="57" a="1"/>
  <c r="Q219" i="57" s="1"/>
  <c r="T200" i="57" a="1"/>
  <c r="T200" i="57" s="1"/>
  <c r="V200" i="57" a="1"/>
  <c r="V200" i="57" s="1"/>
  <c r="W200" i="57" s="1" a="1"/>
  <c r="W200" i="57" s="1"/>
  <c r="X200" i="57" s="1" a="1"/>
  <c r="X200" i="57" s="1"/>
  <c r="Y200" i="57" s="1" a="1"/>
  <c r="Y200" i="57" s="1"/>
  <c r="Z200" i="57" s="1" a="1"/>
  <c r="Z200" i="57" s="1"/>
  <c r="AA200" i="57" s="1" a="1"/>
  <c r="AA200" i="57" s="1"/>
  <c r="AB200" i="57" s="1" a="1"/>
  <c r="AB200" i="57" s="1"/>
  <c r="AC200" i="57" s="1" a="1"/>
  <c r="AC200" i="57" s="1"/>
  <c r="AD200" i="57" s="1" a="1"/>
  <c r="AD200" i="57" s="1"/>
  <c r="S219" i="57" a="1"/>
  <c r="S219" i="57" s="1"/>
  <c r="T219" i="57" s="1" a="1"/>
  <c r="T219" i="57" s="1"/>
  <c r="U219" i="57" s="1" a="1"/>
  <c r="U219" i="57" s="1"/>
  <c r="V219" i="57" s="1" a="1"/>
  <c r="V219" i="57" s="1"/>
  <c r="W219" i="57" s="1" a="1"/>
  <c r="W219" i="57" s="1"/>
  <c r="X219" i="57" s="1" a="1"/>
  <c r="X219" i="57" s="1"/>
  <c r="Y219" i="57" s="1" a="1"/>
  <c r="Y219" i="57" s="1"/>
  <c r="Z219" i="57" s="1" a="1"/>
  <c r="Z219" i="57" s="1"/>
  <c r="AA219" i="57" s="1" a="1"/>
  <c r="AA219" i="57" s="1"/>
  <c r="H112" i="57"/>
  <c r="AI168" i="57"/>
  <c r="AM179" i="57"/>
  <c r="AM168" i="57" s="1"/>
  <c r="AI101" i="47"/>
  <c r="M102" i="47"/>
  <c r="Q101" i="47"/>
  <c r="Q181" i="57"/>
  <c r="Z174" i="57"/>
  <c r="R182" i="57"/>
  <c r="AA182" i="57" s="1"/>
  <c r="AA181" i="57"/>
  <c r="S181" i="57"/>
  <c r="AM219" i="57"/>
  <c r="I181" i="57"/>
  <c r="I182" i="57" s="1"/>
  <c r="AA100" i="47"/>
  <c r="H174" i="57"/>
  <c r="P181" i="57"/>
  <c r="AB102" i="47"/>
  <c r="AN177" i="57"/>
  <c r="AK177" i="57"/>
  <c r="AJ166" i="57"/>
  <c r="AI100" i="47"/>
  <c r="G178" i="57"/>
  <c r="G179" i="57"/>
  <c r="G175" i="57"/>
  <c r="G176" i="57"/>
  <c r="G177" i="57"/>
  <c r="G173" i="57"/>
  <c r="G174" i="57"/>
  <c r="AQ177" i="57"/>
  <c r="AQ166" i="57" s="1"/>
  <c r="AM166" i="57"/>
  <c r="AC166" i="57" s="1" a="1"/>
  <c r="AC166" i="57" s="1"/>
  <c r="H176" i="57"/>
  <c r="H175" i="57"/>
  <c r="H179" i="57"/>
  <c r="H178" i="57"/>
  <c r="H177" i="57"/>
  <c r="H173" i="57"/>
  <c r="R102" i="47"/>
  <c r="AJ178" i="57" l="1"/>
  <c r="AJ167" i="57" s="1"/>
  <c r="AN179" i="57"/>
  <c r="AK179" i="57"/>
  <c r="AK168" i="57" s="1"/>
  <c r="AI167" i="57"/>
  <c r="AC167" i="57" s="1" a="1"/>
  <c r="AC167" i="57" s="1"/>
  <c r="AC155" i="57" s="1"/>
  <c r="AM167" i="57"/>
  <c r="AJ175" i="57"/>
  <c r="AJ164" i="57" s="1"/>
  <c r="P100" i="47"/>
  <c r="P219" i="57" a="1"/>
  <c r="P219" i="57" s="1"/>
  <c r="M100" i="47" s="1"/>
  <c r="AI164" i="57"/>
  <c r="AM164" i="57"/>
  <c r="AI176" i="57"/>
  <c r="AM176" i="57" s="1"/>
  <c r="AQ176" i="57" s="1"/>
  <c r="AQ165" i="57" s="1"/>
  <c r="AC168" i="57" a="1"/>
  <c r="AC168" i="57" s="1"/>
  <c r="K168" i="57" s="1"/>
  <c r="AQ179" i="57"/>
  <c r="AQ168" i="57" s="1"/>
  <c r="H181" i="57"/>
  <c r="H182" i="57" s="1"/>
  <c r="R101" i="47"/>
  <c r="K166" i="57"/>
  <c r="AC154" i="57"/>
  <c r="K154" i="57" s="1"/>
  <c r="K191" i="57" s="1"/>
  <c r="AC164" i="57" a="1"/>
  <c r="AC164" i="57" s="1"/>
  <c r="K164" i="57" s="1"/>
  <c r="AA101" i="47"/>
  <c r="J193" i="57"/>
  <c r="J191" i="57"/>
  <c r="S182" i="57"/>
  <c r="AB182" i="57" s="1"/>
  <c r="AB181" i="57"/>
  <c r="P182" i="57"/>
  <c r="Y182" i="57" s="1"/>
  <c r="Y181" i="57"/>
  <c r="Q182" i="57"/>
  <c r="Z182" i="57" s="1"/>
  <c r="Z181" i="57"/>
  <c r="Q100" i="47"/>
  <c r="G181" i="57"/>
  <c r="G182" i="57" s="1"/>
  <c r="N100" i="47"/>
  <c r="AO177" i="57"/>
  <c r="AK166" i="57"/>
  <c r="AR177" i="57"/>
  <c r="AR166" i="57" s="1"/>
  <c r="AN166" i="57"/>
  <c r="AD166" i="57" s="1" a="1"/>
  <c r="AD166" i="57" s="1"/>
  <c r="AR179" i="57"/>
  <c r="AR168" i="57" s="1"/>
  <c r="AN168" i="57"/>
  <c r="AC102" i="47"/>
  <c r="S102" i="47"/>
  <c r="AO179" i="57" l="1"/>
  <c r="AS179" i="57" s="1"/>
  <c r="AS168" i="57" s="1"/>
  <c r="AJ176" i="57"/>
  <c r="AN176" i="57" s="1"/>
  <c r="AK178" i="57"/>
  <c r="AO178" i="57" s="1"/>
  <c r="AN178" i="57"/>
  <c r="AN167" i="57" s="1"/>
  <c r="AK175" i="57"/>
  <c r="AO175" i="57" s="1"/>
  <c r="AS175" i="57" s="1"/>
  <c r="AS164" i="57" s="1"/>
  <c r="AD168" i="57" a="1"/>
  <c r="AD168" i="57" s="1"/>
  <c r="AD156" i="57" s="1"/>
  <c r="L156" i="57" s="1"/>
  <c r="L193" i="57" s="1"/>
  <c r="AN175" i="57"/>
  <c r="AN164" i="57" s="1"/>
  <c r="K167" i="57"/>
  <c r="AM239" i="57" s="1" a="1"/>
  <c r="AM239" i="57" s="1"/>
  <c r="AN239" i="57" s="1" a="1"/>
  <c r="AN239" i="57" s="1"/>
  <c r="AO239" i="57" s="1" a="1"/>
  <c r="AO239" i="57" s="1"/>
  <c r="AP239" i="57" s="1" a="1"/>
  <c r="AP239" i="57" s="1"/>
  <c r="AQ239" i="57" s="1" a="1"/>
  <c r="AQ239" i="57" s="1"/>
  <c r="AR239" i="57" s="1" a="1"/>
  <c r="AR239" i="57" s="1"/>
  <c r="AS239" i="57" s="1" a="1"/>
  <c r="AS239" i="57" s="1"/>
  <c r="AT239" i="57" s="1" a="1"/>
  <c r="AT239" i="57" s="1"/>
  <c r="AU239" i="57" s="1" a="1"/>
  <c r="AU239" i="57" s="1"/>
  <c r="AM165" i="57"/>
  <c r="AI165" i="57"/>
  <c r="AC165" i="57" s="1" a="1"/>
  <c r="AC165" i="57" s="1"/>
  <c r="K165" i="57" s="1"/>
  <c r="AM237" i="57" s="1" a="1"/>
  <c r="AM237" i="57" s="1"/>
  <c r="AN237" i="57" s="1" a="1"/>
  <c r="AN237" i="57" s="1"/>
  <c r="AO237" i="57" s="1" a="1"/>
  <c r="AO237" i="57" s="1"/>
  <c r="AP237" i="57" s="1" a="1"/>
  <c r="AP237" i="57" s="1"/>
  <c r="AQ237" i="57" s="1" a="1"/>
  <c r="AQ237" i="57" s="1"/>
  <c r="AR237" i="57" s="1" a="1"/>
  <c r="AR237" i="57" s="1"/>
  <c r="AS237" i="57" s="1" a="1"/>
  <c r="AS237" i="57" s="1"/>
  <c r="AT237" i="57" s="1" a="1"/>
  <c r="AT237" i="57" s="1"/>
  <c r="AU237" i="57" s="1" a="1"/>
  <c r="AU237" i="57" s="1"/>
  <c r="AR178" i="57"/>
  <c r="AR167" i="57" s="1"/>
  <c r="AD167" i="57" s="1" a="1"/>
  <c r="AD167" i="57" s="1"/>
  <c r="L167" i="57" s="1"/>
  <c r="AK167" i="57"/>
  <c r="AC156" i="57"/>
  <c r="K156" i="57" s="1"/>
  <c r="K193" i="57" s="1"/>
  <c r="AE207" i="57" s="1" a="1"/>
  <c r="AE207" i="57" s="1"/>
  <c r="AE205" i="57" a="1"/>
  <c r="AE205" i="57" s="1"/>
  <c r="AB224" i="57" a="1"/>
  <c r="AB224" i="57" s="1"/>
  <c r="Y103" i="47" s="1"/>
  <c r="V205" i="57" a="1"/>
  <c r="V205" i="57" s="1"/>
  <c r="W205" i="57" s="1" a="1"/>
  <c r="W205" i="57" s="1"/>
  <c r="X205" i="57" s="1" a="1"/>
  <c r="X205" i="57" s="1"/>
  <c r="Y205" i="57" s="1" a="1"/>
  <c r="Y205" i="57" s="1"/>
  <c r="Z205" i="57" s="1" a="1"/>
  <c r="Z205" i="57" s="1"/>
  <c r="AA205" i="57" s="1" a="1"/>
  <c r="AA205" i="57" s="1"/>
  <c r="AB205" i="57" s="1" a="1"/>
  <c r="AB205" i="57" s="1"/>
  <c r="AC205" i="57" s="1" a="1"/>
  <c r="AC205" i="57" s="1"/>
  <c r="AD205" i="57" s="1" a="1"/>
  <c r="AD205" i="57" s="1"/>
  <c r="S224" i="57" a="1"/>
  <c r="S224" i="57" s="1"/>
  <c r="T224" i="57" s="1" a="1"/>
  <c r="T224" i="57" s="1"/>
  <c r="AM236" i="57" a="1"/>
  <c r="AM236" i="57" s="1"/>
  <c r="AN236" i="57" s="1" a="1"/>
  <c r="AN236" i="57" s="1"/>
  <c r="AO236" i="57" s="1" a="1"/>
  <c r="AO236" i="57" s="1"/>
  <c r="AP236" i="57" s="1" a="1"/>
  <c r="AP236" i="57" s="1"/>
  <c r="AQ236" i="57" s="1" a="1"/>
  <c r="AQ236" i="57" s="1"/>
  <c r="AR236" i="57" s="1" a="1"/>
  <c r="AR236" i="57" s="1"/>
  <c r="AS236" i="57" s="1" a="1"/>
  <c r="AS236" i="57" s="1"/>
  <c r="AT236" i="57" s="1" a="1"/>
  <c r="AT236" i="57" s="1"/>
  <c r="AU236" i="57" s="1" a="1"/>
  <c r="AU236" i="57" s="1"/>
  <c r="AV236" i="57" a="1"/>
  <c r="AV236" i="57" s="1"/>
  <c r="AW236" i="57" s="1" a="1"/>
  <c r="AW236" i="57" s="1"/>
  <c r="AX236" i="57" s="1" a="1"/>
  <c r="AX236" i="57" s="1"/>
  <c r="AM238" i="57" a="1"/>
  <c r="AM238" i="57" s="1"/>
  <c r="AN238" i="57" s="1" a="1"/>
  <c r="AN238" i="57" s="1"/>
  <c r="AO238" i="57" s="1" a="1"/>
  <c r="AO238" i="57" s="1"/>
  <c r="AP238" i="57" s="1" a="1"/>
  <c r="AP238" i="57" s="1"/>
  <c r="AQ238" i="57" s="1" a="1"/>
  <c r="AQ238" i="57" s="1"/>
  <c r="AR238" i="57" s="1" a="1"/>
  <c r="AR238" i="57" s="1"/>
  <c r="AS238" i="57" s="1" a="1"/>
  <c r="AS238" i="57" s="1"/>
  <c r="AT238" i="57" s="1" a="1"/>
  <c r="AT238" i="57" s="1"/>
  <c r="AU238" i="57" s="1" a="1"/>
  <c r="AU238" i="57" s="1"/>
  <c r="AV238" i="57" a="1"/>
  <c r="AV238" i="57" s="1"/>
  <c r="AW238" i="57" s="1" a="1"/>
  <c r="AW238" i="57" s="1"/>
  <c r="AX238" i="57" s="1" a="1"/>
  <c r="AX238" i="57" s="1"/>
  <c r="V207" i="57" a="1"/>
  <c r="V207" i="57" s="1"/>
  <c r="S226" i="57" a="1"/>
  <c r="S226" i="57" s="1"/>
  <c r="P105" i="47" s="1"/>
  <c r="AM240" i="57" a="1"/>
  <c r="AM240" i="57" s="1"/>
  <c r="AN240" i="57" s="1" a="1"/>
  <c r="AN240" i="57" s="1"/>
  <c r="AO240" i="57" s="1" a="1"/>
  <c r="AO240" i="57" s="1"/>
  <c r="AP240" i="57" s="1" a="1"/>
  <c r="AP240" i="57" s="1"/>
  <c r="AQ240" i="57" s="1" a="1"/>
  <c r="AQ240" i="57" s="1"/>
  <c r="AR240" i="57" s="1" a="1"/>
  <c r="AR240" i="57" s="1"/>
  <c r="AS240" i="57" s="1" a="1"/>
  <c r="AS240" i="57" s="1"/>
  <c r="AT240" i="57" s="1" a="1"/>
  <c r="AT240" i="57" s="1"/>
  <c r="AU240" i="57" s="1" a="1"/>
  <c r="AU240" i="57" s="1"/>
  <c r="AV240" i="57" a="1"/>
  <c r="AV240" i="57" s="1"/>
  <c r="AW240" i="57" s="1" a="1"/>
  <c r="AW240" i="57" s="1"/>
  <c r="AX240" i="57" s="1" a="1"/>
  <c r="AX240" i="57" s="1"/>
  <c r="AC152" i="57"/>
  <c r="K152" i="57" s="1"/>
  <c r="K189" i="57" s="1"/>
  <c r="L166" i="57"/>
  <c r="AD154" i="57"/>
  <c r="L154" i="57" s="1"/>
  <c r="L191" i="57" s="1"/>
  <c r="AB101" i="47"/>
  <c r="J192" i="57"/>
  <c r="K155" i="57"/>
  <c r="K192" i="57" s="1"/>
  <c r="J189" i="57"/>
  <c r="J190" i="57"/>
  <c r="S191" i="57"/>
  <c r="T191" i="57" s="1"/>
  <c r="AB191" i="57"/>
  <c r="AC191" i="57" s="1"/>
  <c r="J169" i="57"/>
  <c r="J175" i="57" s="1"/>
  <c r="R100" i="47"/>
  <c r="AB100" i="47"/>
  <c r="AS177" i="57"/>
  <c r="AS166" i="57" s="1"/>
  <c r="AO166" i="57"/>
  <c r="AC100" i="47"/>
  <c r="T102" i="47"/>
  <c r="AR176" i="57"/>
  <c r="AR165" i="57" s="1"/>
  <c r="AN165" i="57"/>
  <c r="AS178" i="57"/>
  <c r="AS167" i="57" s="1"/>
  <c r="AO167" i="57"/>
  <c r="AD102" i="47"/>
  <c r="S101" i="47"/>
  <c r="AJ165" i="57" l="1"/>
  <c r="AO168" i="57"/>
  <c r="AE168" i="57" s="1" a="1"/>
  <c r="AE168" i="57" s="1"/>
  <c r="M168" i="57" s="1"/>
  <c r="AK176" i="57"/>
  <c r="AO176" i="57" s="1"/>
  <c r="AS176" i="57" s="1"/>
  <c r="AS165" i="57" s="1"/>
  <c r="AO164" i="57"/>
  <c r="AK164" i="57"/>
  <c r="AE167" i="57" a="1"/>
  <c r="AE167" i="57" s="1"/>
  <c r="AE155" i="57" s="1"/>
  <c r="M155" i="57" s="1"/>
  <c r="M192" i="57" s="1"/>
  <c r="L168" i="57"/>
  <c r="AV239" i="57" a="1"/>
  <c r="AV239" i="57" s="1"/>
  <c r="AW239" i="57" s="1" a="1"/>
  <c r="AW239" i="57" s="1"/>
  <c r="AX239" i="57" s="1" a="1"/>
  <c r="AX239" i="57" s="1"/>
  <c r="AR175" i="57"/>
  <c r="AR164" i="57" s="1"/>
  <c r="AD164" i="57" s="1" a="1"/>
  <c r="AD164" i="57" s="1"/>
  <c r="AD152" i="57" s="1"/>
  <c r="L152" i="57" s="1"/>
  <c r="L189" i="57" s="1"/>
  <c r="AB193" i="57"/>
  <c r="AC193" i="57" s="1"/>
  <c r="AD193" i="57" s="1"/>
  <c r="K169" i="57"/>
  <c r="K178" i="57" s="1"/>
  <c r="AC153" i="57"/>
  <c r="K153" i="57" s="1"/>
  <c r="K190" i="57" s="1"/>
  <c r="AE204" i="57" s="1" a="1"/>
  <c r="AE204" i="57" s="1"/>
  <c r="AV237" i="57" a="1"/>
  <c r="AV237" i="57" s="1"/>
  <c r="AW237" i="57" s="1" a="1"/>
  <c r="AW237" i="57" s="1"/>
  <c r="AX237" i="57" s="1" a="1"/>
  <c r="AX237" i="57" s="1"/>
  <c r="AC169" i="57"/>
  <c r="AC175" i="57" s="1"/>
  <c r="W207" i="57" a="1"/>
  <c r="W207" i="57" s="1"/>
  <c r="X207" i="57" s="1" a="1"/>
  <c r="X207" i="57" s="1"/>
  <c r="Y207" i="57" s="1" a="1"/>
  <c r="Y207" i="57" s="1"/>
  <c r="Z207" i="57" s="1" a="1"/>
  <c r="Z207" i="57" s="1"/>
  <c r="AA207" i="57" s="1" a="1"/>
  <c r="AA207" i="57" s="1"/>
  <c r="AB207" i="57" s="1" a="1"/>
  <c r="AB207" i="57" s="1"/>
  <c r="AC207" i="57" s="1" a="1"/>
  <c r="AC207" i="57" s="1"/>
  <c r="AD207" i="57" s="1" a="1"/>
  <c r="AD207" i="57" s="1"/>
  <c r="S193" i="57"/>
  <c r="T193" i="57" s="1"/>
  <c r="U193" i="57" s="1"/>
  <c r="AB226" i="57" a="1"/>
  <c r="AB226" i="57" s="1"/>
  <c r="Y105" i="47" s="1"/>
  <c r="T226" i="57" a="1"/>
  <c r="T226" i="57" s="1"/>
  <c r="U226" i="57" s="1" a="1"/>
  <c r="U226" i="57" s="1"/>
  <c r="V226" i="57" s="1" a="1"/>
  <c r="V226" i="57" s="1"/>
  <c r="W226" i="57" s="1" a="1"/>
  <c r="W226" i="57" s="1"/>
  <c r="X226" i="57" s="1" a="1"/>
  <c r="X226" i="57" s="1"/>
  <c r="Y226" i="57" s="1" a="1"/>
  <c r="Y226" i="57" s="1"/>
  <c r="Z226" i="57" s="1" a="1"/>
  <c r="Z226" i="57" s="1"/>
  <c r="AA226" i="57" s="1" a="1"/>
  <c r="AA226" i="57" s="1"/>
  <c r="Q103" i="47"/>
  <c r="U224" i="57" a="1"/>
  <c r="U224" i="57" s="1"/>
  <c r="V224" i="57" s="1" a="1"/>
  <c r="V224" i="57" s="1"/>
  <c r="W224" i="57" s="1" a="1"/>
  <c r="W224" i="57" s="1"/>
  <c r="X224" i="57" s="1" a="1"/>
  <c r="X224" i="57" s="1"/>
  <c r="Y224" i="57" s="1" a="1"/>
  <c r="Y224" i="57" s="1"/>
  <c r="Z224" i="57" s="1" a="1"/>
  <c r="Z224" i="57" s="1"/>
  <c r="AA224" i="57" s="1" a="1"/>
  <c r="AA224" i="57" s="1"/>
  <c r="AF207" i="57" a="1"/>
  <c r="AF207" i="57" s="1"/>
  <c r="AG207" i="57" s="1" a="1"/>
  <c r="AG207" i="57" s="1"/>
  <c r="AH207" i="57" s="1" a="1"/>
  <c r="AH207" i="57" s="1"/>
  <c r="AI207" i="57" s="1" a="1"/>
  <c r="AI207" i="57" s="1"/>
  <c r="AJ207" i="57" s="1" a="1"/>
  <c r="AJ207" i="57" s="1"/>
  <c r="AK207" i="57" s="1" a="1"/>
  <c r="AK207" i="57" s="1"/>
  <c r="AL207" i="57" s="1" a="1"/>
  <c r="AL207" i="57" s="1"/>
  <c r="AM207" i="57" s="1" a="1"/>
  <c r="AM207" i="57" s="1"/>
  <c r="AN207" i="57" s="1" a="1"/>
  <c r="AN207" i="57" s="1"/>
  <c r="AO207" i="57" a="1"/>
  <c r="AO207" i="57" s="1"/>
  <c r="AL226" i="57" a="1"/>
  <c r="AL226" i="57" s="1"/>
  <c r="AI105" i="47" s="1"/>
  <c r="AB225" i="57" a="1"/>
  <c r="AB225" i="57" s="1"/>
  <c r="Y107" i="47" s="1"/>
  <c r="AE206" i="57" a="1"/>
  <c r="AE206" i="57" s="1"/>
  <c r="V206" i="57" a="1"/>
  <c r="V206" i="57" s="1"/>
  <c r="W206" i="57" s="1" a="1"/>
  <c r="W206" i="57" s="1"/>
  <c r="X206" i="57" s="1" a="1"/>
  <c r="X206" i="57" s="1"/>
  <c r="Y206" i="57" s="1" a="1"/>
  <c r="Y206" i="57" s="1"/>
  <c r="Z206" i="57" s="1" a="1"/>
  <c r="Z206" i="57" s="1"/>
  <c r="AA206" i="57" s="1" a="1"/>
  <c r="AA206" i="57" s="1"/>
  <c r="AB206" i="57" s="1" a="1"/>
  <c r="AB206" i="57" s="1"/>
  <c r="AC206" i="57" s="1" a="1"/>
  <c r="AC206" i="57" s="1"/>
  <c r="AD206" i="57" s="1" a="1"/>
  <c r="AD206" i="57" s="1"/>
  <c r="S225" i="57" a="1"/>
  <c r="S225" i="57" s="1"/>
  <c r="T225" i="57" s="1" a="1"/>
  <c r="T225" i="57" s="1"/>
  <c r="U225" i="57" s="1" a="1"/>
  <c r="U225" i="57" s="1"/>
  <c r="V225" i="57" s="1" a="1"/>
  <c r="V225" i="57" s="1"/>
  <c r="W225" i="57" s="1" a="1"/>
  <c r="W225" i="57" s="1"/>
  <c r="X225" i="57" s="1" a="1"/>
  <c r="X225" i="57" s="1"/>
  <c r="Y225" i="57" s="1" a="1"/>
  <c r="Y225" i="57" s="1"/>
  <c r="Z225" i="57" s="1" a="1"/>
  <c r="Z225" i="57" s="1"/>
  <c r="AA225" i="57" s="1" a="1"/>
  <c r="AA225" i="57" s="1"/>
  <c r="P103" i="47"/>
  <c r="V204" i="57" a="1"/>
  <c r="V204" i="57" s="1"/>
  <c r="S223" i="57" a="1"/>
  <c r="S223" i="57" s="1"/>
  <c r="AF205" i="57" a="1"/>
  <c r="AF205" i="57" s="1"/>
  <c r="AG205" i="57" s="1" a="1"/>
  <c r="AG205" i="57" s="1"/>
  <c r="AH205" i="57" s="1" a="1"/>
  <c r="AH205" i="57" s="1"/>
  <c r="AI205" i="57" s="1" a="1"/>
  <c r="AI205" i="57" s="1"/>
  <c r="AJ205" i="57" s="1" a="1"/>
  <c r="AJ205" i="57" s="1"/>
  <c r="AK205" i="57" s="1" a="1"/>
  <c r="AK205" i="57" s="1"/>
  <c r="AL205" i="57" s="1" a="1"/>
  <c r="AL205" i="57" s="1"/>
  <c r="AM205" i="57" s="1" a="1"/>
  <c r="AM205" i="57" s="1"/>
  <c r="AN205" i="57" s="1" a="1"/>
  <c r="AN205" i="57" s="1"/>
  <c r="AC224" i="57" a="1"/>
  <c r="AC224" i="57" s="1"/>
  <c r="AD224" i="57" s="1" a="1"/>
  <c r="AD224" i="57" s="1"/>
  <c r="AE224" i="57" s="1" a="1"/>
  <c r="AE224" i="57" s="1"/>
  <c r="AF224" i="57" s="1" a="1"/>
  <c r="AF224" i="57" s="1"/>
  <c r="AG224" i="57" s="1" a="1"/>
  <c r="AG224" i="57" s="1"/>
  <c r="AH224" i="57" s="1" a="1"/>
  <c r="AH224" i="57" s="1"/>
  <c r="AI224" i="57" s="1" a="1"/>
  <c r="AI224" i="57" s="1"/>
  <c r="AJ224" i="57" s="1" a="1"/>
  <c r="AJ224" i="57" s="1"/>
  <c r="AK224" i="57" s="1" a="1"/>
  <c r="AK224" i="57" s="1"/>
  <c r="AL224" i="57" a="1"/>
  <c r="AL224" i="57" s="1"/>
  <c r="AI103" i="47" s="1"/>
  <c r="AO205" i="57" a="1"/>
  <c r="AO205" i="57" s="1"/>
  <c r="AE203" i="57" a="1"/>
  <c r="AE203" i="57" s="1"/>
  <c r="AB222" i="57" a="1"/>
  <c r="AB222" i="57" s="1"/>
  <c r="Y104" i="47" s="1"/>
  <c r="V203" i="57" a="1"/>
  <c r="V203" i="57" s="1"/>
  <c r="W203" i="57" s="1" a="1"/>
  <c r="W203" i="57" s="1"/>
  <c r="X203" i="57" s="1" a="1"/>
  <c r="X203" i="57" s="1"/>
  <c r="Y203" i="57" s="1" a="1"/>
  <c r="Y203" i="57" s="1"/>
  <c r="Z203" i="57" s="1" a="1"/>
  <c r="Z203" i="57" s="1"/>
  <c r="AA203" i="57" s="1" a="1"/>
  <c r="AA203" i="57" s="1"/>
  <c r="AB203" i="57" s="1" a="1"/>
  <c r="AB203" i="57" s="1"/>
  <c r="AC203" i="57" s="1" a="1"/>
  <c r="AC203" i="57" s="1"/>
  <c r="AD203" i="57" s="1" a="1"/>
  <c r="AD203" i="57" s="1"/>
  <c r="S222" i="57" a="1"/>
  <c r="S222" i="57" s="1"/>
  <c r="T222" i="57" s="1" a="1"/>
  <c r="T222" i="57" s="1"/>
  <c r="U222" i="57" s="1" a="1"/>
  <c r="U222" i="57" s="1"/>
  <c r="V222" i="57" s="1" a="1"/>
  <c r="V222" i="57" s="1"/>
  <c r="W222" i="57" s="1" a="1"/>
  <c r="W222" i="57" s="1"/>
  <c r="X222" i="57" s="1" a="1"/>
  <c r="X222" i="57" s="1"/>
  <c r="Y222" i="57" s="1" a="1"/>
  <c r="Y222" i="57" s="1"/>
  <c r="Z222" i="57" s="1" a="1"/>
  <c r="Z222" i="57" s="1"/>
  <c r="AA222" i="57" s="1" a="1"/>
  <c r="AA222" i="57" s="1"/>
  <c r="AD155" i="57"/>
  <c r="L155" i="57" s="1"/>
  <c r="L192" i="57" s="1"/>
  <c r="AE166" i="57" a="1"/>
  <c r="AE166" i="57" s="1"/>
  <c r="M166" i="57" s="1"/>
  <c r="AD165" i="57" a="1"/>
  <c r="AD165" i="57" s="1"/>
  <c r="AE164" i="57" a="1"/>
  <c r="AE164" i="57" s="1"/>
  <c r="AC101" i="47"/>
  <c r="U191" i="57"/>
  <c r="AD191" i="57"/>
  <c r="AB192" i="57"/>
  <c r="AC192" i="57" s="1"/>
  <c r="S192" i="57"/>
  <c r="T192" i="57" s="1"/>
  <c r="S189" i="57"/>
  <c r="T189" i="57" s="1"/>
  <c r="AB189" i="57"/>
  <c r="AC189" i="57" s="1"/>
  <c r="J176" i="57"/>
  <c r="S100" i="47"/>
  <c r="J172" i="57"/>
  <c r="J174" i="57"/>
  <c r="J173" i="57"/>
  <c r="J177" i="57"/>
  <c r="J178" i="57"/>
  <c r="J179" i="57"/>
  <c r="AE102" i="47"/>
  <c r="AD100" i="47"/>
  <c r="U102" i="47"/>
  <c r="T101" i="47"/>
  <c r="AE156" i="57" l="1"/>
  <c r="M156" i="57" s="1"/>
  <c r="M193" i="57" s="1"/>
  <c r="AN226" i="57" s="1" a="1"/>
  <c r="AN226" i="57" s="1"/>
  <c r="AO226" i="57" s="1" a="1"/>
  <c r="AO226" i="57" s="1"/>
  <c r="AP226" i="57" s="1" a="1"/>
  <c r="AP226" i="57" s="1"/>
  <c r="M167" i="57"/>
  <c r="T223" i="57" a="1"/>
  <c r="T223" i="57" s="1"/>
  <c r="U223" i="57" s="1" a="1"/>
  <c r="U223" i="57" s="1"/>
  <c r="V223" i="57" s="1" a="1"/>
  <c r="V223" i="57" s="1"/>
  <c r="W223" i="57" s="1" a="1"/>
  <c r="W223" i="57" s="1"/>
  <c r="X223" i="57" s="1" a="1"/>
  <c r="X223" i="57" s="1"/>
  <c r="Y223" i="57" s="1" a="1"/>
  <c r="Y223" i="57" s="1"/>
  <c r="Z223" i="57" s="1" a="1"/>
  <c r="Z223" i="57" s="1"/>
  <c r="AA223" i="57" s="1" a="1"/>
  <c r="AA223" i="57" s="1"/>
  <c r="AK165" i="57"/>
  <c r="AO165" i="57"/>
  <c r="L164" i="57"/>
  <c r="AC176" i="57"/>
  <c r="AC179" i="57"/>
  <c r="S190" i="57"/>
  <c r="T190" i="57" s="1"/>
  <c r="AB223" i="57" a="1"/>
  <c r="AB223" i="57" s="1"/>
  <c r="Y106" i="47" s="1"/>
  <c r="AB190" i="57"/>
  <c r="AC190" i="57" s="1"/>
  <c r="AD189" i="57"/>
  <c r="AC172" i="57"/>
  <c r="AC174" i="57"/>
  <c r="P107" i="47"/>
  <c r="W204" i="57" a="1"/>
  <c r="W204" i="57" s="1"/>
  <c r="X204" i="57" s="1" a="1"/>
  <c r="X204" i="57" s="1"/>
  <c r="Y204" i="57" s="1" a="1"/>
  <c r="Y204" i="57" s="1"/>
  <c r="Z204" i="57" s="1" a="1"/>
  <c r="Z204" i="57" s="1"/>
  <c r="AA204" i="57" s="1" a="1"/>
  <c r="AA204" i="57" s="1"/>
  <c r="AB204" i="57" s="1" a="1"/>
  <c r="AB204" i="57" s="1"/>
  <c r="AC204" i="57" s="1" a="1"/>
  <c r="AC204" i="57" s="1"/>
  <c r="AD204" i="57" s="1" a="1"/>
  <c r="AD204" i="57" s="1"/>
  <c r="AC173" i="57"/>
  <c r="AC226" i="57" a="1"/>
  <c r="AC226" i="57" s="1"/>
  <c r="AD226" i="57" s="1" a="1"/>
  <c r="AD226" i="57" s="1"/>
  <c r="AE226" i="57" s="1" a="1"/>
  <c r="AE226" i="57" s="1"/>
  <c r="AF226" i="57" s="1" a="1"/>
  <c r="AF226" i="57" s="1"/>
  <c r="AG226" i="57" s="1" a="1"/>
  <c r="AG226" i="57" s="1"/>
  <c r="AH226" i="57" s="1" a="1"/>
  <c r="AH226" i="57" s="1"/>
  <c r="AI226" i="57" s="1" a="1"/>
  <c r="AI226" i="57" s="1"/>
  <c r="AJ226" i="57" s="1" a="1"/>
  <c r="AJ226" i="57" s="1"/>
  <c r="AK226" i="57" s="1" a="1"/>
  <c r="AK226" i="57" s="1"/>
  <c r="K179" i="57"/>
  <c r="AC178" i="57"/>
  <c r="AC177" i="57"/>
  <c r="K174" i="57"/>
  <c r="K173" i="57"/>
  <c r="K177" i="57"/>
  <c r="K172" i="57"/>
  <c r="K176" i="57"/>
  <c r="K175" i="57"/>
  <c r="R103" i="47"/>
  <c r="P106" i="47"/>
  <c r="Q105" i="47"/>
  <c r="Z103" i="47"/>
  <c r="P104" i="47"/>
  <c r="AF206" i="57" a="1"/>
  <c r="AF206" i="57" s="1"/>
  <c r="AG206" i="57" s="1" a="1"/>
  <c r="AG206" i="57" s="1"/>
  <c r="AH206" i="57" s="1" a="1"/>
  <c r="AH206" i="57" s="1"/>
  <c r="AI206" i="57" s="1" a="1"/>
  <c r="AI206" i="57" s="1"/>
  <c r="AJ206" i="57" s="1" a="1"/>
  <c r="AJ206" i="57" s="1"/>
  <c r="AK206" i="57" s="1" a="1"/>
  <c r="AK206" i="57" s="1"/>
  <c r="AL206" i="57" s="1" a="1"/>
  <c r="AL206" i="57" s="1"/>
  <c r="AM206" i="57" s="1" a="1"/>
  <c r="AM206" i="57" s="1"/>
  <c r="AN206" i="57" s="1" a="1"/>
  <c r="AN206" i="57" s="1"/>
  <c r="AC225" i="57" a="1"/>
  <c r="AC225" i="57" s="1"/>
  <c r="AD225" i="57" s="1" a="1"/>
  <c r="AD225" i="57" s="1"/>
  <c r="AE225" i="57" s="1" a="1"/>
  <c r="AE225" i="57" s="1"/>
  <c r="AF225" i="57" s="1" a="1"/>
  <c r="AF225" i="57" s="1"/>
  <c r="AG225" i="57" s="1" a="1"/>
  <c r="AG225" i="57" s="1"/>
  <c r="AH225" i="57" s="1" a="1"/>
  <c r="AH225" i="57" s="1"/>
  <c r="AI225" i="57" s="1" a="1"/>
  <c r="AI225" i="57" s="1"/>
  <c r="AJ225" i="57" s="1" a="1"/>
  <c r="AJ225" i="57" s="1"/>
  <c r="AK225" i="57" s="1" a="1"/>
  <c r="AK225" i="57" s="1"/>
  <c r="AO206" i="57" a="1"/>
  <c r="AO206" i="57" s="1"/>
  <c r="AP206" i="57" s="1" a="1"/>
  <c r="AP206" i="57" s="1"/>
  <c r="AL225" i="57" a="1"/>
  <c r="AL225" i="57" s="1"/>
  <c r="AI107" i="47" s="1"/>
  <c r="AP207" i="57" a="1"/>
  <c r="AP207" i="57" s="1"/>
  <c r="AN225" i="57" a="1"/>
  <c r="AN225" i="57" s="1"/>
  <c r="AO225" i="57" s="1" a="1"/>
  <c r="AO225" i="57" s="1"/>
  <c r="AP225" i="57" s="1" a="1"/>
  <c r="AP225" i="57" s="1"/>
  <c r="AQ206" i="57" a="1"/>
  <c r="AQ206" i="57" s="1"/>
  <c r="AR206" i="57" s="1" a="1"/>
  <c r="AR206" i="57" s="1"/>
  <c r="AS206" i="57" s="1" a="1"/>
  <c r="AS206" i="57" s="1"/>
  <c r="AC222" i="57" a="1"/>
  <c r="AC222" i="57" s="1"/>
  <c r="AD222" i="57" s="1" a="1"/>
  <c r="AD222" i="57" s="1"/>
  <c r="AE222" i="57" s="1" a="1"/>
  <c r="AE222" i="57" s="1"/>
  <c r="AF222" i="57" s="1" a="1"/>
  <c r="AF222" i="57" s="1"/>
  <c r="AG222" i="57" s="1" a="1"/>
  <c r="AG222" i="57" s="1"/>
  <c r="AH222" i="57" s="1" a="1"/>
  <c r="AH222" i="57" s="1"/>
  <c r="AI222" i="57" s="1" a="1"/>
  <c r="AI222" i="57" s="1"/>
  <c r="AJ222" i="57" s="1" a="1"/>
  <c r="AJ222" i="57" s="1"/>
  <c r="AK222" i="57" s="1" a="1"/>
  <c r="AK222" i="57" s="1"/>
  <c r="AF203" i="57" a="1"/>
  <c r="AF203" i="57" s="1"/>
  <c r="AG203" i="57" s="1" a="1"/>
  <c r="AG203" i="57" s="1"/>
  <c r="AH203" i="57" s="1" a="1"/>
  <c r="AH203" i="57" s="1"/>
  <c r="AI203" i="57" s="1" a="1"/>
  <c r="AI203" i="57" s="1"/>
  <c r="AJ203" i="57" s="1" a="1"/>
  <c r="AJ203" i="57" s="1"/>
  <c r="AK203" i="57" s="1" a="1"/>
  <c r="AK203" i="57" s="1"/>
  <c r="AL203" i="57" s="1" a="1"/>
  <c r="AL203" i="57" s="1"/>
  <c r="AM203" i="57" s="1" a="1"/>
  <c r="AM203" i="57" s="1"/>
  <c r="AN203" i="57" s="1" a="1"/>
  <c r="AN203" i="57" s="1"/>
  <c r="AL222" i="57" a="1"/>
  <c r="AL222" i="57" s="1"/>
  <c r="AI104" i="47" s="1"/>
  <c r="AO203" i="57" a="1"/>
  <c r="AO203" i="57" s="1"/>
  <c r="U192" i="57"/>
  <c r="V192" i="57" s="1"/>
  <c r="AD192" i="57"/>
  <c r="AE192" i="57" s="1"/>
  <c r="AF192" i="57" s="1"/>
  <c r="AG192" i="57" s="1"/>
  <c r="AH192" i="57" s="1"/>
  <c r="AI192" i="57" s="1"/>
  <c r="AJ192" i="57" s="1"/>
  <c r="AK192" i="57" s="1"/>
  <c r="AL192" i="57" s="1"/>
  <c r="AM192" i="57" s="1"/>
  <c r="AN192" i="57" s="1"/>
  <c r="AO192" i="57" s="1"/>
  <c r="AP192" i="57" s="1"/>
  <c r="AQ192" i="57" s="1"/>
  <c r="AR192" i="57" s="1"/>
  <c r="Q106" i="47"/>
  <c r="U189" i="57"/>
  <c r="AE154" i="57"/>
  <c r="M154" i="57" s="1"/>
  <c r="M191" i="57" s="1"/>
  <c r="AE165" i="57" a="1"/>
  <c r="AE165" i="57" s="1"/>
  <c r="L165" i="57"/>
  <c r="AD169" i="57"/>
  <c r="AD176" i="57" s="1"/>
  <c r="AD153" i="57"/>
  <c r="L153" i="57" s="1"/>
  <c r="L190" i="57" s="1"/>
  <c r="M164" i="57"/>
  <c r="AE152" i="57"/>
  <c r="M152" i="57" s="1"/>
  <c r="M189" i="57" s="1"/>
  <c r="S103" i="47"/>
  <c r="AE193" i="57"/>
  <c r="AF193" i="57" s="1"/>
  <c r="AG193" i="57" s="1"/>
  <c r="AH193" i="57" s="1"/>
  <c r="AI193" i="57" s="1"/>
  <c r="AJ193" i="57" s="1"/>
  <c r="AK193" i="57" s="1"/>
  <c r="AL193" i="57" s="1"/>
  <c r="AM193" i="57" s="1"/>
  <c r="AN193" i="57" s="1"/>
  <c r="AO193" i="57" s="1"/>
  <c r="AP193" i="57" s="1"/>
  <c r="AQ193" i="57" s="1"/>
  <c r="AR193" i="57" s="1"/>
  <c r="R105" i="47"/>
  <c r="AA103" i="47"/>
  <c r="AD101" i="47"/>
  <c r="T100" i="47"/>
  <c r="Q104" i="47"/>
  <c r="J181" i="57"/>
  <c r="J182" i="57" s="1"/>
  <c r="S105" i="47"/>
  <c r="U101" i="47"/>
  <c r="AE100" i="47"/>
  <c r="AF102" i="47"/>
  <c r="V102" i="47"/>
  <c r="AQ207" i="57" l="1" a="1"/>
  <c r="AQ207" i="57" s="1"/>
  <c r="AR207" i="57" s="1" a="1"/>
  <c r="AR207" i="57" s="1"/>
  <c r="AS207" i="57" s="1" a="1"/>
  <c r="AS207" i="57" s="1"/>
  <c r="V193" i="57"/>
  <c r="AC181" i="57"/>
  <c r="AC182" i="57" s="1"/>
  <c r="K181" i="57"/>
  <c r="K182" i="57" s="1"/>
  <c r="Z105" i="47"/>
  <c r="AA105" i="47"/>
  <c r="AM226" i="57"/>
  <c r="AM225" i="57"/>
  <c r="AD190" i="57"/>
  <c r="AF204" i="57" a="1"/>
  <c r="AF204" i="57" s="1"/>
  <c r="AG204" i="57" s="1" a="1"/>
  <c r="AG204" i="57" s="1"/>
  <c r="AH204" i="57" s="1" a="1"/>
  <c r="AH204" i="57" s="1"/>
  <c r="AI204" i="57" s="1" a="1"/>
  <c r="AI204" i="57" s="1"/>
  <c r="AJ204" i="57" s="1" a="1"/>
  <c r="AJ204" i="57" s="1"/>
  <c r="AK204" i="57" s="1" a="1"/>
  <c r="AK204" i="57" s="1"/>
  <c r="AL204" i="57" s="1" a="1"/>
  <c r="AL204" i="57" s="1"/>
  <c r="AM204" i="57" s="1" a="1"/>
  <c r="AM204" i="57" s="1"/>
  <c r="AN204" i="57" s="1" a="1"/>
  <c r="AN204" i="57" s="1"/>
  <c r="AC223" i="57" a="1"/>
  <c r="AC223" i="57" s="1"/>
  <c r="AD223" i="57" s="1" a="1"/>
  <c r="AD223" i="57" s="1"/>
  <c r="AE223" i="57" s="1" a="1"/>
  <c r="AE223" i="57" s="1"/>
  <c r="AF223" i="57" s="1" a="1"/>
  <c r="AF223" i="57" s="1"/>
  <c r="AG223" i="57" s="1" a="1"/>
  <c r="AG223" i="57" s="1"/>
  <c r="AH223" i="57" s="1" a="1"/>
  <c r="AH223" i="57" s="1"/>
  <c r="AI223" i="57" s="1" a="1"/>
  <c r="AI223" i="57" s="1"/>
  <c r="AJ223" i="57" s="1" a="1"/>
  <c r="AJ223" i="57" s="1"/>
  <c r="AK223" i="57" s="1" a="1"/>
  <c r="AK223" i="57" s="1"/>
  <c r="AL223" i="57" a="1"/>
  <c r="AL223" i="57" s="1"/>
  <c r="AI106" i="47" s="1"/>
  <c r="AO204" i="57" a="1"/>
  <c r="AO204" i="57" s="1"/>
  <c r="AN222" i="57" a="1"/>
  <c r="AN222" i="57" s="1"/>
  <c r="AO222" i="57" s="1" a="1"/>
  <c r="AO222" i="57" s="1"/>
  <c r="AP222" i="57" s="1" a="1"/>
  <c r="AP222" i="57" s="1"/>
  <c r="AQ203" i="57" a="1"/>
  <c r="AQ203" i="57" s="1"/>
  <c r="AR203" i="57" s="1" a="1"/>
  <c r="AR203" i="57" s="1"/>
  <c r="AS203" i="57" s="1" a="1"/>
  <c r="AS203" i="57" s="1"/>
  <c r="AP203" i="57" a="1"/>
  <c r="AP203" i="57" s="1"/>
  <c r="V191" i="57"/>
  <c r="AN224" i="57" a="1"/>
  <c r="AN224" i="57" s="1"/>
  <c r="AO224" i="57" s="1" a="1"/>
  <c r="AO224" i="57" s="1"/>
  <c r="AP224" i="57" s="1" a="1"/>
  <c r="AP224" i="57" s="1"/>
  <c r="AP205" i="57" a="1"/>
  <c r="AP205" i="57" s="1"/>
  <c r="AQ205" i="57" a="1"/>
  <c r="AQ205" i="57" s="1"/>
  <c r="AR205" i="57" s="1" a="1"/>
  <c r="AR205" i="57" s="1"/>
  <c r="AS205" i="57" s="1" a="1"/>
  <c r="AS205" i="57" s="1"/>
  <c r="R106" i="47"/>
  <c r="AB105" i="47"/>
  <c r="U190" i="57"/>
  <c r="AE191" i="57"/>
  <c r="AF191" i="57" s="1"/>
  <c r="AG191" i="57" s="1"/>
  <c r="AH191" i="57" s="1"/>
  <c r="AI191" i="57" s="1"/>
  <c r="AJ191" i="57" s="1"/>
  <c r="AK191" i="57" s="1"/>
  <c r="AL191" i="57" s="1"/>
  <c r="AM191" i="57" s="1"/>
  <c r="AN191" i="57" s="1"/>
  <c r="AO191" i="57" s="1"/>
  <c r="AP191" i="57" s="1"/>
  <c r="AQ191" i="57" s="1"/>
  <c r="AR191" i="57" s="1"/>
  <c r="U103" i="47"/>
  <c r="M165" i="57"/>
  <c r="M169" i="57" s="1"/>
  <c r="M174" i="57" s="1"/>
  <c r="AE153" i="57"/>
  <c r="M153" i="57" s="1"/>
  <c r="M190" i="57" s="1"/>
  <c r="AB103" i="47"/>
  <c r="AE169" i="57"/>
  <c r="AD174" i="57"/>
  <c r="AD173" i="57"/>
  <c r="AD175" i="57"/>
  <c r="AD172" i="57"/>
  <c r="AD177" i="57"/>
  <c r="AD179" i="57"/>
  <c r="AD178" i="57"/>
  <c r="L169" i="57"/>
  <c r="L176" i="57" s="1"/>
  <c r="U100" i="47"/>
  <c r="AE101" i="47"/>
  <c r="AE189" i="57"/>
  <c r="AF189" i="57" s="1"/>
  <c r="AG189" i="57" s="1"/>
  <c r="AH189" i="57" s="1"/>
  <c r="AI189" i="57" s="1"/>
  <c r="AJ189" i="57" s="1"/>
  <c r="AK189" i="57" s="1"/>
  <c r="AL189" i="57" s="1"/>
  <c r="AM189" i="57" s="1"/>
  <c r="AN189" i="57" s="1"/>
  <c r="AO189" i="57" s="1"/>
  <c r="AP189" i="57" s="1"/>
  <c r="AQ189" i="57" s="1"/>
  <c r="AR189" i="57" s="1"/>
  <c r="V189" i="57"/>
  <c r="Z104" i="47"/>
  <c r="Z107" i="47"/>
  <c r="Q107" i="47"/>
  <c r="S106" i="47"/>
  <c r="R104" i="47"/>
  <c r="T105" i="47"/>
  <c r="W102" i="47"/>
  <c r="X102" i="47"/>
  <c r="AG102" i="47"/>
  <c r="AH102" i="47"/>
  <c r="V101" i="47"/>
  <c r="AF100" i="47"/>
  <c r="AM224" i="57" l="1"/>
  <c r="AM222" i="57"/>
  <c r="AE190" i="57"/>
  <c r="AF190" i="57" s="1"/>
  <c r="AG190" i="57" s="1"/>
  <c r="AH190" i="57" s="1"/>
  <c r="AI190" i="57" s="1"/>
  <c r="AJ190" i="57" s="1"/>
  <c r="AK190" i="57" s="1"/>
  <c r="AL190" i="57" s="1"/>
  <c r="AM190" i="57" s="1"/>
  <c r="AN190" i="57" s="1"/>
  <c r="AO190" i="57" s="1"/>
  <c r="AP190" i="57" s="1"/>
  <c r="AQ190" i="57" s="1"/>
  <c r="AR190" i="57" s="1"/>
  <c r="AP204" i="57" a="1"/>
  <c r="AP204" i="57" s="1"/>
  <c r="AQ204" i="57" a="1"/>
  <c r="AQ204" i="57" s="1"/>
  <c r="AR204" i="57" s="1" a="1"/>
  <c r="AR204" i="57" s="1"/>
  <c r="AS204" i="57" s="1" a="1"/>
  <c r="AS204" i="57" s="1"/>
  <c r="AN223" i="57" a="1"/>
  <c r="AN223" i="57" s="1"/>
  <c r="AO223" i="57" s="1" a="1"/>
  <c r="AO223" i="57" s="1"/>
  <c r="AP223" i="57" s="1" a="1"/>
  <c r="AP223" i="57" s="1"/>
  <c r="M176" i="57"/>
  <c r="M177" i="57"/>
  <c r="M175" i="57"/>
  <c r="M178" i="57"/>
  <c r="M179" i="57"/>
  <c r="AD181" i="57"/>
  <c r="AD182" i="57" s="1"/>
  <c r="M172" i="57"/>
  <c r="Z106" i="47"/>
  <c r="M173" i="57"/>
  <c r="AD103" i="47"/>
  <c r="V190" i="57"/>
  <c r="V100" i="47"/>
  <c r="T103" i="47"/>
  <c r="AE172" i="57"/>
  <c r="AE179" i="57"/>
  <c r="AE177" i="57"/>
  <c r="AE176" i="57"/>
  <c r="AE178" i="57"/>
  <c r="AE174" i="57"/>
  <c r="AE175" i="57"/>
  <c r="AE173" i="57"/>
  <c r="T106" i="47"/>
  <c r="L179" i="57"/>
  <c r="L177" i="57"/>
  <c r="L178" i="57"/>
  <c r="L175" i="57"/>
  <c r="L172" i="57"/>
  <c r="L174" i="57"/>
  <c r="L173" i="57"/>
  <c r="AF101" i="47"/>
  <c r="R107" i="47"/>
  <c r="AA107" i="47"/>
  <c r="AA104" i="47"/>
  <c r="S104" i="47"/>
  <c r="AC105" i="47"/>
  <c r="U105" i="47"/>
  <c r="AG100" i="47"/>
  <c r="AH100" i="47"/>
  <c r="W101" i="47"/>
  <c r="X101" i="47"/>
  <c r="AM223" i="57" l="1"/>
  <c r="M181" i="57"/>
  <c r="M182" i="57" s="1"/>
  <c r="AA106" i="47"/>
  <c r="V103" i="47"/>
  <c r="AC103" i="47"/>
  <c r="U106" i="47"/>
  <c r="AE181" i="57"/>
  <c r="AE182" i="57" s="1"/>
  <c r="L181" i="57"/>
  <c r="L182" i="57" s="1"/>
  <c r="AG101" i="47"/>
  <c r="AH101" i="47"/>
  <c r="AB104" i="47"/>
  <c r="AB107" i="47"/>
  <c r="S107" i="47"/>
  <c r="T104" i="47"/>
  <c r="AD105" i="47"/>
  <c r="AE103" i="47"/>
  <c r="V105" i="47"/>
  <c r="W103" i="47"/>
  <c r="X103" i="47"/>
  <c r="W100" i="47"/>
  <c r="X100" i="47"/>
  <c r="AM105" i="47"/>
  <c r="AK105" i="47"/>
  <c r="AK102" i="47"/>
  <c r="AJ100" i="47"/>
  <c r="AJ105" i="47"/>
  <c r="AJ107" i="47"/>
  <c r="AK103" i="47"/>
  <c r="V106" i="47" l="1"/>
  <c r="AB106" i="47"/>
  <c r="T107" i="47"/>
  <c r="AC107" i="47"/>
  <c r="AC104" i="47"/>
  <c r="U104" i="47"/>
  <c r="AF103" i="47"/>
  <c r="AE105" i="47"/>
  <c r="W105" i="47"/>
  <c r="X105" i="47"/>
  <c r="AK107" i="47"/>
  <c r="AK104" i="47"/>
  <c r="AK101" i="47"/>
  <c r="AL101" i="47"/>
  <c r="AM101" i="47"/>
  <c r="AM104" i="47"/>
  <c r="AL104" i="47"/>
  <c r="AL106" i="47"/>
  <c r="AM106" i="47"/>
  <c r="AJ104" i="47"/>
  <c r="AK100" i="47"/>
  <c r="AK106" i="47"/>
  <c r="AL105" i="47"/>
  <c r="AJ101" i="47"/>
  <c r="AJ102" i="47"/>
  <c r="AJ106" i="47"/>
  <c r="AJ103" i="47"/>
  <c r="AC106" i="47" l="1"/>
  <c r="AD104" i="47"/>
  <c r="AD107" i="47"/>
  <c r="U107" i="47"/>
  <c r="V104" i="47"/>
  <c r="W106" i="47"/>
  <c r="X106" i="47"/>
  <c r="AG103" i="47"/>
  <c r="AH103" i="47"/>
  <c r="AF105" i="47"/>
  <c r="AL107" i="47"/>
  <c r="AM107" i="47"/>
  <c r="AL102" i="47"/>
  <c r="AM102" i="47"/>
  <c r="AL100" i="47"/>
  <c r="AM100" i="47"/>
  <c r="AM103" i="47"/>
  <c r="AL103" i="47"/>
  <c r="AD106" i="47" l="1"/>
  <c r="V107" i="47"/>
  <c r="AE107" i="47"/>
  <c r="AE104" i="47"/>
  <c r="W104" i="47"/>
  <c r="X104" i="47"/>
  <c r="AG105" i="47"/>
  <c r="AH105" i="47"/>
  <c r="AE106" i="47" l="1"/>
  <c r="AF104" i="47"/>
  <c r="X107" i="47"/>
  <c r="W107" i="47"/>
  <c r="AF107" i="47"/>
  <c r="AF106" i="47" l="1"/>
  <c r="AH107" i="47"/>
  <c r="AG107" i="47"/>
  <c r="AG104" i="47"/>
  <c r="AH104" i="47"/>
  <c r="AG106" i="47" l="1"/>
  <c r="AH106" i="47"/>
  <c r="I68" i="57"/>
  <c r="I119" i="57" s="1"/>
  <c r="G68" i="57"/>
  <c r="G119" i="57" s="1"/>
  <c r="J70" i="57"/>
  <c r="J117" i="57" s="1"/>
  <c r="G69" i="57"/>
  <c r="G124" i="57" s="1"/>
  <c r="J69" i="57"/>
  <c r="J116" i="57" s="1"/>
  <c r="J68" i="57"/>
  <c r="J123" i="57" s="1"/>
  <c r="I70" i="57"/>
  <c r="I117" i="57" s="1"/>
  <c r="H69" i="57"/>
  <c r="H124" i="57" s="1"/>
  <c r="G70" i="57"/>
  <c r="G125" i="57" s="1"/>
  <c r="H70" i="57"/>
  <c r="H117" i="57" s="1"/>
  <c r="F68" i="57"/>
  <c r="H68" i="57"/>
  <c r="H119" i="57" s="1"/>
  <c r="F69" i="57"/>
  <c r="F120" i="57" s="1"/>
  <c r="I69" i="57"/>
  <c r="I120" i="57" s="1"/>
  <c r="H67" i="57"/>
  <c r="J67" i="57"/>
  <c r="I67" i="57"/>
  <c r="F70" i="57"/>
  <c r="F121" i="57" s="1"/>
  <c r="G67" i="57"/>
  <c r="F67" i="57"/>
  <c r="G121" i="57" l="1"/>
  <c r="H120" i="57"/>
  <c r="I125" i="57"/>
  <c r="I116" i="57"/>
  <c r="H116" i="57"/>
  <c r="H128" i="57" s="1"/>
  <c r="F116" i="57"/>
  <c r="G120" i="57"/>
  <c r="I124" i="57"/>
  <c r="J125" i="57"/>
  <c r="H115" i="57"/>
  <c r="G123" i="57"/>
  <c r="G115" i="57"/>
  <c r="G116" i="57"/>
  <c r="I121" i="57"/>
  <c r="H123" i="57"/>
  <c r="I123" i="57"/>
  <c r="J115" i="57"/>
  <c r="F119" i="57"/>
  <c r="J119" i="57"/>
  <c r="F125" i="57"/>
  <c r="G117" i="57"/>
  <c r="H125" i="57"/>
  <c r="J120" i="57"/>
  <c r="I115" i="57"/>
  <c r="J121" i="57"/>
  <c r="AC67" i="57"/>
  <c r="K67" i="57" s="1"/>
  <c r="AC70" i="57"/>
  <c r="K70" i="57" s="1"/>
  <c r="F115" i="57"/>
  <c r="F124" i="57"/>
  <c r="H121" i="57"/>
  <c r="J124" i="57"/>
  <c r="F117" i="57"/>
  <c r="F123" i="57"/>
  <c r="I128" i="57" l="1"/>
  <c r="I129" i="57"/>
  <c r="G129" i="57"/>
  <c r="J129" i="57"/>
  <c r="H127" i="57"/>
  <c r="F128" i="57"/>
  <c r="G128" i="57"/>
  <c r="J128" i="57"/>
  <c r="G127" i="57"/>
  <c r="H129" i="57"/>
  <c r="I127" i="57"/>
  <c r="F127" i="57"/>
  <c r="J127" i="57"/>
  <c r="AD67" i="57"/>
  <c r="L67" i="57" s="1"/>
  <c r="AC82" i="57"/>
  <c r="AC87" i="57"/>
  <c r="AC77" i="57"/>
  <c r="F129" i="57"/>
  <c r="AC68" i="57"/>
  <c r="K68" i="57" s="1"/>
  <c r="AD70" i="57"/>
  <c r="L70" i="57" s="1"/>
  <c r="AC69" i="57"/>
  <c r="K69" i="57" s="1"/>
  <c r="G257" i="57" l="1"/>
  <c r="P264" i="57" s="1" a="1"/>
  <c r="P264" i="57" s="1"/>
  <c r="Q264" i="57" s="1" a="1"/>
  <c r="Q264" i="57" s="1"/>
  <c r="K116" i="57"/>
  <c r="K120" i="57"/>
  <c r="K124" i="57"/>
  <c r="K123" i="57"/>
  <c r="K119" i="57"/>
  <c r="K115" i="57"/>
  <c r="E257" i="57"/>
  <c r="E256" i="57"/>
  <c r="G258" i="57"/>
  <c r="AC80" i="57"/>
  <c r="AC117" i="57" s="1"/>
  <c r="K77" i="57"/>
  <c r="K80" i="57" s="1"/>
  <c r="K117" i="57" s="1"/>
  <c r="AC90" i="57"/>
  <c r="AC125" i="57" s="1"/>
  <c r="K87" i="57"/>
  <c r="K90" i="57" s="1"/>
  <c r="K125" i="57" s="1"/>
  <c r="AC85" i="57"/>
  <c r="AC121" i="57" s="1"/>
  <c r="K82" i="57"/>
  <c r="K85" i="57" s="1"/>
  <c r="K121" i="57" s="1"/>
  <c r="AD82" i="57"/>
  <c r="AE67" i="57"/>
  <c r="M67" i="57" s="1"/>
  <c r="AD87" i="57"/>
  <c r="AD77" i="57"/>
  <c r="AD68" i="57"/>
  <c r="L68" i="57" s="1"/>
  <c r="AE70" i="57"/>
  <c r="M70" i="57" s="1"/>
  <c r="AD69" i="57"/>
  <c r="L69" i="57" s="1"/>
  <c r="AC119" i="57"/>
  <c r="AC123" i="57"/>
  <c r="AC115" i="57"/>
  <c r="E258" i="57"/>
  <c r="AC116" i="57"/>
  <c r="AC120" i="57"/>
  <c r="AC124" i="57"/>
  <c r="G256" i="57"/>
  <c r="R264" i="57" l="1" a="1"/>
  <c r="R264" i="57" s="1"/>
  <c r="K127" i="57"/>
  <c r="L116" i="57"/>
  <c r="L120" i="57"/>
  <c r="L124" i="57"/>
  <c r="L119" i="57"/>
  <c r="L115" i="57"/>
  <c r="L123" i="57"/>
  <c r="K128" i="57"/>
  <c r="K265" i="57" a="1"/>
  <c r="K265" i="57" s="1"/>
  <c r="L265" i="57" s="1" a="1"/>
  <c r="L265" i="57" s="1"/>
  <c r="M265" i="57" a="1"/>
  <c r="M265" i="57" s="1"/>
  <c r="N265" i="57" s="1" a="1"/>
  <c r="N265" i="57" s="1"/>
  <c r="P265" i="57" a="1"/>
  <c r="P265" i="57" s="1"/>
  <c r="Q265" i="57" s="1" a="1"/>
  <c r="Q265" i="57" s="1"/>
  <c r="R265" i="57" a="1"/>
  <c r="R265" i="57" s="1"/>
  <c r="K263" i="57" a="1"/>
  <c r="K263" i="57" s="1"/>
  <c r="L263" i="57" s="1" a="1"/>
  <c r="L263" i="57" s="1"/>
  <c r="M263" i="57" a="1"/>
  <c r="M263" i="57" s="1"/>
  <c r="N263" i="57" s="1" a="1"/>
  <c r="N263" i="57" s="1"/>
  <c r="K264" i="57" a="1"/>
  <c r="K264" i="57" s="1"/>
  <c r="L264" i="57" s="1" a="1"/>
  <c r="L264" i="57" s="1"/>
  <c r="M264" i="57" a="1"/>
  <c r="M264" i="57" s="1"/>
  <c r="N264" i="57" s="1" a="1"/>
  <c r="N264" i="57" s="1"/>
  <c r="P263" i="57" a="1"/>
  <c r="P263" i="57" s="1"/>
  <c r="Q263" i="57" s="1" a="1"/>
  <c r="Q263" i="57" s="1"/>
  <c r="R263" i="57" a="1"/>
  <c r="R263" i="57" s="1"/>
  <c r="AC129" i="57"/>
  <c r="AD80" i="57"/>
  <c r="AD117" i="57" s="1"/>
  <c r="L77" i="57"/>
  <c r="L80" i="57" s="1"/>
  <c r="L117" i="57" s="1"/>
  <c r="AD90" i="57"/>
  <c r="AD125" i="57" s="1"/>
  <c r="L87" i="57"/>
  <c r="L90" i="57" s="1"/>
  <c r="L125" i="57" s="1"/>
  <c r="AD85" i="57"/>
  <c r="AD121" i="57" s="1"/>
  <c r="L82" i="57"/>
  <c r="L85" i="57" s="1"/>
  <c r="L121" i="57" s="1"/>
  <c r="K129" i="57"/>
  <c r="AD116" i="57"/>
  <c r="AD124" i="57"/>
  <c r="AD120" i="57"/>
  <c r="AE68" i="57"/>
  <c r="M68" i="57" s="1"/>
  <c r="AE69" i="57"/>
  <c r="M69" i="57" s="1"/>
  <c r="AD115" i="57"/>
  <c r="AD119" i="57"/>
  <c r="AD123" i="57"/>
  <c r="AC128" i="57"/>
  <c r="AE77" i="57"/>
  <c r="AE82" i="57"/>
  <c r="AE87" i="57"/>
  <c r="AC127" i="57"/>
  <c r="H256" i="57" l="1"/>
  <c r="AB263" i="57" s="1" a="1"/>
  <c r="AB263" i="57" s="1"/>
  <c r="M120" i="57"/>
  <c r="M124" i="57"/>
  <c r="M116" i="57"/>
  <c r="M123" i="57"/>
  <c r="M119" i="57"/>
  <c r="M115" i="57"/>
  <c r="L127" i="57"/>
  <c r="L128" i="57"/>
  <c r="AD129" i="57"/>
  <c r="AE90" i="57"/>
  <c r="AE125" i="57" s="1"/>
  <c r="M87" i="57"/>
  <c r="M90" i="57" s="1"/>
  <c r="M125" i="57" s="1"/>
  <c r="H258" i="57"/>
  <c r="AE80" i="57"/>
  <c r="AE117" i="57" s="1"/>
  <c r="M77" i="57"/>
  <c r="M80" i="57" s="1"/>
  <c r="M117" i="57" s="1"/>
  <c r="H257" i="57"/>
  <c r="AE85" i="57"/>
  <c r="AE121" i="57" s="1"/>
  <c r="M82" i="57"/>
  <c r="M85" i="57" s="1"/>
  <c r="M121" i="57" s="1"/>
  <c r="L129" i="57"/>
  <c r="AD128" i="57"/>
  <c r="AE120" i="57"/>
  <c r="AE116" i="57"/>
  <c r="AE124" i="57"/>
  <c r="AE115" i="57"/>
  <c r="AE119" i="57"/>
  <c r="AE123" i="57"/>
  <c r="AD127" i="57"/>
  <c r="S263" i="57" l="1" a="1"/>
  <c r="S263" i="57" s="1"/>
  <c r="T263" i="57" s="1" a="1"/>
  <c r="T263" i="57" s="1"/>
  <c r="U263" i="57" s="1" a="1"/>
  <c r="U263" i="57" s="1"/>
  <c r="V263" i="57" s="1" a="1"/>
  <c r="V263" i="57" s="1"/>
  <c r="W263" i="57" s="1" a="1"/>
  <c r="W263" i="57" s="1"/>
  <c r="X263" i="57" s="1" a="1"/>
  <c r="X263" i="57" s="1"/>
  <c r="Y263" i="57" s="1" a="1"/>
  <c r="Y263" i="57" s="1"/>
  <c r="Z263" i="57" s="1" a="1"/>
  <c r="Z263" i="57" s="1"/>
  <c r="AA263" i="57" s="1" a="1"/>
  <c r="AA263" i="57" s="1"/>
  <c r="I256" i="57"/>
  <c r="AC263" i="57" s="1" a="1"/>
  <c r="AC263" i="57" s="1"/>
  <c r="AD263" i="57" s="1" a="1"/>
  <c r="AD263" i="57" s="1"/>
  <c r="AE263" i="57" s="1" a="1"/>
  <c r="AE263" i="57" s="1"/>
  <c r="AF263" i="57" s="1" a="1"/>
  <c r="AF263" i="57" s="1"/>
  <c r="AG263" i="57" s="1" a="1"/>
  <c r="AG263" i="57" s="1"/>
  <c r="AH263" i="57" s="1" a="1"/>
  <c r="AH263" i="57" s="1"/>
  <c r="AI263" i="57" s="1" a="1"/>
  <c r="AI263" i="57" s="1"/>
  <c r="AJ263" i="57" s="1" a="1"/>
  <c r="AJ263" i="57" s="1"/>
  <c r="AK263" i="57" s="1" a="1"/>
  <c r="AK263" i="57" s="1"/>
  <c r="M127" i="57"/>
  <c r="M128" i="57"/>
  <c r="S264" i="57" a="1"/>
  <c r="S264" i="57" s="1"/>
  <c r="T264" i="57" s="1" a="1"/>
  <c r="T264" i="57" s="1"/>
  <c r="U264" i="57" s="1" a="1"/>
  <c r="U264" i="57" s="1"/>
  <c r="V264" i="57" s="1" a="1"/>
  <c r="V264" i="57" s="1"/>
  <c r="W264" i="57" s="1" a="1"/>
  <c r="W264" i="57" s="1"/>
  <c r="X264" i="57" s="1" a="1"/>
  <c r="X264" i="57" s="1"/>
  <c r="Y264" i="57" s="1" a="1"/>
  <c r="Y264" i="57" s="1"/>
  <c r="Z264" i="57" s="1" a="1"/>
  <c r="Z264" i="57" s="1"/>
  <c r="AA264" i="57" s="1" a="1"/>
  <c r="AA264" i="57" s="1"/>
  <c r="AB264" i="57" a="1"/>
  <c r="AB264" i="57" s="1"/>
  <c r="S265" i="57" a="1"/>
  <c r="S265" i="57" s="1"/>
  <c r="T265" i="57" s="1" a="1"/>
  <c r="T265" i="57" s="1"/>
  <c r="U265" i="57" s="1" a="1"/>
  <c r="U265" i="57" s="1"/>
  <c r="V265" i="57" s="1" a="1"/>
  <c r="V265" i="57" s="1"/>
  <c r="W265" i="57" s="1" a="1"/>
  <c r="W265" i="57" s="1"/>
  <c r="X265" i="57" s="1" a="1"/>
  <c r="X265" i="57" s="1"/>
  <c r="Y265" i="57" s="1" a="1"/>
  <c r="Y265" i="57" s="1"/>
  <c r="Z265" i="57" s="1" a="1"/>
  <c r="Z265" i="57" s="1"/>
  <c r="AA265" i="57" s="1" a="1"/>
  <c r="AA265" i="57" s="1"/>
  <c r="AB265" i="57" a="1"/>
  <c r="AB265" i="57" s="1"/>
  <c r="AE129" i="57"/>
  <c r="I258" i="57"/>
  <c r="M129" i="57"/>
  <c r="I257" i="57"/>
  <c r="AE127" i="57"/>
  <c r="AE128" i="57"/>
  <c r="K257" i="57" l="1"/>
  <c r="AL263" i="57" a="1"/>
  <c r="AL263" i="57" s="1"/>
  <c r="AC264" i="57" a="1"/>
  <c r="AC264" i="57" s="1"/>
  <c r="AD264" i="57" s="1" a="1"/>
  <c r="AD264" i="57" s="1"/>
  <c r="AE264" i="57" s="1" a="1"/>
  <c r="AE264" i="57" s="1"/>
  <c r="AF264" i="57" s="1" a="1"/>
  <c r="AF264" i="57" s="1"/>
  <c r="AG264" i="57" s="1" a="1"/>
  <c r="AG264" i="57" s="1"/>
  <c r="AH264" i="57" s="1" a="1"/>
  <c r="AH264" i="57" s="1"/>
  <c r="AI264" i="57" s="1" a="1"/>
  <c r="AI264" i="57" s="1"/>
  <c r="AJ264" i="57" s="1" a="1"/>
  <c r="AJ264" i="57" s="1"/>
  <c r="AK264" i="57" s="1" a="1"/>
  <c r="AK264" i="57" s="1"/>
  <c r="AL264" i="57" a="1"/>
  <c r="AL264" i="57" s="1"/>
  <c r="AC265" i="57" a="1"/>
  <c r="AC265" i="57" s="1"/>
  <c r="AD265" i="57" s="1" a="1"/>
  <c r="AD265" i="57" s="1"/>
  <c r="AE265" i="57" s="1" a="1"/>
  <c r="AE265" i="57" s="1"/>
  <c r="AF265" i="57" s="1" a="1"/>
  <c r="AF265" i="57" s="1"/>
  <c r="AG265" i="57" s="1" a="1"/>
  <c r="AG265" i="57" s="1"/>
  <c r="AH265" i="57" s="1" a="1"/>
  <c r="AH265" i="57" s="1"/>
  <c r="AI265" i="57" s="1" a="1"/>
  <c r="AI265" i="57" s="1"/>
  <c r="AJ265" i="57" s="1" a="1"/>
  <c r="AJ265" i="57" s="1"/>
  <c r="AK265" i="57" s="1" a="1"/>
  <c r="AK265" i="57" s="1"/>
  <c r="AL265" i="57" a="1"/>
  <c r="AL265" i="57" s="1"/>
  <c r="K256" i="57"/>
  <c r="J256" i="57"/>
  <c r="J258" i="57"/>
  <c r="J257" i="57"/>
  <c r="K258" i="57"/>
  <c r="AM264" i="57" l="1" a="1"/>
  <c r="AM264" i="57" s="1"/>
  <c r="AN264" i="57" s="1" a="1"/>
  <c r="AN264" i="57" s="1"/>
  <c r="AO264" i="57" s="1" a="1"/>
  <c r="AO264" i="57" s="1"/>
  <c r="AP264" i="57" s="1" a="1"/>
  <c r="AP264" i="57" s="1"/>
  <c r="AQ264" i="57" s="1" a="1"/>
  <c r="AQ264" i="57" s="1"/>
  <c r="AR264" i="57" s="1" a="1"/>
  <c r="AR264" i="57" s="1"/>
  <c r="AS264" i="57" s="1" a="1"/>
  <c r="AS264" i="57" s="1"/>
  <c r="AT264" i="57" s="1" a="1"/>
  <c r="AT264" i="57" s="1"/>
  <c r="AU264" i="57" s="1" a="1"/>
  <c r="AU264" i="57" s="1"/>
  <c r="AZ264" i="57" a="1"/>
  <c r="AZ264" i="57" s="1"/>
  <c r="BA264" i="57" s="1" a="1"/>
  <c r="BA264" i="57" s="1"/>
  <c r="BB264" i="57" s="1" a="1"/>
  <c r="BB264" i="57" s="1"/>
  <c r="BC264" i="57" s="1" a="1"/>
  <c r="BC264" i="57" s="1"/>
  <c r="BD264" i="57" s="1" a="1"/>
  <c r="BD264" i="57" s="1"/>
  <c r="AV264" i="57" a="1"/>
  <c r="AV264" i="57" s="1"/>
  <c r="AW264" i="57" s="1" a="1"/>
  <c r="AW264" i="57" s="1"/>
  <c r="AX264" i="57" s="1" a="1"/>
  <c r="AX264" i="57" s="1"/>
  <c r="AY264" i="57" s="1" a="1"/>
  <c r="AY264" i="57" s="1"/>
  <c r="AM263" i="57" a="1"/>
  <c r="AM263" i="57" s="1"/>
  <c r="AN263" i="57" s="1" a="1"/>
  <c r="AN263" i="57" s="1"/>
  <c r="AO263" i="57" s="1" a="1"/>
  <c r="AO263" i="57" s="1"/>
  <c r="AP263" i="57" s="1" a="1"/>
  <c r="AP263" i="57" s="1"/>
  <c r="AQ263" i="57" s="1" a="1"/>
  <c r="AQ263" i="57" s="1"/>
  <c r="AR263" i="57" s="1" a="1"/>
  <c r="AR263" i="57" s="1"/>
  <c r="AS263" i="57" s="1" a="1"/>
  <c r="AS263" i="57" s="1"/>
  <c r="AT263" i="57" s="1" a="1"/>
  <c r="AT263" i="57" s="1"/>
  <c r="AU263" i="57" s="1" a="1"/>
  <c r="AU263" i="57" s="1"/>
  <c r="AV263" i="57" a="1"/>
  <c r="AV263" i="57" s="1"/>
  <c r="AW263" i="57" s="1" a="1"/>
  <c r="AW263" i="57" s="1"/>
  <c r="AX263" i="57" s="1" a="1"/>
  <c r="AX263" i="57" s="1"/>
  <c r="AY263" i="57" s="1" a="1"/>
  <c r="AY263" i="57" s="1"/>
  <c r="AZ263" i="57" a="1"/>
  <c r="AZ263" i="57" s="1"/>
  <c r="BA263" i="57" s="1" a="1"/>
  <c r="BA263" i="57" s="1"/>
  <c r="BB263" i="57" s="1" a="1"/>
  <c r="BB263" i="57" s="1"/>
  <c r="BC263" i="57" s="1" a="1"/>
  <c r="BC263" i="57" s="1"/>
  <c r="BD263" i="57" s="1" a="1"/>
  <c r="BD263" i="57" s="1"/>
  <c r="AM265" i="57" a="1"/>
  <c r="AM265" i="57" s="1"/>
  <c r="AN265" i="57" s="1" a="1"/>
  <c r="AN265" i="57" s="1"/>
  <c r="AO265" i="57" s="1" a="1"/>
  <c r="AO265" i="57" s="1"/>
  <c r="AP265" i="57" s="1" a="1"/>
  <c r="AP265" i="57" s="1"/>
  <c r="AQ265" i="57" s="1" a="1"/>
  <c r="AQ265" i="57" s="1"/>
  <c r="AR265" i="57" s="1" a="1"/>
  <c r="AR265" i="57" s="1"/>
  <c r="AS265" i="57" s="1" a="1"/>
  <c r="AS265" i="57" s="1"/>
  <c r="AT265" i="57" s="1" a="1"/>
  <c r="AT265" i="57" s="1"/>
  <c r="AU265" i="57" s="1" a="1"/>
  <c r="AU265" i="57" s="1"/>
  <c r="AV265" i="57" a="1"/>
  <c r="AV265" i="57" s="1"/>
  <c r="AW265" i="57" s="1" a="1"/>
  <c r="AW265" i="57" s="1"/>
  <c r="AX265" i="57" s="1" a="1"/>
  <c r="AX265" i="57" s="1"/>
  <c r="AY265" i="57" s="1" a="1"/>
  <c r="AY265" i="57" s="1"/>
  <c r="AZ265" i="57" a="1"/>
  <c r="AZ265" i="57" s="1"/>
  <c r="BA265" i="57" s="1" a="1"/>
  <c r="BA265" i="57" s="1"/>
  <c r="BB265" i="57" s="1" a="1"/>
  <c r="BB265" i="57" s="1"/>
  <c r="BC265" i="57" s="1" a="1"/>
  <c r="BC265" i="57" s="1"/>
  <c r="BD265" i="57" s="1" a="1"/>
  <c r="BD265" i="57" s="1"/>
  <c r="R48" i="56"/>
  <c r="T48" i="56" l="1"/>
  <c r="U48" i="56" s="1"/>
  <c r="Z48" i="56"/>
  <c r="AB48" i="56" l="1"/>
  <c r="V48" i="56"/>
  <c r="AC48" i="56" l="1"/>
  <c r="AD48" i="56" l="1"/>
  <c r="P46" i="56"/>
  <c r="P77" i="56" s="1"/>
  <c r="P93" i="56" s="1"/>
  <c r="X93" i="56" s="1"/>
  <c r="G39" i="56"/>
  <c r="G40" i="56" s="1"/>
  <c r="G47" i="56" s="1"/>
  <c r="X46" i="56"/>
  <c r="T39" i="56"/>
  <c r="T40" i="56" s="1"/>
  <c r="T47" i="56" s="1"/>
  <c r="T87" i="56" s="1"/>
  <c r="G46" i="56" l="1"/>
  <c r="J39" i="56"/>
  <c r="J40" i="56" s="1"/>
  <c r="J47" i="56" s="1"/>
  <c r="H39" i="56"/>
  <c r="H46" i="56" s="1"/>
  <c r="X77" i="56"/>
  <c r="G87" i="56"/>
  <c r="G89" i="56" s="1"/>
  <c r="G103" i="56"/>
  <c r="R46" i="56"/>
  <c r="R77" i="56" s="1"/>
  <c r="R93" i="56" s="1"/>
  <c r="Z93" i="56" s="1"/>
  <c r="R40" i="56"/>
  <c r="U39" i="56"/>
  <c r="V39" i="56"/>
  <c r="T46" i="56"/>
  <c r="T77" i="56" s="1"/>
  <c r="T93" i="56" s="1"/>
  <c r="P40" i="56"/>
  <c r="N177" i="56" l="1" a="1"/>
  <c r="N177" i="56" s="1"/>
  <c r="O177" i="56" s="1" a="1"/>
  <c r="O177" i="56" s="1"/>
  <c r="L177" i="56" a="1"/>
  <c r="L177" i="56" s="1"/>
  <c r="M177" i="56" s="1" a="1"/>
  <c r="M177" i="56" s="1"/>
  <c r="N122" i="56" a="1"/>
  <c r="N122" i="56" s="1"/>
  <c r="O122" i="56" s="1" a="1"/>
  <c r="O122" i="56" s="1"/>
  <c r="P122" i="56" a="1"/>
  <c r="P122" i="56" s="1"/>
  <c r="M148" i="56" s="1"/>
  <c r="P177" i="56" a="1"/>
  <c r="P177" i="56" s="1"/>
  <c r="R47" i="56"/>
  <c r="R87" i="56" s="1"/>
  <c r="R89" i="56" s="1"/>
  <c r="Z40" i="56"/>
  <c r="Z47" i="56" s="1"/>
  <c r="Z87" i="56" s="1"/>
  <c r="P47" i="56"/>
  <c r="P87" i="56" s="1"/>
  <c r="P89" i="56" s="1"/>
  <c r="P73" i="56" s="1"/>
  <c r="X40" i="56"/>
  <c r="X47" i="56" s="1"/>
  <c r="X87" i="56" s="1"/>
  <c r="X89" i="56" s="1"/>
  <c r="AA47" i="56"/>
  <c r="AA87" i="56" s="1"/>
  <c r="AA46" i="56"/>
  <c r="AA77" i="56" s="1"/>
  <c r="J46" i="56"/>
  <c r="H40" i="56"/>
  <c r="H47" i="56" s="1"/>
  <c r="H87" i="56" s="1"/>
  <c r="H89" i="56" s="1"/>
  <c r="Y46" i="56"/>
  <c r="Y47" i="56"/>
  <c r="Y87" i="56" s="1"/>
  <c r="V46" i="56"/>
  <c r="V77" i="56" s="1"/>
  <c r="V40" i="56"/>
  <c r="V47" i="56" s="1"/>
  <c r="V87" i="56" s="1"/>
  <c r="U40" i="56"/>
  <c r="U47" i="56" s="1"/>
  <c r="U87" i="56" s="1"/>
  <c r="U46" i="56"/>
  <c r="U77" i="56" s="1"/>
  <c r="U93" i="56" s="1"/>
  <c r="J87" i="56"/>
  <c r="J103" i="56"/>
  <c r="AB39" i="56"/>
  <c r="Z46" i="56"/>
  <c r="Z77" i="56" s="1"/>
  <c r="T89" i="56"/>
  <c r="K148" i="56" l="1"/>
  <c r="L187" i="56" s="1"/>
  <c r="I39" i="56"/>
  <c r="L39" i="56"/>
  <c r="K39" i="56"/>
  <c r="U122" i="56" a="1"/>
  <c r="U122" i="56" s="1"/>
  <c r="R148" i="56" s="1"/>
  <c r="O98" i="47" s="1"/>
  <c r="S177" i="56" a="1"/>
  <c r="S177" i="56" s="1"/>
  <c r="AA89" i="56"/>
  <c r="V93" i="56"/>
  <c r="V89" i="56"/>
  <c r="H103" i="56"/>
  <c r="Y77" i="56"/>
  <c r="Y89" i="56" s="1"/>
  <c r="L148" i="56"/>
  <c r="M187" i="56" s="1"/>
  <c r="N187" i="56"/>
  <c r="J98" i="47"/>
  <c r="U89" i="56"/>
  <c r="AB40" i="56"/>
  <c r="AB47" i="56" s="1"/>
  <c r="AB87" i="56" s="1"/>
  <c r="AB46" i="56"/>
  <c r="AB77" i="56" s="1"/>
  <c r="AB93" i="56" s="1"/>
  <c r="AC39" i="56"/>
  <c r="M39" i="56" s="1"/>
  <c r="M46" i="56" s="1"/>
  <c r="Z89" i="56"/>
  <c r="H98" i="47"/>
  <c r="M40" i="56" l="1"/>
  <c r="M47" i="56" s="1"/>
  <c r="M103" i="56" s="1"/>
  <c r="K46" i="56"/>
  <c r="K40" i="56"/>
  <c r="K47" i="56" s="1"/>
  <c r="L46" i="56"/>
  <c r="L40" i="56"/>
  <c r="L47" i="56" s="1"/>
  <c r="I40" i="56"/>
  <c r="I47" i="56" s="1"/>
  <c r="I46" i="56"/>
  <c r="S187" i="56"/>
  <c r="Q122" i="56" a="1"/>
  <c r="Q122" i="56" s="1"/>
  <c r="N148" i="56" s="1"/>
  <c r="O187" i="56" s="1"/>
  <c r="R122" i="56" a="1"/>
  <c r="R122" i="56" s="1"/>
  <c r="AM177" i="56" a="1"/>
  <c r="AM177" i="56" s="1"/>
  <c r="I98" i="47"/>
  <c r="AC40" i="56"/>
  <c r="AC47" i="56" s="1"/>
  <c r="AC87" i="56" s="1"/>
  <c r="AD39" i="56"/>
  <c r="N39" i="56" s="1"/>
  <c r="AC46" i="56"/>
  <c r="AC77" i="56" s="1"/>
  <c r="AC93" i="56" s="1"/>
  <c r="AB89" i="56"/>
  <c r="I93" i="56" l="1"/>
  <c r="J93" i="56" s="1"/>
  <c r="M87" i="56"/>
  <c r="L103" i="56"/>
  <c r="AE122" i="56" s="1" a="1"/>
  <c r="AE122" i="56" s="1"/>
  <c r="AB148" i="56" s="1"/>
  <c r="Y98" i="47" s="1"/>
  <c r="L87" i="56"/>
  <c r="AC177" i="56" a="1"/>
  <c r="AC177" i="56" s="1"/>
  <c r="AD177" i="56" s="1" a="1"/>
  <c r="AD177" i="56" s="1"/>
  <c r="AE177" i="56" s="1" a="1"/>
  <c r="AE177" i="56" s="1"/>
  <c r="AF177" i="56" s="1" a="1"/>
  <c r="AF177" i="56" s="1"/>
  <c r="AG177" i="56" s="1" a="1"/>
  <c r="AG177" i="56" s="1"/>
  <c r="AH177" i="56" s="1" a="1"/>
  <c r="AH177" i="56" s="1"/>
  <c r="AI177" i="56" s="1" a="1"/>
  <c r="AI177" i="56" s="1"/>
  <c r="AJ177" i="56" s="1" a="1"/>
  <c r="AJ177" i="56" s="1"/>
  <c r="AK177" i="56" s="1" a="1"/>
  <c r="AK177" i="56" s="1"/>
  <c r="AL177" i="56" s="1" a="1"/>
  <c r="AL177" i="56" s="1"/>
  <c r="K103" i="56"/>
  <c r="V122" i="56" s="1" a="1"/>
  <c r="V122" i="56" s="1"/>
  <c r="K87" i="56"/>
  <c r="Q46" i="56"/>
  <c r="Q77" i="56" s="1"/>
  <c r="Q177" i="56" a="1"/>
  <c r="Q177" i="56" s="1"/>
  <c r="R177" i="56" a="1"/>
  <c r="R177" i="56" s="1"/>
  <c r="Q47" i="56"/>
  <c r="Q87" i="56" s="1"/>
  <c r="I103" i="56"/>
  <c r="T122" i="56" s="1" a="1"/>
  <c r="T122" i="56" s="1"/>
  <c r="Q148" i="56" s="1"/>
  <c r="I87" i="56"/>
  <c r="T177" i="56" a="1"/>
  <c r="T177" i="56" s="1"/>
  <c r="U177" i="56" s="1" a="1"/>
  <c r="U177" i="56" s="1"/>
  <c r="V177" i="56" s="1" a="1"/>
  <c r="V177" i="56" s="1"/>
  <c r="W177" i="56" s="1" a="1"/>
  <c r="W177" i="56" s="1"/>
  <c r="X177" i="56" s="1" a="1"/>
  <c r="X177" i="56" s="1"/>
  <c r="Y177" i="56" s="1" a="1"/>
  <c r="Y177" i="56" s="1"/>
  <c r="Z177" i="56" s="1" a="1"/>
  <c r="Z177" i="56" s="1"/>
  <c r="AA177" i="56" s="1" a="1"/>
  <c r="AA177" i="56" s="1"/>
  <c r="AB177" i="56" s="1" a="1"/>
  <c r="AB177" i="56" s="1"/>
  <c r="N46" i="56"/>
  <c r="AN177" i="56" s="1" a="1"/>
  <c r="AN177" i="56" s="1"/>
  <c r="N40" i="56"/>
  <c r="N47" i="56" s="1"/>
  <c r="K98" i="47"/>
  <c r="O148" i="56"/>
  <c r="P187" i="56" s="1"/>
  <c r="AO122" i="56" a="1"/>
  <c r="AO122" i="56" s="1"/>
  <c r="AL148" i="56" s="1"/>
  <c r="AD40" i="56"/>
  <c r="AD47" i="56" s="1"/>
  <c r="AD87" i="56" s="1"/>
  <c r="AD46" i="56"/>
  <c r="AD77" i="56" s="1"/>
  <c r="AC89" i="56"/>
  <c r="K93" i="56" l="1"/>
  <c r="L93" i="56" s="1"/>
  <c r="M93" i="56" s="1"/>
  <c r="U112" i="56" a="1"/>
  <c r="U112" i="56" s="1"/>
  <c r="R138" i="56" s="1"/>
  <c r="O88" i="47" s="1"/>
  <c r="J77" i="56"/>
  <c r="J89" i="56" s="1"/>
  <c r="AF122" i="56" a="1"/>
  <c r="AF122" i="56" s="1"/>
  <c r="AG122" i="56" s="1" a="1"/>
  <c r="AG122" i="56" s="1"/>
  <c r="AH122" i="56" s="1" a="1"/>
  <c r="AH122" i="56" s="1"/>
  <c r="AI122" i="56" s="1" a="1"/>
  <c r="AI122" i="56" s="1"/>
  <c r="AJ122" i="56" s="1" a="1"/>
  <c r="AJ122" i="56" s="1"/>
  <c r="AK122" i="56" s="1" a="1"/>
  <c r="AK122" i="56" s="1"/>
  <c r="AL122" i="56" s="1" a="1"/>
  <c r="AL122" i="56" s="1"/>
  <c r="AM122" i="56" s="1" a="1"/>
  <c r="AM122" i="56" s="1"/>
  <c r="AN122" i="56" s="1" a="1"/>
  <c r="AN122" i="56" s="1"/>
  <c r="AC187" i="56"/>
  <c r="W122" i="56" a="1"/>
  <c r="W122" i="56" s="1"/>
  <c r="T148" i="56" s="1"/>
  <c r="U187" i="56" s="1"/>
  <c r="Q93" i="56"/>
  <c r="Y93" i="56" s="1"/>
  <c r="Q89" i="56"/>
  <c r="N103" i="56"/>
  <c r="AY122" i="56" s="1" a="1"/>
  <c r="AY122" i="56" s="1"/>
  <c r="AZ122" i="56" s="1" a="1"/>
  <c r="AZ122" i="56" s="1"/>
  <c r="BA122" i="56" s="1" a="1"/>
  <c r="BA122" i="56" s="1"/>
  <c r="N87" i="56"/>
  <c r="L98" i="47"/>
  <c r="N98" i="47"/>
  <c r="R187" i="56"/>
  <c r="AO177" i="56" a="1"/>
  <c r="AO177" i="56" s="1"/>
  <c r="AP177" i="56" s="1" a="1"/>
  <c r="AP177" i="56" s="1"/>
  <c r="AQ177" i="56" s="1" a="1"/>
  <c r="AQ177" i="56" s="1"/>
  <c r="S148" i="56"/>
  <c r="P98" i="47" s="1"/>
  <c r="I77" i="56"/>
  <c r="I89" i="56" s="1"/>
  <c r="S112" i="56" a="1"/>
  <c r="S112" i="56" s="1"/>
  <c r="P138" i="56" s="1"/>
  <c r="M88" i="47" s="1"/>
  <c r="T112" i="56" a="1"/>
  <c r="T112" i="56" s="1"/>
  <c r="Q138" i="56" s="1"/>
  <c r="N88" i="47" s="1"/>
  <c r="S122" i="56" a="1"/>
  <c r="S122" i="56" s="1"/>
  <c r="P148" i="56" s="1"/>
  <c r="AD93" i="56"/>
  <c r="AD89" i="56"/>
  <c r="AI98" i="47"/>
  <c r="AM187" i="56"/>
  <c r="K77" i="56" l="1"/>
  <c r="K89" i="56" s="1"/>
  <c r="V112" i="56" a="1"/>
  <c r="V112" i="56" s="1"/>
  <c r="S138" i="56" s="1"/>
  <c r="P88" i="47" s="1"/>
  <c r="AE112" i="56" a="1"/>
  <c r="AE112" i="56" s="1"/>
  <c r="AB138" i="56" s="1"/>
  <c r="Y88" i="47" s="1"/>
  <c r="L77" i="56"/>
  <c r="L89" i="56" s="1"/>
  <c r="X122" i="56" a="1"/>
  <c r="X122" i="56" s="1"/>
  <c r="Y122" i="56" s="1" a="1"/>
  <c r="Y122" i="56" s="1"/>
  <c r="Z122" i="56" s="1" a="1"/>
  <c r="Z122" i="56" s="1"/>
  <c r="AA122" i="56" s="1" a="1"/>
  <c r="AA122" i="56" s="1"/>
  <c r="AB122" i="56" s="1" a="1"/>
  <c r="AB122" i="56" s="1"/>
  <c r="AC122" i="56" s="1" a="1"/>
  <c r="AC122" i="56" s="1"/>
  <c r="AD122" i="56" s="1" a="1"/>
  <c r="AD122" i="56" s="1"/>
  <c r="AP122" i="56" a="1"/>
  <c r="AP122" i="56" s="1"/>
  <c r="AQ122" i="56" s="1" a="1"/>
  <c r="AQ122" i="56" s="1"/>
  <c r="AR122" i="56" s="1" a="1"/>
  <c r="AR122" i="56" s="1"/>
  <c r="AS122" i="56" s="1" a="1"/>
  <c r="AS122" i="56" s="1"/>
  <c r="AT122" i="56" s="1" a="1"/>
  <c r="AT122" i="56" s="1"/>
  <c r="AU122" i="56" s="1" a="1"/>
  <c r="AU122" i="56" s="1"/>
  <c r="AV122" i="56" s="1" a="1"/>
  <c r="AV122" i="56" s="1"/>
  <c r="AW122" i="56" s="1" a="1"/>
  <c r="AW122" i="56" s="1"/>
  <c r="AX122" i="56" s="1" a="1"/>
  <c r="AX122" i="56" s="1"/>
  <c r="N93" i="56"/>
  <c r="AY112" i="56" s="1" a="1"/>
  <c r="AY112" i="56" s="1"/>
  <c r="M77" i="56"/>
  <c r="M89" i="56" s="1"/>
  <c r="AO112" i="56" a="1"/>
  <c r="AO112" i="56" s="1"/>
  <c r="AL138" i="56" s="1"/>
  <c r="AI88" i="47" s="1"/>
  <c r="AN148" i="56"/>
  <c r="AK98" i="47" s="1"/>
  <c r="AD148" i="56"/>
  <c r="AA98" i="47" s="1"/>
  <c r="Q98" i="47"/>
  <c r="AC148" i="56"/>
  <c r="AD187" i="56" s="1"/>
  <c r="M98" i="47"/>
  <c r="Q187" i="56"/>
  <c r="T187" i="56"/>
  <c r="AP148" i="56"/>
  <c r="AO148" i="56"/>
  <c r="W112" i="56" l="1" a="1"/>
  <c r="W112" i="56" s="1"/>
  <c r="X112" i="56" s="1" a="1"/>
  <c r="X112" i="56" s="1"/>
  <c r="U138" i="56" s="1"/>
  <c r="R88" i="47" s="1"/>
  <c r="AF112" i="56" a="1"/>
  <c r="AF112" i="56" s="1"/>
  <c r="AG112" i="56" s="1" a="1"/>
  <c r="AG112" i="56" s="1"/>
  <c r="N77" i="56"/>
  <c r="N89" i="56" s="1"/>
  <c r="N90" i="56" s="1"/>
  <c r="U148" i="56"/>
  <c r="V187" i="56" s="1"/>
  <c r="V148" i="56"/>
  <c r="S98" i="47" s="1"/>
  <c r="AM148" i="56"/>
  <c r="AN187" i="56" s="1"/>
  <c r="AP112" i="56" a="1"/>
  <c r="AP112" i="56" s="1"/>
  <c r="AQ112" i="56" s="1" a="1"/>
  <c r="AQ112" i="56" s="1"/>
  <c r="AR112" i="56" s="1" a="1"/>
  <c r="AR112" i="56" s="1"/>
  <c r="AS112" i="56" s="1" a="1"/>
  <c r="AS112" i="56" s="1"/>
  <c r="AT112" i="56" s="1" a="1"/>
  <c r="AT112" i="56" s="1"/>
  <c r="AO187" i="56"/>
  <c r="AE187" i="56"/>
  <c r="Z98" i="47"/>
  <c r="AZ112" i="56" a="1"/>
  <c r="AZ112" i="56" s="1"/>
  <c r="AN138" i="56"/>
  <c r="AK88" i="47" s="1"/>
  <c r="AE148" i="56"/>
  <c r="W148" i="56"/>
  <c r="AL98" i="47"/>
  <c r="AP187" i="56"/>
  <c r="AQ187" i="56"/>
  <c r="AM98" i="47"/>
  <c r="AC138" i="56" l="1"/>
  <c r="Z88" i="47" s="1"/>
  <c r="Y112" i="56" a="1"/>
  <c r="Y112" i="56" s="1"/>
  <c r="Z112" i="56" s="1" a="1"/>
  <c r="Z112" i="56" s="1"/>
  <c r="T138" i="56"/>
  <c r="Q88" i="47" s="1"/>
  <c r="W187" i="56"/>
  <c r="AJ98" i="47"/>
  <c r="R98" i="47"/>
  <c r="AU112" i="56" a="1"/>
  <c r="AU112" i="56" s="1"/>
  <c r="AV112" i="56" s="1" a="1"/>
  <c r="AV112" i="56" s="1"/>
  <c r="AW112" i="56" s="1" a="1"/>
  <c r="AW112" i="56" s="1"/>
  <c r="AX112" i="56" s="1" a="1"/>
  <c r="AX112" i="56" s="1"/>
  <c r="AM138" i="56"/>
  <c r="AJ88" i="47" s="1"/>
  <c r="AH112" i="56" a="1"/>
  <c r="AH112" i="56" s="1"/>
  <c r="AD138" i="56"/>
  <c r="AA88" i="47" s="1"/>
  <c r="BA112" i="56" a="1"/>
  <c r="BA112" i="56" s="1"/>
  <c r="AP138" i="56" s="1"/>
  <c r="AM88" i="47" s="1"/>
  <c r="AO138" i="56"/>
  <c r="AL88" i="47" s="1"/>
  <c r="AF148" i="56"/>
  <c r="AF187" i="56"/>
  <c r="AB98" i="47"/>
  <c r="X187" i="56"/>
  <c r="T98" i="47"/>
  <c r="X148" i="56"/>
  <c r="V138" i="56" l="1"/>
  <c r="S88" i="47" s="1"/>
  <c r="AI112" i="56" a="1"/>
  <c r="AI112" i="56" s="1"/>
  <c r="AE138" i="56"/>
  <c r="AB88" i="47" s="1"/>
  <c r="AA112" i="56" a="1"/>
  <c r="AA112" i="56" s="1"/>
  <c r="W138" i="56"/>
  <c r="T88" i="47" s="1"/>
  <c r="AG148" i="56"/>
  <c r="AG187" i="56"/>
  <c r="AC98" i="47"/>
  <c r="Y148" i="56"/>
  <c r="U98" i="47"/>
  <c r="Y187" i="56"/>
  <c r="AB112" i="56" l="1" a="1"/>
  <c r="AB112" i="56" s="1"/>
  <c r="X138" i="56"/>
  <c r="U88" i="47" s="1"/>
  <c r="AJ112" i="56" a="1"/>
  <c r="AJ112" i="56" s="1"/>
  <c r="AF138" i="56"/>
  <c r="AC88" i="47" s="1"/>
  <c r="AH187" i="56"/>
  <c r="AD98" i="47"/>
  <c r="AH148" i="56"/>
  <c r="V98" i="47"/>
  <c r="Z187" i="56"/>
  <c r="Z148" i="56"/>
  <c r="AA148" i="56"/>
  <c r="AK112" i="56" l="1" a="1"/>
  <c r="AK112" i="56" s="1"/>
  <c r="AG138" i="56"/>
  <c r="AD88" i="47" s="1"/>
  <c r="AC112" i="56" a="1"/>
  <c r="AC112" i="56" s="1"/>
  <c r="Y138" i="56"/>
  <c r="V88" i="47" s="1"/>
  <c r="AI148" i="56"/>
  <c r="AI187" i="56"/>
  <c r="AE98" i="47"/>
  <c r="AB187" i="56"/>
  <c r="X98" i="47"/>
  <c r="AA187" i="56"/>
  <c r="W98" i="47"/>
  <c r="AD112" i="56" l="1" a="1"/>
  <c r="AD112" i="56" s="1"/>
  <c r="AA138" i="56" s="1"/>
  <c r="X88" i="47" s="1"/>
  <c r="Z138" i="56"/>
  <c r="W88" i="47" s="1"/>
  <c r="AL112" i="56" a="1"/>
  <c r="AL112" i="56" s="1"/>
  <c r="AH138" i="56"/>
  <c r="AE88" i="47" s="1"/>
  <c r="AJ148" i="56"/>
  <c r="AK148" i="56"/>
  <c r="AF98" i="47"/>
  <c r="AJ187" i="56"/>
  <c r="AM112" i="56" l="1" a="1"/>
  <c r="AM112" i="56" s="1"/>
  <c r="AI138" i="56"/>
  <c r="AF88" i="47" s="1"/>
  <c r="AL187" i="56"/>
  <c r="AH98" i="47"/>
  <c r="AG98" i="47"/>
  <c r="AK187" i="56"/>
  <c r="AN112" i="56" l="1" a="1"/>
  <c r="AN112" i="56" s="1"/>
  <c r="AK138" i="56" s="1"/>
  <c r="AH88" i="47" s="1"/>
  <c r="AJ138" i="56"/>
  <c r="AG88" i="47" s="1"/>
  <c r="O108" i="60"/>
  <c r="P108" i="60" l="1"/>
  <c r="Q108" i="60" s="1"/>
  <c r="R108" i="60" s="1"/>
  <c r="S108" i="60" s="1"/>
  <c r="T108" i="60" s="1"/>
  <c r="U108" i="60" s="1"/>
  <c r="V108" i="60" s="1"/>
  <c r="W108" i="60" s="1"/>
  <c r="X108" i="60" s="1"/>
  <c r="Y108" i="60" s="1"/>
  <c r="Z108" i="60" s="1"/>
  <c r="AA108" i="60" s="1"/>
  <c r="AB108" i="60" s="1"/>
  <c r="AC108" i="60" s="1"/>
  <c r="AD108" i="60" s="1"/>
  <c r="AE108" i="60" s="1"/>
  <c r="AF108" i="60" s="1"/>
  <c r="AG108" i="60" s="1"/>
  <c r="AH108" i="60" s="1"/>
  <c r="AI108" i="60" s="1"/>
  <c r="AJ108" i="60" s="1"/>
  <c r="AK108" i="60" s="1"/>
  <c r="AL108" i="60" s="1"/>
  <c r="AM108" i="60" s="1"/>
  <c r="AN108" i="60" s="1"/>
  <c r="AO108" i="60" s="1"/>
  <c r="AP108" i="60" s="1"/>
  <c r="O119" i="60"/>
  <c r="J109" i="60"/>
  <c r="O109" i="60"/>
  <c r="J120" i="60"/>
  <c r="O120" i="60"/>
  <c r="J119" i="60"/>
  <c r="O128" i="60"/>
  <c r="O118" i="60"/>
  <c r="J108" i="60"/>
  <c r="K108" i="60" s="1"/>
  <c r="P118" i="60" l="1"/>
  <c r="Q118" i="60" s="1"/>
  <c r="R118" i="60" s="1"/>
  <c r="S118" i="60" s="1"/>
  <c r="T118" i="60" s="1"/>
  <c r="U118" i="60" s="1"/>
  <c r="V118" i="60" s="1"/>
  <c r="W118" i="60" s="1"/>
  <c r="X118" i="60" s="1"/>
  <c r="Y118" i="60" s="1"/>
  <c r="Z118" i="60" s="1"/>
  <c r="AA118" i="60" s="1"/>
  <c r="AB118" i="60" s="1"/>
  <c r="AC118" i="60" s="1"/>
  <c r="AD118" i="60" s="1"/>
  <c r="AE118" i="60" s="1"/>
  <c r="AF118" i="60" s="1"/>
  <c r="AG118" i="60" s="1"/>
  <c r="AH118" i="60" s="1"/>
  <c r="AI118" i="60" s="1"/>
  <c r="AJ118" i="60" s="1"/>
  <c r="AK118" i="60" s="1"/>
  <c r="AL118" i="60" s="1"/>
  <c r="AM118" i="60" s="1"/>
  <c r="AN118" i="60" s="1"/>
  <c r="AO118" i="60" s="1"/>
  <c r="AP118" i="60" s="1"/>
  <c r="P128" i="60"/>
  <c r="Q128" i="60" s="1"/>
  <c r="R128" i="60" s="1"/>
  <c r="S128" i="60" s="1"/>
  <c r="T128" i="60" s="1"/>
  <c r="U128" i="60" s="1"/>
  <c r="V128" i="60" s="1"/>
  <c r="W128" i="60" s="1"/>
  <c r="X128" i="60" s="1"/>
  <c r="Y128" i="60" s="1"/>
  <c r="Z128" i="60" s="1"/>
  <c r="AA128" i="60" s="1"/>
  <c r="AB128" i="60" s="1"/>
  <c r="AC128" i="60" s="1"/>
  <c r="AD128" i="60" s="1"/>
  <c r="AE128" i="60" s="1"/>
  <c r="AF128" i="60" s="1"/>
  <c r="AG128" i="60" s="1"/>
  <c r="AH128" i="60" s="1"/>
  <c r="AI128" i="60" s="1"/>
  <c r="AJ128" i="60" s="1"/>
  <c r="AK128" i="60" s="1"/>
  <c r="AL128" i="60" s="1"/>
  <c r="AM128" i="60" s="1"/>
  <c r="AN128" i="60" s="1"/>
  <c r="AO128" i="60" s="1"/>
  <c r="AP128" i="60" s="1"/>
  <c r="P120" i="60"/>
  <c r="Q120" i="60" s="1"/>
  <c r="R120" i="60" s="1"/>
  <c r="S120" i="60" s="1"/>
  <c r="T120" i="60" s="1"/>
  <c r="U120" i="60" s="1"/>
  <c r="V120" i="60" s="1"/>
  <c r="W120" i="60" s="1"/>
  <c r="X120" i="60" s="1"/>
  <c r="Y120" i="60" s="1"/>
  <c r="Z120" i="60" s="1"/>
  <c r="AA120" i="60" s="1"/>
  <c r="AB120" i="60" s="1"/>
  <c r="AC120" i="60" s="1"/>
  <c r="AD120" i="60" s="1"/>
  <c r="AE120" i="60" s="1"/>
  <c r="AF120" i="60" s="1"/>
  <c r="AG120" i="60" s="1"/>
  <c r="AH120" i="60" s="1"/>
  <c r="AI120" i="60" s="1"/>
  <c r="AJ120" i="60" s="1"/>
  <c r="AK120" i="60" s="1"/>
  <c r="AL120" i="60" s="1"/>
  <c r="AM120" i="60" s="1"/>
  <c r="AN120" i="60" s="1"/>
  <c r="AO120" i="60" s="1"/>
  <c r="AP120" i="60" s="1"/>
  <c r="K120" i="60"/>
  <c r="L120" i="60"/>
  <c r="N120" i="60"/>
  <c r="M120" i="60"/>
  <c r="P109" i="60"/>
  <c r="Q109" i="60" s="1"/>
  <c r="R109" i="60" s="1"/>
  <c r="S109" i="60" s="1"/>
  <c r="T109" i="60" s="1"/>
  <c r="U109" i="60" s="1"/>
  <c r="V109" i="60" s="1"/>
  <c r="W109" i="60" s="1"/>
  <c r="X109" i="60" s="1"/>
  <c r="Y109" i="60" s="1"/>
  <c r="Z109" i="60" s="1"/>
  <c r="AA109" i="60" s="1"/>
  <c r="AB109" i="60" s="1"/>
  <c r="AC109" i="60" s="1"/>
  <c r="AD109" i="60" s="1"/>
  <c r="AE109" i="60" s="1"/>
  <c r="AF109" i="60" s="1"/>
  <c r="AG109" i="60" s="1"/>
  <c r="AH109" i="60" s="1"/>
  <c r="AI109" i="60" s="1"/>
  <c r="AJ109" i="60" s="1"/>
  <c r="AK109" i="60" s="1"/>
  <c r="AL109" i="60" s="1"/>
  <c r="AM109" i="60" s="1"/>
  <c r="AN109" i="60" s="1"/>
  <c r="AO109" i="60" s="1"/>
  <c r="AP109" i="60" s="1"/>
  <c r="K109" i="60"/>
  <c r="L109" i="60"/>
  <c r="M109" i="60"/>
  <c r="N109" i="60"/>
  <c r="P119" i="60"/>
  <c r="Q119" i="60" s="1"/>
  <c r="R119" i="60" s="1"/>
  <c r="S119" i="60" s="1"/>
  <c r="T119" i="60" s="1"/>
  <c r="U119" i="60" s="1"/>
  <c r="V119" i="60" s="1"/>
  <c r="W119" i="60" s="1"/>
  <c r="X119" i="60" s="1"/>
  <c r="Y119" i="60" s="1"/>
  <c r="Z119" i="60" s="1"/>
  <c r="AA119" i="60" s="1"/>
  <c r="AB119" i="60" s="1"/>
  <c r="AC119" i="60" s="1"/>
  <c r="AD119" i="60" s="1"/>
  <c r="AE119" i="60" s="1"/>
  <c r="AF119" i="60" s="1"/>
  <c r="AG119" i="60" s="1"/>
  <c r="AH119" i="60" s="1"/>
  <c r="AI119" i="60" s="1"/>
  <c r="AJ119" i="60" s="1"/>
  <c r="AK119" i="60" s="1"/>
  <c r="AL119" i="60" s="1"/>
  <c r="AM119" i="60" s="1"/>
  <c r="AN119" i="60" s="1"/>
  <c r="AO119" i="60" s="1"/>
  <c r="AP119" i="60" s="1"/>
  <c r="L119" i="60"/>
  <c r="K119" i="60"/>
  <c r="N119" i="60"/>
  <c r="M119" i="60"/>
  <c r="L108" i="60"/>
  <c r="N108" i="60"/>
  <c r="M108" i="60"/>
  <c r="O107" i="60"/>
  <c r="J107" i="60"/>
  <c r="P107" i="60" l="1"/>
  <c r="Q107" i="60" s="1"/>
  <c r="R107" i="60" s="1"/>
  <c r="S107" i="60" s="1"/>
  <c r="T107" i="60" s="1"/>
  <c r="U107" i="60" s="1"/>
  <c r="V107" i="60" s="1"/>
  <c r="W107" i="60" s="1"/>
  <c r="X107" i="60" s="1"/>
  <c r="Y107" i="60" s="1"/>
  <c r="Z107" i="60" s="1"/>
  <c r="AA107" i="60" s="1"/>
  <c r="AB107" i="60" s="1"/>
  <c r="AC107" i="60" s="1"/>
  <c r="AD107" i="60" s="1"/>
  <c r="AE107" i="60" s="1"/>
  <c r="AF107" i="60" s="1"/>
  <c r="AG107" i="60" s="1"/>
  <c r="AH107" i="60" s="1"/>
  <c r="AI107" i="60" s="1"/>
  <c r="AJ107" i="60" s="1"/>
  <c r="AK107" i="60" s="1"/>
  <c r="AL107" i="60" s="1"/>
  <c r="AM107" i="60" s="1"/>
  <c r="AN107" i="60" s="1"/>
  <c r="AO107" i="60" s="1"/>
  <c r="AP107" i="60" s="1"/>
  <c r="K107" i="60"/>
  <c r="M107" i="60"/>
  <c r="N107" i="60"/>
  <c r="L107" i="60"/>
  <c r="J118" i="60" l="1"/>
  <c r="K118" i="60" l="1"/>
  <c r="M118" i="60"/>
  <c r="N118" i="60"/>
  <c r="L118" i="60"/>
  <c r="J128" i="60"/>
  <c r="L128" i="60" l="1"/>
  <c r="M128" i="60"/>
  <c r="K128" i="60"/>
  <c r="N128" i="60"/>
  <c r="O103" i="60" l="1"/>
  <c r="O121" i="60"/>
  <c r="O110" i="60"/>
  <c r="J121" i="60"/>
  <c r="G64" i="47" s="1"/>
  <c r="J110" i="60"/>
  <c r="G77" i="47" s="1"/>
  <c r="J106" i="60"/>
  <c r="G71" i="47" s="1"/>
  <c r="O99" i="60"/>
  <c r="L70" i="47" l="1"/>
  <c r="P99" i="60"/>
  <c r="L64" i="47"/>
  <c r="N121" i="60"/>
  <c r="K64" i="47" s="1"/>
  <c r="M121" i="60"/>
  <c r="J64" i="47" s="1"/>
  <c r="K121" i="60"/>
  <c r="H64" i="47" s="1"/>
  <c r="L121" i="60"/>
  <c r="I64" i="47" s="1"/>
  <c r="P121" i="60"/>
  <c r="L77" i="47"/>
  <c r="K110" i="60"/>
  <c r="H77" i="47" s="1"/>
  <c r="L110" i="60"/>
  <c r="I77" i="47" s="1"/>
  <c r="M110" i="60"/>
  <c r="J77" i="47" s="1"/>
  <c r="N110" i="60"/>
  <c r="K77" i="47" s="1"/>
  <c r="P110" i="60"/>
  <c r="P103" i="60"/>
  <c r="Q103" i="60" s="1"/>
  <c r="R103" i="60" s="1"/>
  <c r="S103" i="60" s="1"/>
  <c r="T103" i="60" s="1"/>
  <c r="U103" i="60" s="1"/>
  <c r="V103" i="60" s="1"/>
  <c r="W103" i="60" s="1"/>
  <c r="X103" i="60" s="1"/>
  <c r="Y103" i="60" s="1"/>
  <c r="Z103" i="60" s="1"/>
  <c r="AA103" i="60" s="1"/>
  <c r="AB103" i="60" s="1"/>
  <c r="AC103" i="60" s="1"/>
  <c r="AD103" i="60" s="1"/>
  <c r="AE103" i="60" s="1"/>
  <c r="AF103" i="60" s="1"/>
  <c r="AG103" i="60" s="1"/>
  <c r="AH103" i="60" s="1"/>
  <c r="AI103" i="60" s="1"/>
  <c r="AJ103" i="60" s="1"/>
  <c r="AK103" i="60" s="1"/>
  <c r="AL103" i="60" s="1"/>
  <c r="AM103" i="60" s="1"/>
  <c r="AN103" i="60" s="1"/>
  <c r="AO103" i="60" s="1"/>
  <c r="AP103" i="60" s="1"/>
  <c r="O106" i="60"/>
  <c r="O105" i="60"/>
  <c r="O100" i="60"/>
  <c r="J103" i="60"/>
  <c r="L103" i="60" s="1"/>
  <c r="J105" i="60"/>
  <c r="G72" i="47" s="1"/>
  <c r="O126" i="60"/>
  <c r="O113" i="60"/>
  <c r="O124" i="60"/>
  <c r="O116" i="60"/>
  <c r="O127" i="60"/>
  <c r="L79" i="47" l="1"/>
  <c r="P116" i="60"/>
  <c r="L67" i="47"/>
  <c r="P124" i="60"/>
  <c r="O82" i="60"/>
  <c r="L75" i="47"/>
  <c r="L66" i="47"/>
  <c r="P126" i="60"/>
  <c r="N103" i="60"/>
  <c r="M103" i="60"/>
  <c r="M77" i="47"/>
  <c r="Q110" i="60"/>
  <c r="M64" i="47"/>
  <c r="Q121" i="60"/>
  <c r="M70" i="47"/>
  <c r="Q99" i="60"/>
  <c r="O85" i="60"/>
  <c r="L65" i="47"/>
  <c r="L74" i="47"/>
  <c r="P100" i="60"/>
  <c r="L72" i="47"/>
  <c r="N105" i="60"/>
  <c r="K72" i="47" s="1"/>
  <c r="L105" i="60"/>
  <c r="I72" i="47" s="1"/>
  <c r="K105" i="60"/>
  <c r="H72" i="47" s="1"/>
  <c r="M105" i="60"/>
  <c r="J72" i="47" s="1"/>
  <c r="P105" i="60"/>
  <c r="L71" i="47"/>
  <c r="M106" i="60"/>
  <c r="J71" i="47" s="1"/>
  <c r="L106" i="60"/>
  <c r="I71" i="47" s="1"/>
  <c r="K106" i="60"/>
  <c r="H71" i="47" s="1"/>
  <c r="N106" i="60"/>
  <c r="K71" i="47" s="1"/>
  <c r="P106" i="60"/>
  <c r="K103" i="60"/>
  <c r="O117" i="60"/>
  <c r="O123" i="60"/>
  <c r="O115" i="60"/>
  <c r="O114" i="60"/>
  <c r="J100" i="60"/>
  <c r="G74" i="47" s="1"/>
  <c r="J124" i="60"/>
  <c r="G67" i="47" s="1"/>
  <c r="J99" i="60"/>
  <c r="J116" i="60"/>
  <c r="G79" i="47" s="1"/>
  <c r="J127" i="60"/>
  <c r="K127" i="60" s="1"/>
  <c r="J117" i="60"/>
  <c r="O111" i="60"/>
  <c r="H65" i="47" l="1"/>
  <c r="K85" i="60"/>
  <c r="K93" i="60" s="1"/>
  <c r="G70" i="47"/>
  <c r="L99" i="60"/>
  <c r="I70" i="47" s="1"/>
  <c r="N99" i="60"/>
  <c r="K70" i="47" s="1"/>
  <c r="K99" i="60"/>
  <c r="H70" i="47" s="1"/>
  <c r="M99" i="60"/>
  <c r="J70" i="47" s="1"/>
  <c r="L81" i="47"/>
  <c r="P114" i="60"/>
  <c r="O84" i="60"/>
  <c r="L78" i="47"/>
  <c r="L117" i="60"/>
  <c r="K117" i="60"/>
  <c r="M117" i="60"/>
  <c r="N117" i="60"/>
  <c r="P92" i="60"/>
  <c r="M71" i="47"/>
  <c r="Q106" i="60"/>
  <c r="M72" i="47"/>
  <c r="Q105" i="60"/>
  <c r="M74" i="47"/>
  <c r="Q100" i="60"/>
  <c r="N100" i="60"/>
  <c r="K74" i="47" s="1"/>
  <c r="K100" i="60"/>
  <c r="H74" i="47" s="1"/>
  <c r="L127" i="60"/>
  <c r="R99" i="60"/>
  <c r="N70" i="47"/>
  <c r="N64" i="47"/>
  <c r="R121" i="60"/>
  <c r="N77" i="47"/>
  <c r="R110" i="60"/>
  <c r="M66" i="47"/>
  <c r="Q126" i="60"/>
  <c r="M67" i="47"/>
  <c r="Q124" i="60"/>
  <c r="K124" i="60"/>
  <c r="H67" i="47" s="1"/>
  <c r="M124" i="60"/>
  <c r="J67" i="47" s="1"/>
  <c r="M79" i="47"/>
  <c r="Q116" i="60"/>
  <c r="M116" i="60"/>
  <c r="J79" i="47" s="1"/>
  <c r="L116" i="60"/>
  <c r="I79" i="47" s="1"/>
  <c r="L82" i="47"/>
  <c r="P111" i="60"/>
  <c r="J84" i="60"/>
  <c r="J92" i="60" s="1"/>
  <c r="G78" i="47"/>
  <c r="J85" i="60"/>
  <c r="J93" i="60" s="1"/>
  <c r="G65" i="47"/>
  <c r="L80" i="47"/>
  <c r="P115" i="60"/>
  <c r="O83" i="60"/>
  <c r="L62" i="47"/>
  <c r="L100" i="60"/>
  <c r="I74" i="47" s="1"/>
  <c r="M100" i="60"/>
  <c r="J74" i="47" s="1"/>
  <c r="M127" i="60"/>
  <c r="N127" i="60"/>
  <c r="O93" i="60"/>
  <c r="P85" i="60"/>
  <c r="O90" i="60"/>
  <c r="P82" i="60"/>
  <c r="L124" i="60"/>
  <c r="I67" i="47" s="1"/>
  <c r="N124" i="60"/>
  <c r="K67" i="47" s="1"/>
  <c r="K116" i="60"/>
  <c r="H79" i="47" s="1"/>
  <c r="N116" i="60"/>
  <c r="K79" i="47" s="1"/>
  <c r="O102" i="60"/>
  <c r="J126" i="60"/>
  <c r="J114" i="60"/>
  <c r="G81" i="47" s="1"/>
  <c r="J111" i="60"/>
  <c r="G82" i="47" s="1"/>
  <c r="Q85" i="60" l="1"/>
  <c r="G66" i="47"/>
  <c r="N126" i="60"/>
  <c r="K66" i="47" s="1"/>
  <c r="L126" i="60"/>
  <c r="I66" i="47" s="1"/>
  <c r="M126" i="60"/>
  <c r="J66" i="47" s="1"/>
  <c r="K126" i="60"/>
  <c r="H66" i="47" s="1"/>
  <c r="O81" i="60"/>
  <c r="O74" i="60"/>
  <c r="L68" i="47"/>
  <c r="J65" i="47"/>
  <c r="M85" i="60"/>
  <c r="O91" i="60"/>
  <c r="P83" i="60"/>
  <c r="M111" i="60"/>
  <c r="J82" i="47" s="1"/>
  <c r="L111" i="60"/>
  <c r="I82" i="47" s="1"/>
  <c r="O70" i="47"/>
  <c r="S99" i="60"/>
  <c r="N74" i="47"/>
  <c r="R100" i="60"/>
  <c r="N72" i="47"/>
  <c r="R105" i="60"/>
  <c r="R106" i="60"/>
  <c r="N71" i="47"/>
  <c r="J78" i="47"/>
  <c r="M84" i="60"/>
  <c r="I78" i="47"/>
  <c r="L84" i="60"/>
  <c r="L92" i="60" s="1"/>
  <c r="O92" i="60"/>
  <c r="P84" i="60"/>
  <c r="P117" i="60" s="1"/>
  <c r="M114" i="60"/>
  <c r="J81" i="47" s="1"/>
  <c r="N114" i="60"/>
  <c r="K81" i="47" s="1"/>
  <c r="Q82" i="60"/>
  <c r="N85" i="60"/>
  <c r="N93" i="60" s="1"/>
  <c r="K65" i="47"/>
  <c r="M80" i="47"/>
  <c r="Q115" i="60"/>
  <c r="M82" i="47"/>
  <c r="Q111" i="60"/>
  <c r="N111" i="60"/>
  <c r="K82" i="47" s="1"/>
  <c r="K111" i="60"/>
  <c r="H82" i="47" s="1"/>
  <c r="N79" i="47"/>
  <c r="R116" i="60"/>
  <c r="N67" i="47"/>
  <c r="R124" i="60"/>
  <c r="N66" i="47"/>
  <c r="R126" i="60"/>
  <c r="O77" i="47"/>
  <c r="S110" i="60"/>
  <c r="O64" i="47"/>
  <c r="S121" i="60"/>
  <c r="I65" i="47"/>
  <c r="L85" i="60"/>
  <c r="L93" i="60" s="1"/>
  <c r="K78" i="47"/>
  <c r="N84" i="60"/>
  <c r="N92" i="60" s="1"/>
  <c r="H78" i="47"/>
  <c r="K84" i="60"/>
  <c r="K92" i="60" s="1"/>
  <c r="M81" i="47"/>
  <c r="Q114" i="60"/>
  <c r="K114" i="60"/>
  <c r="H81" i="47" s="1"/>
  <c r="L114" i="60"/>
  <c r="I81" i="47" s="1"/>
  <c r="J125" i="60"/>
  <c r="O104" i="60"/>
  <c r="O101" i="60"/>
  <c r="O112" i="60"/>
  <c r="O122" i="60"/>
  <c r="R130" i="60" l="1"/>
  <c r="S130" i="60" s="1"/>
  <c r="T130" i="60" s="1"/>
  <c r="U130" i="60" s="1"/>
  <c r="V130" i="60" s="1"/>
  <c r="W130" i="60" s="1"/>
  <c r="X130" i="60" s="1"/>
  <c r="Y130" i="60" s="1"/>
  <c r="Z130" i="60" s="1"/>
  <c r="AA130" i="60" s="1"/>
  <c r="AB130" i="60" s="1"/>
  <c r="AC130" i="60" s="1"/>
  <c r="AD130" i="60" s="1"/>
  <c r="AE130" i="60" s="1"/>
  <c r="AF130" i="60" s="1"/>
  <c r="AG130" i="60" s="1"/>
  <c r="AH130" i="60" s="1"/>
  <c r="AI130" i="60" s="1"/>
  <c r="AJ130" i="60" s="1"/>
  <c r="AK130" i="60" s="1"/>
  <c r="AL130" i="60" s="1"/>
  <c r="AM130" i="60" s="1"/>
  <c r="AN130" i="60" s="1"/>
  <c r="R85" i="60"/>
  <c r="R93" i="60" s="1"/>
  <c r="Q83" i="60"/>
  <c r="L63" i="47"/>
  <c r="P122" i="60"/>
  <c r="L69" i="47"/>
  <c r="P101" i="60"/>
  <c r="L73" i="47"/>
  <c r="P104" i="60"/>
  <c r="R82" i="60"/>
  <c r="M78" i="47"/>
  <c r="Q84" i="60"/>
  <c r="M92" i="60"/>
  <c r="S105" i="60"/>
  <c r="O72" i="47"/>
  <c r="S100" i="60"/>
  <c r="O74" i="47"/>
  <c r="P70" i="47"/>
  <c r="T99" i="60"/>
  <c r="M93" i="60"/>
  <c r="P93" i="60"/>
  <c r="Q93" i="60"/>
  <c r="Q127" i="60" s="1"/>
  <c r="O89" i="60"/>
  <c r="P81" i="60"/>
  <c r="L76" i="47"/>
  <c r="P112" i="60"/>
  <c r="N81" i="47"/>
  <c r="R114" i="60"/>
  <c r="P64" i="47"/>
  <c r="T121" i="60"/>
  <c r="T110" i="60"/>
  <c r="P77" i="47"/>
  <c r="O66" i="47"/>
  <c r="S126" i="60"/>
  <c r="O67" i="47"/>
  <c r="O79" i="47"/>
  <c r="S116" i="60"/>
  <c r="N82" i="47"/>
  <c r="R111" i="60"/>
  <c r="N80" i="47"/>
  <c r="R115" i="60"/>
  <c r="S106" i="60"/>
  <c r="O71" i="47"/>
  <c r="J123" i="60"/>
  <c r="J113" i="60"/>
  <c r="J115" i="60"/>
  <c r="J102" i="60"/>
  <c r="P127" i="60" l="1"/>
  <c r="M65" i="47" s="1"/>
  <c r="N65" i="47"/>
  <c r="S85" i="60"/>
  <c r="R127" i="60"/>
  <c r="O65" i="47" s="1"/>
  <c r="R83" i="60"/>
  <c r="S82" i="60"/>
  <c r="Q81" i="60"/>
  <c r="G80" i="47"/>
  <c r="K115" i="60"/>
  <c r="H80" i="47" s="1"/>
  <c r="L115" i="60"/>
  <c r="I80" i="47" s="1"/>
  <c r="M115" i="60"/>
  <c r="J80" i="47" s="1"/>
  <c r="N115" i="60"/>
  <c r="K80" i="47" s="1"/>
  <c r="P71" i="47"/>
  <c r="T106" i="60"/>
  <c r="Q77" i="47"/>
  <c r="U110" i="60"/>
  <c r="P74" i="47"/>
  <c r="T100" i="60"/>
  <c r="P72" i="47"/>
  <c r="T105" i="60"/>
  <c r="Q92" i="60"/>
  <c r="R84" i="60"/>
  <c r="M73" i="47"/>
  <c r="Q104" i="60"/>
  <c r="M69" i="47"/>
  <c r="Q101" i="60"/>
  <c r="M63" i="47"/>
  <c r="Q122" i="60"/>
  <c r="J81" i="60"/>
  <c r="J89" i="60" s="1"/>
  <c r="J74" i="60"/>
  <c r="J77" i="60" s="1"/>
  <c r="G68" i="47"/>
  <c r="L102" i="60"/>
  <c r="N102" i="60"/>
  <c r="K102" i="60"/>
  <c r="M102" i="60"/>
  <c r="J82" i="60"/>
  <c r="J90" i="60" s="1"/>
  <c r="G75" i="47"/>
  <c r="L113" i="60"/>
  <c r="N113" i="60"/>
  <c r="K113" i="60"/>
  <c r="M113" i="60"/>
  <c r="J83" i="60"/>
  <c r="J91" i="60" s="1"/>
  <c r="G62" i="47"/>
  <c r="M123" i="60"/>
  <c r="K123" i="60"/>
  <c r="L123" i="60"/>
  <c r="N123" i="60"/>
  <c r="O80" i="47"/>
  <c r="S115" i="60"/>
  <c r="O82" i="47"/>
  <c r="S111" i="60"/>
  <c r="P79" i="47"/>
  <c r="T116" i="60"/>
  <c r="P66" i="47"/>
  <c r="T126" i="60"/>
  <c r="U121" i="60"/>
  <c r="Q64" i="47"/>
  <c r="O81" i="47"/>
  <c r="S114" i="60"/>
  <c r="M76" i="47"/>
  <c r="Q112" i="60"/>
  <c r="Q70" i="47"/>
  <c r="U99" i="60"/>
  <c r="J122" i="60"/>
  <c r="J112" i="60"/>
  <c r="J101" i="60"/>
  <c r="J104" i="60"/>
  <c r="Q117" i="60" l="1"/>
  <c r="N78" i="47" s="1"/>
  <c r="T85" i="60"/>
  <c r="S93" i="60"/>
  <c r="S127" i="60" s="1"/>
  <c r="S83" i="60"/>
  <c r="T82" i="60"/>
  <c r="R81" i="60"/>
  <c r="G73" i="47"/>
  <c r="L104" i="60"/>
  <c r="I73" i="47" s="1"/>
  <c r="M104" i="60"/>
  <c r="J73" i="47" s="1"/>
  <c r="N104" i="60"/>
  <c r="K73" i="47" s="1"/>
  <c r="K104" i="60"/>
  <c r="H73" i="47" s="1"/>
  <c r="V99" i="60"/>
  <c r="R70" i="47"/>
  <c r="V121" i="60"/>
  <c r="R64" i="47"/>
  <c r="I62" i="47"/>
  <c r="L83" i="60"/>
  <c r="L91" i="60" s="1"/>
  <c r="J62" i="47"/>
  <c r="M83" i="60"/>
  <c r="H75" i="47"/>
  <c r="K82" i="60"/>
  <c r="K90" i="60" s="1"/>
  <c r="I75" i="47"/>
  <c r="L82" i="60"/>
  <c r="L90" i="60" s="1"/>
  <c r="H68" i="47"/>
  <c r="K81" i="60"/>
  <c r="K89" i="60" s="1"/>
  <c r="K74" i="60"/>
  <c r="K77" i="60" s="1"/>
  <c r="I68" i="47"/>
  <c r="L81" i="60"/>
  <c r="L89" i="60" s="1"/>
  <c r="L74" i="60"/>
  <c r="L77" i="60" s="1"/>
  <c r="N63" i="47"/>
  <c r="R122" i="60"/>
  <c r="N69" i="47"/>
  <c r="R101" i="60"/>
  <c r="R104" i="60"/>
  <c r="N73" i="47"/>
  <c r="G69" i="47"/>
  <c r="K101" i="60"/>
  <c r="H69" i="47" s="1"/>
  <c r="M101" i="60"/>
  <c r="J69" i="47" s="1"/>
  <c r="L101" i="60"/>
  <c r="I69" i="47" s="1"/>
  <c r="N101" i="60"/>
  <c r="K69" i="47" s="1"/>
  <c r="G76" i="47"/>
  <c r="N112" i="60"/>
  <c r="K76" i="47" s="1"/>
  <c r="K112" i="60"/>
  <c r="H76" i="47" s="1"/>
  <c r="L112" i="60"/>
  <c r="I76" i="47" s="1"/>
  <c r="M112" i="60"/>
  <c r="J76" i="47" s="1"/>
  <c r="G63" i="47"/>
  <c r="K122" i="60"/>
  <c r="H63" i="47" s="1"/>
  <c r="M122" i="60"/>
  <c r="J63" i="47" s="1"/>
  <c r="L122" i="60"/>
  <c r="I63" i="47" s="1"/>
  <c r="N122" i="60"/>
  <c r="K63" i="47" s="1"/>
  <c r="N76" i="47"/>
  <c r="R112" i="60"/>
  <c r="P81" i="47"/>
  <c r="T114" i="60"/>
  <c r="U126" i="60"/>
  <c r="Q66" i="47"/>
  <c r="Q79" i="47"/>
  <c r="U116" i="60"/>
  <c r="P82" i="47"/>
  <c r="T111" i="60"/>
  <c r="T115" i="60"/>
  <c r="P80" i="47"/>
  <c r="K62" i="47"/>
  <c r="N83" i="60"/>
  <c r="N91" i="60" s="1"/>
  <c r="H62" i="47"/>
  <c r="K83" i="60"/>
  <c r="K91" i="60" s="1"/>
  <c r="J75" i="47"/>
  <c r="M82" i="60"/>
  <c r="K75" i="47"/>
  <c r="N82" i="60"/>
  <c r="N90" i="60" s="1"/>
  <c r="J68" i="47"/>
  <c r="M74" i="60"/>
  <c r="M81" i="60"/>
  <c r="K68" i="47"/>
  <c r="N74" i="60"/>
  <c r="N81" i="60"/>
  <c r="N89" i="60" s="1"/>
  <c r="S84" i="60"/>
  <c r="R92" i="60"/>
  <c r="Q72" i="47"/>
  <c r="U105" i="60"/>
  <c r="Q74" i="47"/>
  <c r="U100" i="60"/>
  <c r="R77" i="47"/>
  <c r="V110" i="60"/>
  <c r="Q71" i="47"/>
  <c r="U106" i="60"/>
  <c r="R117" i="60" l="1"/>
  <c r="O78" i="47" s="1"/>
  <c r="P65" i="47"/>
  <c r="U85" i="60"/>
  <c r="T93" i="60"/>
  <c r="T127" i="60" s="1"/>
  <c r="T83" i="60"/>
  <c r="T91" i="60" s="1"/>
  <c r="U82" i="60"/>
  <c r="U90" i="60" s="1"/>
  <c r="S81" i="60"/>
  <c r="S89" i="60" s="1"/>
  <c r="V106" i="60"/>
  <c r="R71" i="47"/>
  <c r="W110" i="60"/>
  <c r="S77" i="47"/>
  <c r="V100" i="60"/>
  <c r="R74" i="47"/>
  <c r="V105" i="60"/>
  <c r="R72" i="47"/>
  <c r="M77" i="60"/>
  <c r="O77" i="60"/>
  <c r="N77" i="60"/>
  <c r="M90" i="60"/>
  <c r="R90" i="60"/>
  <c r="S90" i="60"/>
  <c r="T90" i="60"/>
  <c r="T113" i="60" s="1"/>
  <c r="P90" i="60"/>
  <c r="Q90" i="60"/>
  <c r="Q82" i="47"/>
  <c r="U111" i="60"/>
  <c r="R79" i="47"/>
  <c r="V116" i="60"/>
  <c r="U114" i="60"/>
  <c r="Q81" i="47"/>
  <c r="O76" i="47"/>
  <c r="S112" i="60"/>
  <c r="O73" i="47"/>
  <c r="S104" i="60"/>
  <c r="S64" i="47"/>
  <c r="W121" i="60"/>
  <c r="W99" i="60"/>
  <c r="S70" i="47"/>
  <c r="T84" i="60"/>
  <c r="S92" i="60"/>
  <c r="M89" i="60"/>
  <c r="P89" i="60"/>
  <c r="P102" i="60" s="1"/>
  <c r="Q89" i="60"/>
  <c r="Q102" i="60" s="1"/>
  <c r="R89" i="60"/>
  <c r="R102" i="60" s="1"/>
  <c r="Q80" i="47"/>
  <c r="U115" i="60"/>
  <c r="V126" i="60"/>
  <c r="R66" i="47"/>
  <c r="S101" i="60"/>
  <c r="O69" i="47"/>
  <c r="O63" i="47"/>
  <c r="S122" i="60"/>
  <c r="M91" i="60"/>
  <c r="P91" i="60"/>
  <c r="Q91" i="60"/>
  <c r="R91" i="60"/>
  <c r="S91" i="60"/>
  <c r="Q123" i="60" l="1"/>
  <c r="N62" i="47" s="1"/>
  <c r="P113" i="60"/>
  <c r="M75" i="47" s="1"/>
  <c r="R123" i="60"/>
  <c r="O62" i="47" s="1"/>
  <c r="P123" i="60"/>
  <c r="M62" i="47" s="1"/>
  <c r="Q113" i="60"/>
  <c r="N75" i="47" s="1"/>
  <c r="R113" i="60"/>
  <c r="O75" i="47" s="1"/>
  <c r="S113" i="60"/>
  <c r="P75" i="47" s="1"/>
  <c r="S123" i="60"/>
  <c r="P62" i="47" s="1"/>
  <c r="Q65" i="47"/>
  <c r="S117" i="60"/>
  <c r="P78" i="47" s="1"/>
  <c r="V85" i="60"/>
  <c r="U93" i="60"/>
  <c r="U127" i="60" s="1"/>
  <c r="U83" i="60"/>
  <c r="T123" i="60"/>
  <c r="Q62" i="47" s="1"/>
  <c r="Q75" i="47"/>
  <c r="V82" i="60"/>
  <c r="U113" i="60"/>
  <c r="R75" i="47" s="1"/>
  <c r="T81" i="60"/>
  <c r="S102" i="60"/>
  <c r="P69" i="47"/>
  <c r="T101" i="60"/>
  <c r="S66" i="47"/>
  <c r="W126" i="60"/>
  <c r="N68" i="47"/>
  <c r="U84" i="60"/>
  <c r="T92" i="60"/>
  <c r="T70" i="47"/>
  <c r="X99" i="60"/>
  <c r="R81" i="47"/>
  <c r="V114" i="60"/>
  <c r="P63" i="47"/>
  <c r="T122" i="60"/>
  <c r="R80" i="47"/>
  <c r="V115" i="60"/>
  <c r="O68" i="47"/>
  <c r="M68" i="47"/>
  <c r="T64" i="47"/>
  <c r="X121" i="60"/>
  <c r="P73" i="47"/>
  <c r="T104" i="60"/>
  <c r="T112" i="60"/>
  <c r="P76" i="47"/>
  <c r="W116" i="60"/>
  <c r="S79" i="47"/>
  <c r="R82" i="47"/>
  <c r="V111" i="60"/>
  <c r="W105" i="60"/>
  <c r="S72" i="47"/>
  <c r="W100" i="60"/>
  <c r="S74" i="47"/>
  <c r="X110" i="60"/>
  <c r="T77" i="47"/>
  <c r="W106" i="60"/>
  <c r="S71" i="47"/>
  <c r="Q74" i="60" l="1"/>
  <c r="Q77" i="60" s="1"/>
  <c r="P74" i="60"/>
  <c r="P77" i="60" s="1"/>
  <c r="R74" i="60"/>
  <c r="R77" i="60" s="1"/>
  <c r="S74" i="60"/>
  <c r="S77" i="60" s="1"/>
  <c r="T117" i="60"/>
  <c r="Q78" i="47" s="1"/>
  <c r="R65" i="47"/>
  <c r="W85" i="60"/>
  <c r="V93" i="60"/>
  <c r="V127" i="60" s="1"/>
  <c r="V83" i="60"/>
  <c r="U91" i="60"/>
  <c r="U123" i="60" s="1"/>
  <c r="W82" i="60"/>
  <c r="V90" i="60"/>
  <c r="V113" i="60" s="1"/>
  <c r="P68" i="47"/>
  <c r="U81" i="60"/>
  <c r="T89" i="60"/>
  <c r="T102" i="60" s="1"/>
  <c r="W111" i="60"/>
  <c r="S82" i="47"/>
  <c r="Q73" i="47"/>
  <c r="U104" i="60"/>
  <c r="U64" i="47"/>
  <c r="Y121" i="60"/>
  <c r="W115" i="60"/>
  <c r="S80" i="47"/>
  <c r="Q63" i="47"/>
  <c r="U122" i="60"/>
  <c r="W114" i="60"/>
  <c r="S81" i="47"/>
  <c r="U70" i="47"/>
  <c r="Y99" i="60"/>
  <c r="T66" i="47"/>
  <c r="X126" i="60"/>
  <c r="Q69" i="47"/>
  <c r="U101" i="60"/>
  <c r="T71" i="47"/>
  <c r="X106" i="60"/>
  <c r="U77" i="47"/>
  <c r="Y110" i="60"/>
  <c r="T74" i="47"/>
  <c r="X100" i="60"/>
  <c r="T72" i="47"/>
  <c r="X105" i="60"/>
  <c r="X116" i="60"/>
  <c r="T79" i="47"/>
  <c r="Q76" i="47"/>
  <c r="U112" i="60"/>
  <c r="V84" i="60"/>
  <c r="U92" i="60"/>
  <c r="S65" i="47" l="1"/>
  <c r="U117" i="60"/>
  <c r="R78" i="47" s="1"/>
  <c r="X85" i="60"/>
  <c r="W93" i="60"/>
  <c r="W127" i="60" s="1"/>
  <c r="R62" i="47"/>
  <c r="W83" i="60"/>
  <c r="V91" i="60"/>
  <c r="V123" i="60" s="1"/>
  <c r="S75" i="47"/>
  <c r="X82" i="60"/>
  <c r="W90" i="60"/>
  <c r="W113" i="60" s="1"/>
  <c r="T74" i="60"/>
  <c r="T77" i="60" s="1"/>
  <c r="Q68" i="47"/>
  <c r="V81" i="60"/>
  <c r="U89" i="60"/>
  <c r="U102" i="60" s="1"/>
  <c r="R76" i="47"/>
  <c r="V112" i="60"/>
  <c r="U72" i="47"/>
  <c r="Y105" i="60"/>
  <c r="U74" i="47"/>
  <c r="Y100" i="60"/>
  <c r="V77" i="47"/>
  <c r="Z110" i="60"/>
  <c r="U71" i="47"/>
  <c r="Y106" i="60"/>
  <c r="V101" i="60"/>
  <c r="R69" i="47"/>
  <c r="U66" i="47"/>
  <c r="Y126" i="60"/>
  <c r="V70" i="47"/>
  <c r="Z99" i="60"/>
  <c r="R63" i="47"/>
  <c r="V122" i="60"/>
  <c r="V64" i="47"/>
  <c r="Z121" i="60"/>
  <c r="V104" i="60"/>
  <c r="R73" i="47"/>
  <c r="W84" i="60"/>
  <c r="V92" i="60"/>
  <c r="U79" i="47"/>
  <c r="Y116" i="60"/>
  <c r="X114" i="60"/>
  <c r="T81" i="47"/>
  <c r="X115" i="60"/>
  <c r="T80" i="47"/>
  <c r="X111" i="60"/>
  <c r="T82" i="47"/>
  <c r="V117" i="60" l="1"/>
  <c r="S78" i="47" s="1"/>
  <c r="S62" i="47"/>
  <c r="T65" i="47"/>
  <c r="Y85" i="60"/>
  <c r="X93" i="60"/>
  <c r="X127" i="60" s="1"/>
  <c r="X83" i="60"/>
  <c r="W91" i="60"/>
  <c r="W123" i="60" s="1"/>
  <c r="T75" i="47"/>
  <c r="Y82" i="60"/>
  <c r="X90" i="60"/>
  <c r="X113" i="60" s="1"/>
  <c r="R68" i="47"/>
  <c r="U74" i="60"/>
  <c r="U77" i="60" s="1"/>
  <c r="W81" i="60"/>
  <c r="V89" i="60"/>
  <c r="V102" i="60" s="1"/>
  <c r="V79" i="47"/>
  <c r="Z116" i="60"/>
  <c r="W64" i="47"/>
  <c r="AA121" i="60"/>
  <c r="W122" i="60"/>
  <c r="S63" i="47"/>
  <c r="W70" i="47"/>
  <c r="AA99" i="60"/>
  <c r="V66" i="47"/>
  <c r="Z126" i="60"/>
  <c r="V71" i="47"/>
  <c r="Z106" i="60"/>
  <c r="W77" i="47"/>
  <c r="AA110" i="60"/>
  <c r="V74" i="47"/>
  <c r="Z100" i="60"/>
  <c r="V72" i="47"/>
  <c r="Z105" i="60"/>
  <c r="W112" i="60"/>
  <c r="S76" i="47"/>
  <c r="U82" i="47"/>
  <c r="Y111" i="60"/>
  <c r="U80" i="47"/>
  <c r="Y115" i="60"/>
  <c r="U81" i="47"/>
  <c r="Y114" i="60"/>
  <c r="X84" i="60"/>
  <c r="W92" i="60"/>
  <c r="W104" i="60"/>
  <c r="S73" i="47"/>
  <c r="W101" i="60"/>
  <c r="S69" i="47"/>
  <c r="T62" i="47" l="1"/>
  <c r="W117" i="60"/>
  <c r="T78" i="47" s="1"/>
  <c r="U65" i="47"/>
  <c r="Z85" i="60"/>
  <c r="Y93" i="60"/>
  <c r="Y127" i="60" s="1"/>
  <c r="Y83" i="60"/>
  <c r="X91" i="60"/>
  <c r="X123" i="60" s="1"/>
  <c r="U75" i="47"/>
  <c r="Z82" i="60"/>
  <c r="Y90" i="60"/>
  <c r="Y113" i="60" s="1"/>
  <c r="S68" i="47"/>
  <c r="V74" i="60"/>
  <c r="V77" i="60" s="1"/>
  <c r="X81" i="60"/>
  <c r="W89" i="60"/>
  <c r="W102" i="60" s="1"/>
  <c r="V81" i="47"/>
  <c r="Z114" i="60"/>
  <c r="V80" i="47"/>
  <c r="Z115" i="60"/>
  <c r="V82" i="47"/>
  <c r="Z111" i="60"/>
  <c r="W72" i="47"/>
  <c r="AA105" i="60"/>
  <c r="W74" i="47"/>
  <c r="AA100" i="60"/>
  <c r="X77" i="47"/>
  <c r="AB110" i="60"/>
  <c r="W71" i="47"/>
  <c r="AA106" i="60"/>
  <c r="W66" i="47"/>
  <c r="AA126" i="60"/>
  <c r="X70" i="47"/>
  <c r="AB99" i="60"/>
  <c r="X64" i="47"/>
  <c r="AB121" i="60"/>
  <c r="W79" i="47"/>
  <c r="AA116" i="60"/>
  <c r="T69" i="47"/>
  <c r="X101" i="60"/>
  <c r="T73" i="47"/>
  <c r="X104" i="60"/>
  <c r="Y84" i="60"/>
  <c r="X92" i="60"/>
  <c r="X112" i="60"/>
  <c r="T76" i="47"/>
  <c r="T63" i="47"/>
  <c r="X122" i="60"/>
  <c r="V65" i="47" l="1"/>
  <c r="X117" i="60"/>
  <c r="U78" i="47" s="1"/>
  <c r="AA85" i="60"/>
  <c r="Z93" i="60"/>
  <c r="Z127" i="60" s="1"/>
  <c r="U62" i="47"/>
  <c r="Z83" i="60"/>
  <c r="Y91" i="60"/>
  <c r="Y123" i="60" s="1"/>
  <c r="V75" i="47"/>
  <c r="AA82" i="60"/>
  <c r="Z90" i="60"/>
  <c r="Z113" i="60" s="1"/>
  <c r="T68" i="47"/>
  <c r="W74" i="60"/>
  <c r="W77" i="60" s="1"/>
  <c r="Y81" i="60"/>
  <c r="X89" i="60"/>
  <c r="X102" i="60" s="1"/>
  <c r="U63" i="47"/>
  <c r="Y122" i="60"/>
  <c r="U73" i="47"/>
  <c r="Y104" i="60"/>
  <c r="U69" i="47"/>
  <c r="Y101" i="60"/>
  <c r="X79" i="47"/>
  <c r="AB116" i="60"/>
  <c r="Y64" i="47"/>
  <c r="AC121" i="60"/>
  <c r="Y70" i="47"/>
  <c r="AC99" i="60"/>
  <c r="X66" i="47"/>
  <c r="AB126" i="60"/>
  <c r="X71" i="47"/>
  <c r="AB106" i="60"/>
  <c r="Y77" i="47"/>
  <c r="AC110" i="60"/>
  <c r="X74" i="47"/>
  <c r="AB100" i="60"/>
  <c r="X72" i="47"/>
  <c r="AB105" i="60"/>
  <c r="W82" i="47"/>
  <c r="AA111" i="60"/>
  <c r="W80" i="47"/>
  <c r="AA115" i="60"/>
  <c r="W81" i="47"/>
  <c r="AA114" i="60"/>
  <c r="U76" i="47"/>
  <c r="Y112" i="60"/>
  <c r="Z84" i="60"/>
  <c r="Y92" i="60"/>
  <c r="Y117" i="60" l="1"/>
  <c r="V78" i="47" s="1"/>
  <c r="W65" i="47"/>
  <c r="AB85" i="60"/>
  <c r="AA93" i="60"/>
  <c r="AA127" i="60" s="1"/>
  <c r="V62" i="47"/>
  <c r="AA83" i="60"/>
  <c r="Z91" i="60"/>
  <c r="Z123" i="60" s="1"/>
  <c r="W75" i="47"/>
  <c r="AB82" i="60"/>
  <c r="AA90" i="60"/>
  <c r="AA113" i="60" s="1"/>
  <c r="U68" i="47"/>
  <c r="X74" i="60"/>
  <c r="X77" i="60" s="1"/>
  <c r="Z81" i="60"/>
  <c r="Y89" i="60"/>
  <c r="Y102" i="60" s="1"/>
  <c r="V76" i="47"/>
  <c r="Z112" i="60"/>
  <c r="X81" i="47"/>
  <c r="AB114" i="60"/>
  <c r="X80" i="47"/>
  <c r="AB115" i="60"/>
  <c r="X82" i="47"/>
  <c r="AB111" i="60"/>
  <c r="Y72" i="47"/>
  <c r="AC105" i="60"/>
  <c r="Y74" i="47"/>
  <c r="AC100" i="60"/>
  <c r="Z77" i="47"/>
  <c r="AD110" i="60"/>
  <c r="Y71" i="47"/>
  <c r="AC106" i="60"/>
  <c r="Y66" i="47"/>
  <c r="AC126" i="60"/>
  <c r="Z70" i="47"/>
  <c r="AD99" i="60"/>
  <c r="Z64" i="47"/>
  <c r="AD121" i="60"/>
  <c r="Y79" i="47"/>
  <c r="AC116" i="60"/>
  <c r="V69" i="47"/>
  <c r="Z101" i="60"/>
  <c r="V73" i="47"/>
  <c r="Z104" i="60"/>
  <c r="V63" i="47"/>
  <c r="Z122" i="60"/>
  <c r="AA84" i="60"/>
  <c r="Z92" i="60"/>
  <c r="X65" i="47" l="1"/>
  <c r="Z117" i="60"/>
  <c r="W78" i="47" s="1"/>
  <c r="AC85" i="60"/>
  <c r="AB93" i="60"/>
  <c r="AB127" i="60" s="1"/>
  <c r="W62" i="47"/>
  <c r="AB83" i="60"/>
  <c r="AA91" i="60"/>
  <c r="AA123" i="60" s="1"/>
  <c r="X75" i="47"/>
  <c r="AC82" i="60"/>
  <c r="AB90" i="60"/>
  <c r="AB113" i="60" s="1"/>
  <c r="V68" i="47"/>
  <c r="Y74" i="60"/>
  <c r="Y77" i="60" s="1"/>
  <c r="AA81" i="60"/>
  <c r="Z89" i="60"/>
  <c r="Z102" i="60" s="1"/>
  <c r="W63" i="47"/>
  <c r="AA122" i="60"/>
  <c r="W73" i="47"/>
  <c r="AA104" i="60"/>
  <c r="W69" i="47"/>
  <c r="AA101" i="60"/>
  <c r="Z79" i="47"/>
  <c r="AD116" i="60"/>
  <c r="AA64" i="47"/>
  <c r="AE121" i="60"/>
  <c r="AA70" i="47"/>
  <c r="AE99" i="60"/>
  <c r="Z66" i="47"/>
  <c r="AD126" i="60"/>
  <c r="Z71" i="47"/>
  <c r="AD106" i="60"/>
  <c r="AA77" i="47"/>
  <c r="AE110" i="60"/>
  <c r="Z74" i="47"/>
  <c r="AD100" i="60"/>
  <c r="Z72" i="47"/>
  <c r="AD105" i="60"/>
  <c r="Y82" i="47"/>
  <c r="AC111" i="60"/>
  <c r="Y80" i="47"/>
  <c r="AC115" i="60"/>
  <c r="Y81" i="47"/>
  <c r="AC114" i="60"/>
  <c r="W76" i="47"/>
  <c r="AA112" i="60"/>
  <c r="AB84" i="60"/>
  <c r="AA92" i="60"/>
  <c r="AA117" i="60" l="1"/>
  <c r="X78" i="47" s="1"/>
  <c r="Y65" i="47"/>
  <c r="AD85" i="60"/>
  <c r="AC93" i="60"/>
  <c r="AC127" i="60" s="1"/>
  <c r="X62" i="47"/>
  <c r="AC83" i="60"/>
  <c r="AB91" i="60"/>
  <c r="AB123" i="60" s="1"/>
  <c r="Y75" i="47"/>
  <c r="AD82" i="60"/>
  <c r="AC90" i="60"/>
  <c r="AC113" i="60" s="1"/>
  <c r="W68" i="47"/>
  <c r="Z74" i="60"/>
  <c r="Z77" i="60" s="1"/>
  <c r="AB81" i="60"/>
  <c r="AA89" i="60"/>
  <c r="AA102" i="60" s="1"/>
  <c r="X76" i="47"/>
  <c r="AB112" i="60"/>
  <c r="Z81" i="47"/>
  <c r="AD114" i="60"/>
  <c r="Z80" i="47"/>
  <c r="AD115" i="60"/>
  <c r="Z82" i="47"/>
  <c r="AD111" i="60"/>
  <c r="AA72" i="47"/>
  <c r="AE105" i="60"/>
  <c r="AA74" i="47"/>
  <c r="AE100" i="60"/>
  <c r="AB77" i="47"/>
  <c r="AF110" i="60"/>
  <c r="AA71" i="47"/>
  <c r="AE106" i="60"/>
  <c r="AA66" i="47"/>
  <c r="AE126" i="60"/>
  <c r="AB70" i="47"/>
  <c r="AF99" i="60"/>
  <c r="AF121" i="60"/>
  <c r="AB64" i="47"/>
  <c r="AA79" i="47"/>
  <c r="AE116" i="60"/>
  <c r="X69" i="47"/>
  <c r="AB101" i="60"/>
  <c r="X73" i="47"/>
  <c r="AB104" i="60"/>
  <c r="X63" i="47"/>
  <c r="AB122" i="60"/>
  <c r="AC84" i="60"/>
  <c r="AB92" i="60"/>
  <c r="Z65" i="47" l="1"/>
  <c r="AB117" i="60"/>
  <c r="Y78" i="47" s="1"/>
  <c r="AE85" i="60"/>
  <c r="AD93" i="60"/>
  <c r="AD127" i="60" s="1"/>
  <c r="Y62" i="47"/>
  <c r="AD83" i="60"/>
  <c r="AC91" i="60"/>
  <c r="AC123" i="60" s="1"/>
  <c r="Z75" i="47"/>
  <c r="AE82" i="60"/>
  <c r="AD90" i="60"/>
  <c r="AD113" i="60" s="1"/>
  <c r="AA74" i="60"/>
  <c r="AA77" i="60" s="1"/>
  <c r="X68" i="47"/>
  <c r="AC81" i="60"/>
  <c r="AB89" i="60"/>
  <c r="AB102" i="60" s="1"/>
  <c r="Y63" i="47"/>
  <c r="AC122" i="60"/>
  <c r="Y73" i="47"/>
  <c r="AC104" i="60"/>
  <c r="Y69" i="47"/>
  <c r="AC101" i="60"/>
  <c r="AB79" i="47"/>
  <c r="AF116" i="60"/>
  <c r="AG99" i="60"/>
  <c r="AC70" i="47"/>
  <c r="AF126" i="60"/>
  <c r="AB66" i="47"/>
  <c r="AB71" i="47"/>
  <c r="AF106" i="60"/>
  <c r="AC77" i="47"/>
  <c r="AG110" i="60"/>
  <c r="AB74" i="47"/>
  <c r="AF100" i="60"/>
  <c r="AB72" i="47"/>
  <c r="AF105" i="60"/>
  <c r="AA82" i="47"/>
  <c r="AE111" i="60"/>
  <c r="AA80" i="47"/>
  <c r="AE115" i="60"/>
  <c r="AA81" i="47"/>
  <c r="AE114" i="60"/>
  <c r="Y76" i="47"/>
  <c r="AC112" i="60"/>
  <c r="AD84" i="60"/>
  <c r="AC92" i="60"/>
  <c r="AG121" i="60"/>
  <c r="AC64" i="47"/>
  <c r="AC117" i="60" l="1"/>
  <c r="Z78" i="47" s="1"/>
  <c r="AA65" i="47"/>
  <c r="AF85" i="60"/>
  <c r="AE93" i="60"/>
  <c r="AE127" i="60" s="1"/>
  <c r="Z62" i="47"/>
  <c r="AE83" i="60"/>
  <c r="AD91" i="60"/>
  <c r="AD123" i="60" s="1"/>
  <c r="AA75" i="47"/>
  <c r="AF82" i="60"/>
  <c r="AE90" i="60"/>
  <c r="AE113" i="60" s="1"/>
  <c r="Y68" i="47"/>
  <c r="AB74" i="60"/>
  <c r="AB77" i="60" s="1"/>
  <c r="AD81" i="60"/>
  <c r="AC89" i="60"/>
  <c r="AC102" i="60" s="1"/>
  <c r="Z76" i="47"/>
  <c r="AD112" i="60"/>
  <c r="AB81" i="47"/>
  <c r="AF114" i="60"/>
  <c r="AB80" i="47"/>
  <c r="AF115" i="60"/>
  <c r="AB82" i="47"/>
  <c r="AF111" i="60"/>
  <c r="AG105" i="60"/>
  <c r="AC72" i="47"/>
  <c r="AG100" i="60"/>
  <c r="AC74" i="47"/>
  <c r="AH110" i="60"/>
  <c r="AD77" i="47"/>
  <c r="AG106" i="60"/>
  <c r="AC71" i="47"/>
  <c r="AC79" i="47"/>
  <c r="AG116" i="60"/>
  <c r="Z69" i="47"/>
  <c r="AD101" i="60"/>
  <c r="Z73" i="47"/>
  <c r="AD104" i="60"/>
  <c r="Z63" i="47"/>
  <c r="AD122" i="60"/>
  <c r="AD64" i="47"/>
  <c r="AH121" i="60"/>
  <c r="AE84" i="60"/>
  <c r="AD92" i="60"/>
  <c r="AG126" i="60"/>
  <c r="AC66" i="47"/>
  <c r="AH99" i="60"/>
  <c r="AD70" i="47"/>
  <c r="AB65" i="47" l="1"/>
  <c r="AD117" i="60"/>
  <c r="AA78" i="47" s="1"/>
  <c r="AG85" i="60"/>
  <c r="AF93" i="60"/>
  <c r="AF127" i="60" s="1"/>
  <c r="AA62" i="47"/>
  <c r="AF83" i="60"/>
  <c r="AE91" i="60"/>
  <c r="AE123" i="60" s="1"/>
  <c r="AB75" i="47"/>
  <c r="AG82" i="60"/>
  <c r="AF90" i="60"/>
  <c r="AF113" i="60" s="1"/>
  <c r="AC74" i="60"/>
  <c r="AC77" i="60" s="1"/>
  <c r="Z68" i="47"/>
  <c r="AE81" i="60"/>
  <c r="AD89" i="60"/>
  <c r="AD102" i="60" s="1"/>
  <c r="AI121" i="60"/>
  <c r="AE64" i="47"/>
  <c r="AA63" i="47"/>
  <c r="AE122" i="60"/>
  <c r="AA73" i="47"/>
  <c r="AE104" i="60"/>
  <c r="AA69" i="47"/>
  <c r="AE101" i="60"/>
  <c r="AH116" i="60"/>
  <c r="AD79" i="47"/>
  <c r="AC82" i="47"/>
  <c r="AG111" i="60"/>
  <c r="AC80" i="47"/>
  <c r="AG115" i="60"/>
  <c r="AC81" i="47"/>
  <c r="AG114" i="60"/>
  <c r="AA76" i="47"/>
  <c r="AE112" i="60"/>
  <c r="AE70" i="47"/>
  <c r="AI99" i="60"/>
  <c r="AD66" i="47"/>
  <c r="AH126" i="60"/>
  <c r="AF84" i="60"/>
  <c r="AE92" i="60"/>
  <c r="AH106" i="60"/>
  <c r="AD71" i="47"/>
  <c r="AI110" i="60"/>
  <c r="AE77" i="47"/>
  <c r="AH100" i="60"/>
  <c r="AD74" i="47"/>
  <c r="AH105" i="60"/>
  <c r="AD72" i="47"/>
  <c r="AE117" i="60" l="1"/>
  <c r="AB78" i="47" s="1"/>
  <c r="AC65" i="47"/>
  <c r="AH85" i="60"/>
  <c r="AG93" i="60"/>
  <c r="AG127" i="60" s="1"/>
  <c r="AB62" i="47"/>
  <c r="AG83" i="60"/>
  <c r="AF91" i="60"/>
  <c r="AF123" i="60" s="1"/>
  <c r="AC75" i="47"/>
  <c r="AH82" i="60"/>
  <c r="AG90" i="60"/>
  <c r="AG113" i="60" s="1"/>
  <c r="AD74" i="60"/>
  <c r="AD77" i="60" s="1"/>
  <c r="AA68" i="47"/>
  <c r="AF81" i="60"/>
  <c r="AE89" i="60"/>
  <c r="AE102" i="60" s="1"/>
  <c r="AI126" i="60"/>
  <c r="AE66" i="47"/>
  <c r="AJ99" i="60"/>
  <c r="AF70" i="47"/>
  <c r="AB76" i="47"/>
  <c r="AF112" i="60"/>
  <c r="AH114" i="60"/>
  <c r="AD81" i="47"/>
  <c r="AH115" i="60"/>
  <c r="AD80" i="47"/>
  <c r="AH111" i="60"/>
  <c r="AD82" i="47"/>
  <c r="AB69" i="47"/>
  <c r="AF101" i="60"/>
  <c r="AB73" i="47"/>
  <c r="AF104" i="60"/>
  <c r="AB63" i="47"/>
  <c r="AF122" i="60"/>
  <c r="AE72" i="47"/>
  <c r="AI105" i="60"/>
  <c r="AE74" i="47"/>
  <c r="AI100" i="60"/>
  <c r="AF77" i="47"/>
  <c r="AJ110" i="60"/>
  <c r="AE71" i="47"/>
  <c r="AI106" i="60"/>
  <c r="AG84" i="60"/>
  <c r="AF92" i="60"/>
  <c r="AI116" i="60"/>
  <c r="AE79" i="47"/>
  <c r="AF64" i="47"/>
  <c r="AJ121" i="60"/>
  <c r="AD65" i="47" l="1"/>
  <c r="AF117" i="60"/>
  <c r="AC78" i="47" s="1"/>
  <c r="AI85" i="60"/>
  <c r="AH93" i="60"/>
  <c r="AH127" i="60" s="1"/>
  <c r="AC62" i="47"/>
  <c r="AH83" i="60"/>
  <c r="AG91" i="60"/>
  <c r="AG123" i="60" s="1"/>
  <c r="AD75" i="47"/>
  <c r="AI82" i="60"/>
  <c r="AH90" i="60"/>
  <c r="AH113" i="60" s="1"/>
  <c r="AB68" i="47"/>
  <c r="AE74" i="60"/>
  <c r="AE77" i="60" s="1"/>
  <c r="AG81" i="60"/>
  <c r="AF89" i="60"/>
  <c r="AF102" i="60" s="1"/>
  <c r="AG64" i="47"/>
  <c r="AK121" i="60"/>
  <c r="AJ106" i="60"/>
  <c r="AF71" i="47"/>
  <c r="AK110" i="60"/>
  <c r="AG77" i="47"/>
  <c r="AJ100" i="60"/>
  <c r="AF74" i="47"/>
  <c r="AJ105" i="60"/>
  <c r="AF72" i="47"/>
  <c r="AG122" i="60"/>
  <c r="AC63" i="47"/>
  <c r="AG104" i="60"/>
  <c r="AC73" i="47"/>
  <c r="AG101" i="60"/>
  <c r="AC69" i="47"/>
  <c r="AC76" i="47"/>
  <c r="AG112" i="60"/>
  <c r="AF79" i="47"/>
  <c r="AJ116" i="60"/>
  <c r="AH84" i="60"/>
  <c r="AG92" i="60"/>
  <c r="AI111" i="60"/>
  <c r="AE82" i="47"/>
  <c r="AI115" i="60"/>
  <c r="AE80" i="47"/>
  <c r="AI114" i="60"/>
  <c r="AE81" i="47"/>
  <c r="AG70" i="47"/>
  <c r="AK99" i="60"/>
  <c r="AF66" i="47"/>
  <c r="AJ126" i="60"/>
  <c r="AG117" i="60" l="1"/>
  <c r="AD78" i="47" s="1"/>
  <c r="AE65" i="47"/>
  <c r="AJ85" i="60"/>
  <c r="AI93" i="60"/>
  <c r="AI127" i="60" s="1"/>
  <c r="AD62" i="47"/>
  <c r="AI83" i="60"/>
  <c r="AH91" i="60"/>
  <c r="AH123" i="60" s="1"/>
  <c r="AE75" i="47"/>
  <c r="AJ82" i="60"/>
  <c r="AI90" i="60"/>
  <c r="AI113" i="60" s="1"/>
  <c r="AC68" i="47"/>
  <c r="AF74" i="60"/>
  <c r="AF77" i="60" s="1"/>
  <c r="AH81" i="60"/>
  <c r="AG89" i="60"/>
  <c r="AG102" i="60" s="1"/>
  <c r="AG66" i="47"/>
  <c r="AK126" i="60"/>
  <c r="AH70" i="47"/>
  <c r="AL99" i="60"/>
  <c r="AK116" i="60"/>
  <c r="AG79" i="47"/>
  <c r="AH112" i="60"/>
  <c r="AD76" i="47"/>
  <c r="AH64" i="47"/>
  <c r="AL121" i="60"/>
  <c r="AF81" i="47"/>
  <c r="AJ114" i="60"/>
  <c r="AF80" i="47"/>
  <c r="AJ115" i="60"/>
  <c r="AF82" i="47"/>
  <c r="AJ111" i="60"/>
  <c r="AI84" i="60"/>
  <c r="AH92" i="60"/>
  <c r="AH101" i="60"/>
  <c r="AD69" i="47"/>
  <c r="AH104" i="60"/>
  <c r="AD73" i="47"/>
  <c r="AH122" i="60"/>
  <c r="AD63" i="47"/>
  <c r="AG72" i="47"/>
  <c r="AK105" i="60"/>
  <c r="AG74" i="47"/>
  <c r="AK100" i="60"/>
  <c r="AH77" i="47"/>
  <c r="AL110" i="60"/>
  <c r="AG71" i="47"/>
  <c r="AK106" i="60"/>
  <c r="AE62" i="47" l="1"/>
  <c r="AF65" i="47"/>
  <c r="AH117" i="60"/>
  <c r="AE78" i="47" s="1"/>
  <c r="AK85" i="60"/>
  <c r="AJ93" i="60"/>
  <c r="AJ127" i="60" s="1"/>
  <c r="AJ83" i="60"/>
  <c r="AI91" i="60"/>
  <c r="AI123" i="60" s="1"/>
  <c r="AF75" i="47"/>
  <c r="AK82" i="60"/>
  <c r="AJ90" i="60"/>
  <c r="AJ113" i="60" s="1"/>
  <c r="AG74" i="60"/>
  <c r="AG77" i="60" s="1"/>
  <c r="AD68" i="47"/>
  <c r="AI81" i="60"/>
  <c r="AH89" i="60"/>
  <c r="AH102" i="60" s="1"/>
  <c r="AH71" i="47"/>
  <c r="AL106" i="60"/>
  <c r="AI77" i="47"/>
  <c r="AM110" i="60"/>
  <c r="AH74" i="47"/>
  <c r="AL100" i="60"/>
  <c r="AH72" i="47"/>
  <c r="AL105" i="60"/>
  <c r="AK111" i="60"/>
  <c r="AG82" i="47"/>
  <c r="AK115" i="60"/>
  <c r="AG80" i="47"/>
  <c r="AK114" i="60"/>
  <c r="AG81" i="47"/>
  <c r="AI64" i="47"/>
  <c r="AM121" i="60"/>
  <c r="AI70" i="47"/>
  <c r="AM99" i="60"/>
  <c r="AH66" i="47"/>
  <c r="AL126" i="60"/>
  <c r="AE63" i="47"/>
  <c r="AI122" i="60"/>
  <c r="AE73" i="47"/>
  <c r="AI104" i="60"/>
  <c r="AE69" i="47"/>
  <c r="AI101" i="60"/>
  <c r="AJ84" i="60"/>
  <c r="AI92" i="60"/>
  <c r="AI112" i="60"/>
  <c r="AE76" i="47"/>
  <c r="AH79" i="47"/>
  <c r="AL116" i="60"/>
  <c r="AI117" i="60" l="1"/>
  <c r="AF78" i="47" s="1"/>
  <c r="AF62" i="47"/>
  <c r="AG65" i="47"/>
  <c r="AL85" i="60"/>
  <c r="AK93" i="60"/>
  <c r="AK127" i="60" s="1"/>
  <c r="AK83" i="60"/>
  <c r="AJ91" i="60"/>
  <c r="AJ123" i="60" s="1"/>
  <c r="AG75" i="47"/>
  <c r="AL82" i="60"/>
  <c r="AK90" i="60"/>
  <c r="AK113" i="60" s="1"/>
  <c r="AH74" i="60"/>
  <c r="AH77" i="60" s="1"/>
  <c r="AE68" i="47"/>
  <c r="AJ81" i="60"/>
  <c r="AI89" i="60"/>
  <c r="AI102" i="60" s="1"/>
  <c r="AI79" i="47"/>
  <c r="AM116" i="60"/>
  <c r="AJ101" i="60"/>
  <c r="AF69" i="47"/>
  <c r="AJ104" i="60"/>
  <c r="AF73" i="47"/>
  <c r="AJ122" i="60"/>
  <c r="AF63" i="47"/>
  <c r="AI66" i="47"/>
  <c r="AM126" i="60"/>
  <c r="AJ70" i="47"/>
  <c r="AN99" i="60"/>
  <c r="AJ64" i="47"/>
  <c r="AN121" i="60"/>
  <c r="AI72" i="47"/>
  <c r="AM105" i="60"/>
  <c r="AI74" i="47"/>
  <c r="AM100" i="60"/>
  <c r="AJ77" i="47"/>
  <c r="AN110" i="60"/>
  <c r="AI71" i="47"/>
  <c r="AM106" i="60"/>
  <c r="AF76" i="47"/>
  <c r="AJ112" i="60"/>
  <c r="AK84" i="60"/>
  <c r="AJ92" i="60"/>
  <c r="AH81" i="47"/>
  <c r="AL114" i="60"/>
  <c r="AH80" i="47"/>
  <c r="AL115" i="60"/>
  <c r="AH82" i="47"/>
  <c r="AL111" i="60"/>
  <c r="AH65" i="47" l="1"/>
  <c r="AJ117" i="60"/>
  <c r="AG78" i="47" s="1"/>
  <c r="AM85" i="60"/>
  <c r="AL93" i="60"/>
  <c r="AL127" i="60" s="1"/>
  <c r="AG62" i="47"/>
  <c r="AL83" i="60"/>
  <c r="AK91" i="60"/>
  <c r="AK123" i="60" s="1"/>
  <c r="AH75" i="47"/>
  <c r="AM82" i="60"/>
  <c r="AL90" i="60"/>
  <c r="AL113" i="60" s="1"/>
  <c r="AF68" i="47"/>
  <c r="AI74" i="60"/>
  <c r="AI77" i="60" s="1"/>
  <c r="AK81" i="60"/>
  <c r="AJ89" i="60"/>
  <c r="AJ102" i="60" s="1"/>
  <c r="AL84" i="60"/>
  <c r="AK92" i="60"/>
  <c r="AG63" i="47"/>
  <c r="AK122" i="60"/>
  <c r="AG73" i="47"/>
  <c r="AK104" i="60"/>
  <c r="AG69" i="47"/>
  <c r="AK101" i="60"/>
  <c r="AI82" i="47"/>
  <c r="AM111" i="60"/>
  <c r="AI80" i="47"/>
  <c r="AM115" i="60"/>
  <c r="AI81" i="47"/>
  <c r="AM114" i="60"/>
  <c r="AK112" i="60"/>
  <c r="AG76" i="47"/>
  <c r="AJ71" i="47"/>
  <c r="AN106" i="60"/>
  <c r="AK77" i="47"/>
  <c r="AO110" i="60"/>
  <c r="AJ74" i="47"/>
  <c r="AN100" i="60"/>
  <c r="AJ72" i="47"/>
  <c r="AN105" i="60"/>
  <c r="AK64" i="47"/>
  <c r="AO121" i="60"/>
  <c r="AK70" i="47"/>
  <c r="AO99" i="60"/>
  <c r="AJ66" i="47"/>
  <c r="AN126" i="60"/>
  <c r="AJ79" i="47"/>
  <c r="AN116" i="60"/>
  <c r="AK117" i="60" l="1"/>
  <c r="AH78" i="47" s="1"/>
  <c r="AI65" i="47"/>
  <c r="AN85" i="60"/>
  <c r="AM93" i="60"/>
  <c r="AM127" i="60" s="1"/>
  <c r="AH62" i="47"/>
  <c r="AM83" i="60"/>
  <c r="AL91" i="60"/>
  <c r="AL123" i="60" s="1"/>
  <c r="AI75" i="47"/>
  <c r="AN82" i="60"/>
  <c r="AM90" i="60"/>
  <c r="AM113" i="60" s="1"/>
  <c r="AG68" i="47"/>
  <c r="AJ74" i="60"/>
  <c r="AJ77" i="60" s="1"/>
  <c r="AL81" i="60"/>
  <c r="AK89" i="60"/>
  <c r="AK102" i="60" s="1"/>
  <c r="AK79" i="47"/>
  <c r="AO116" i="60"/>
  <c r="AK66" i="47"/>
  <c r="AO126" i="60"/>
  <c r="AL70" i="47"/>
  <c r="AP99" i="60"/>
  <c r="AM70" i="47" s="1"/>
  <c r="AL64" i="47"/>
  <c r="AP121" i="60"/>
  <c r="AM64" i="47" s="1"/>
  <c r="AK72" i="47"/>
  <c r="AO105" i="60"/>
  <c r="AK74" i="47"/>
  <c r="AO100" i="60"/>
  <c r="AL77" i="47"/>
  <c r="AP110" i="60"/>
  <c r="AM77" i="47" s="1"/>
  <c r="AK71" i="47"/>
  <c r="AO106" i="60"/>
  <c r="AJ81" i="47"/>
  <c r="AN114" i="60"/>
  <c r="AJ80" i="47"/>
  <c r="AN115" i="60"/>
  <c r="AJ82" i="47"/>
  <c r="AN111" i="60"/>
  <c r="AH69" i="47"/>
  <c r="AL101" i="60"/>
  <c r="AH73" i="47"/>
  <c r="AL104" i="60"/>
  <c r="AH63" i="47"/>
  <c r="AL122" i="60"/>
  <c r="AH76" i="47"/>
  <c r="AL112" i="60"/>
  <c r="AM84" i="60"/>
  <c r="AL92" i="60"/>
  <c r="AL117" i="60" l="1"/>
  <c r="AI78" i="47" s="1"/>
  <c r="AI62" i="47"/>
  <c r="AJ65" i="47"/>
  <c r="AO85" i="60"/>
  <c r="AN93" i="60"/>
  <c r="AN127" i="60" s="1"/>
  <c r="AN83" i="60"/>
  <c r="AM91" i="60"/>
  <c r="AM123" i="60" s="1"/>
  <c r="AJ75" i="47"/>
  <c r="AO82" i="60"/>
  <c r="AN90" i="60"/>
  <c r="AN113" i="60" s="1"/>
  <c r="AK74" i="60"/>
  <c r="AK77" i="60" s="1"/>
  <c r="AH68" i="47"/>
  <c r="AM81" i="60"/>
  <c r="AL89" i="60"/>
  <c r="AL102" i="60" s="1"/>
  <c r="AN84" i="60"/>
  <c r="AM92" i="60"/>
  <c r="AI76" i="47"/>
  <c r="AM112" i="60"/>
  <c r="AI63" i="47"/>
  <c r="AM122" i="60"/>
  <c r="AI73" i="47"/>
  <c r="AM104" i="60"/>
  <c r="AI69" i="47"/>
  <c r="AM101" i="60"/>
  <c r="AN101" i="60" s="1"/>
  <c r="AK82" i="47"/>
  <c r="AO111" i="60"/>
  <c r="AK80" i="47"/>
  <c r="AO115" i="60"/>
  <c r="AK81" i="47"/>
  <c r="AO114" i="60"/>
  <c r="AL71" i="47"/>
  <c r="AP106" i="60"/>
  <c r="AM71" i="47" s="1"/>
  <c r="AL74" i="47"/>
  <c r="AP100" i="60"/>
  <c r="AM74" i="47" s="1"/>
  <c r="AL72" i="47"/>
  <c r="AP105" i="60"/>
  <c r="AM72" i="47" s="1"/>
  <c r="AL66" i="47"/>
  <c r="AP126" i="60"/>
  <c r="AM66" i="47" s="1"/>
  <c r="AL79" i="47"/>
  <c r="AP116" i="60"/>
  <c r="AM79" i="47" s="1"/>
  <c r="AJ62" i="47" l="1"/>
  <c r="AM117" i="60"/>
  <c r="AJ78" i="47" s="1"/>
  <c r="AK65" i="47"/>
  <c r="AP85" i="60"/>
  <c r="AO93" i="60"/>
  <c r="AO127" i="60" s="1"/>
  <c r="AK75" i="47"/>
  <c r="AO83" i="60"/>
  <c r="AN91" i="60"/>
  <c r="AN123" i="60" s="1"/>
  <c r="AP82" i="60"/>
  <c r="AP90" i="60" s="1"/>
  <c r="AP113" i="60" s="1"/>
  <c r="AM75" i="47" s="1"/>
  <c r="AO90" i="60"/>
  <c r="AO113" i="60" s="1"/>
  <c r="AL75" i="47" s="1"/>
  <c r="AL74" i="60"/>
  <c r="AL77" i="60" s="1"/>
  <c r="AI68" i="47"/>
  <c r="AN81" i="60"/>
  <c r="AN89" i="60" s="1"/>
  <c r="AM89" i="60"/>
  <c r="AM102" i="60" s="1"/>
  <c r="AL81" i="47"/>
  <c r="AP114" i="60"/>
  <c r="AM81" i="47" s="1"/>
  <c r="AL80" i="47"/>
  <c r="AP115" i="60"/>
  <c r="AM80" i="47" s="1"/>
  <c r="AL82" i="47"/>
  <c r="AP111" i="60"/>
  <c r="AM82" i="47" s="1"/>
  <c r="AJ69" i="47"/>
  <c r="AJ73" i="47"/>
  <c r="AN104" i="60"/>
  <c r="AJ63" i="47"/>
  <c r="AN122" i="60"/>
  <c r="AJ76" i="47"/>
  <c r="AN112" i="60"/>
  <c r="AO84" i="60"/>
  <c r="AN92" i="60"/>
  <c r="AL65" i="47" l="1"/>
  <c r="AN117" i="60"/>
  <c r="AK78" i="47" s="1"/>
  <c r="AP93" i="60"/>
  <c r="AP127" i="60" s="1"/>
  <c r="AK62" i="47"/>
  <c r="AP83" i="60"/>
  <c r="AO91" i="60"/>
  <c r="AO123" i="60" s="1"/>
  <c r="AM74" i="60"/>
  <c r="AM77" i="60" s="1"/>
  <c r="AJ68" i="47"/>
  <c r="AO81" i="60"/>
  <c r="AN102" i="60"/>
  <c r="AP84" i="60"/>
  <c r="AP92" i="60" s="1"/>
  <c r="AP117" i="60" s="1"/>
  <c r="AM78" i="47" s="1"/>
  <c r="AO92" i="60"/>
  <c r="AO117" i="60" s="1"/>
  <c r="AL78" i="47" s="1"/>
  <c r="AK76" i="47"/>
  <c r="AO112" i="60"/>
  <c r="AK63" i="47"/>
  <c r="AO122" i="60"/>
  <c r="AK73" i="47"/>
  <c r="AO104" i="60"/>
  <c r="AK69" i="47"/>
  <c r="AO101" i="60"/>
  <c r="AM65" i="47" l="1"/>
  <c r="AL62" i="47"/>
  <c r="AP91" i="60"/>
  <c r="AP123" i="60" s="1"/>
  <c r="AP81" i="60"/>
  <c r="AP89" i="60" s="1"/>
  <c r="AP102" i="60" s="1"/>
  <c r="AO89" i="60"/>
  <c r="AO102" i="60" s="1"/>
  <c r="AK68" i="47"/>
  <c r="AN74" i="60"/>
  <c r="AN77" i="60" s="1"/>
  <c r="AL69" i="47"/>
  <c r="AP101" i="60"/>
  <c r="AM69" i="47" s="1"/>
  <c r="AL73" i="47"/>
  <c r="AP104" i="60"/>
  <c r="AM73" i="47" s="1"/>
  <c r="AL63" i="47"/>
  <c r="AP122" i="60"/>
  <c r="AM63" i="47" s="1"/>
  <c r="AL76" i="47"/>
  <c r="AP112" i="60"/>
  <c r="AM76" i="47" s="1"/>
  <c r="AM62" i="47" l="1"/>
  <c r="AL68" i="47"/>
  <c r="AO74" i="60"/>
  <c r="AO77" i="60" s="1"/>
  <c r="AM68" i="47"/>
  <c r="AP74" i="60"/>
  <c r="AP77" i="60" s="1"/>
  <c r="O125" i="60"/>
  <c r="M125" i="60" l="1"/>
  <c r="L125" i="60"/>
  <c r="K125" i="60"/>
  <c r="N125" i="60"/>
  <c r="P125" i="60"/>
  <c r="Q125" i="60" s="1"/>
  <c r="R125" i="60" s="1"/>
  <c r="R131" i="60" l="1"/>
  <c r="S131" i="60" s="1"/>
  <c r="G63" i="58"/>
  <c r="E63" i="58" s="1"/>
  <c r="F99" i="58" s="1"/>
  <c r="G64" i="58"/>
  <c r="E64" i="58" s="1"/>
  <c r="F78" i="58" s="1"/>
  <c r="G60" i="58"/>
  <c r="E60" i="58" s="1"/>
  <c r="F74" i="58" s="1"/>
  <c r="G57" i="58"/>
  <c r="E57" i="58" s="1"/>
  <c r="F71" i="58" s="1"/>
  <c r="G58" i="58"/>
  <c r="E58" i="58" s="1"/>
  <c r="F72" i="58" s="1"/>
  <c r="G61" i="58"/>
  <c r="E61" i="58" s="1"/>
  <c r="F75" i="58" s="1"/>
  <c r="G62" i="58"/>
  <c r="E62" i="58" s="1"/>
  <c r="F98" i="58" s="1"/>
  <c r="S132" i="60" l="1"/>
  <c r="T131" i="60"/>
  <c r="U131" i="60" s="1"/>
  <c r="V131" i="60" s="1"/>
  <c r="W131" i="60" s="1"/>
  <c r="X131" i="60" s="1"/>
  <c r="Y131" i="60" s="1"/>
  <c r="Z131" i="60" s="1"/>
  <c r="AA131" i="60" s="1"/>
  <c r="AB131" i="60" s="1"/>
  <c r="AC131" i="60" s="1"/>
  <c r="AD131" i="60" s="1"/>
  <c r="AE131" i="60" s="1"/>
  <c r="AF131" i="60" s="1"/>
  <c r="AG131" i="60" s="1"/>
  <c r="AH131" i="60" s="1"/>
  <c r="AI131" i="60" s="1"/>
  <c r="AJ131" i="60" s="1"/>
  <c r="AK131" i="60" s="1"/>
  <c r="AL131" i="60" s="1"/>
  <c r="AM131" i="60" s="1"/>
  <c r="AN131" i="60" s="1"/>
  <c r="R132" i="60"/>
  <c r="R133" i="60" s="1"/>
  <c r="O98" i="58" a="1"/>
  <c r="O98" i="58" s="1"/>
  <c r="O157" i="58" s="1"/>
  <c r="O239" i="58" s="1"/>
  <c r="O254" i="58" s="1"/>
  <c r="L110" i="47" s="1"/>
  <c r="O74" i="58" a="1"/>
  <c r="O74" i="58" s="1"/>
  <c r="O166" i="58" s="1"/>
  <c r="O75" i="58" a="1"/>
  <c r="O75" i="58" s="1"/>
  <c r="O167" i="58" s="1"/>
  <c r="O72" i="58" a="1"/>
  <c r="O72" i="58" s="1"/>
  <c r="O164" i="58" s="1"/>
  <c r="O71" i="58" a="1"/>
  <c r="O71" i="58" s="1"/>
  <c r="O163" i="58" s="1"/>
  <c r="O78" i="58" a="1"/>
  <c r="O78" i="58" s="1"/>
  <c r="O170" i="58" s="1"/>
  <c r="O99" i="58" a="1"/>
  <c r="O99" i="58" s="1"/>
  <c r="O158" i="58" s="1"/>
  <c r="O240" i="58" s="1"/>
  <c r="O255" i="58" s="1"/>
  <c r="L116" i="47" s="1"/>
  <c r="F61" i="58"/>
  <c r="D61" i="58" s="1"/>
  <c r="E75" i="58" s="1"/>
  <c r="J75" i="58" s="1" a="1"/>
  <c r="J75" i="58" s="1"/>
  <c r="F63" i="58"/>
  <c r="D63" i="58" s="1"/>
  <c r="E99" i="58" s="1"/>
  <c r="F60" i="58"/>
  <c r="D60" i="58" s="1"/>
  <c r="E74" i="58" s="1"/>
  <c r="J74" i="58" s="1" a="1"/>
  <c r="J74" i="58" s="1"/>
  <c r="F64" i="58"/>
  <c r="D64" i="58" s="1"/>
  <c r="E78" i="58" s="1"/>
  <c r="J78" i="58" s="1" a="1"/>
  <c r="J78" i="58" s="1"/>
  <c r="F58" i="58"/>
  <c r="D58" i="58" s="1"/>
  <c r="E72" i="58" s="1"/>
  <c r="J72" i="58" s="1" a="1"/>
  <c r="J72" i="58" s="1"/>
  <c r="F57" i="58"/>
  <c r="D57" i="58" s="1"/>
  <c r="E71" i="58" s="1"/>
  <c r="J71" i="58" s="1" a="1"/>
  <c r="J71" i="58" s="1"/>
  <c r="F62" i="58"/>
  <c r="D62" i="58" s="1"/>
  <c r="E98" i="58" s="1"/>
  <c r="F86" i="58"/>
  <c r="G75" i="58"/>
  <c r="G74" i="58"/>
  <c r="F85" i="58"/>
  <c r="F89" i="58"/>
  <c r="G78" i="58"/>
  <c r="G98" i="58"/>
  <c r="G72" i="58"/>
  <c r="F83" i="58"/>
  <c r="G71" i="58"/>
  <c r="F82" i="58"/>
  <c r="G99" i="58"/>
  <c r="G56" i="58"/>
  <c r="E56" i="58" s="1"/>
  <c r="F70" i="58" s="1"/>
  <c r="X133" i="60" l="1"/>
  <c r="Y133" i="60"/>
  <c r="Z133" i="60" s="1"/>
  <c r="AA133" i="60" s="1"/>
  <c r="S133" i="60"/>
  <c r="S125" i="60" s="1"/>
  <c r="S124" i="60" s="1"/>
  <c r="P67" i="47" s="1"/>
  <c r="K75" i="58" a="1"/>
  <c r="K75" i="58" s="1"/>
  <c r="L75" i="58" s="1" a="1"/>
  <c r="L75" i="58" s="1"/>
  <c r="M75" i="58" s="1" a="1"/>
  <c r="M75" i="58" s="1"/>
  <c r="N75" i="58" s="1" a="1"/>
  <c r="N75" i="58" s="1"/>
  <c r="K72" i="58" a="1"/>
  <c r="K72" i="58" s="1"/>
  <c r="L72" i="58" s="1" a="1"/>
  <c r="L72" i="58" s="1"/>
  <c r="M72" i="58" s="1" a="1"/>
  <c r="M72" i="58" s="1"/>
  <c r="N72" i="58" s="1" a="1"/>
  <c r="N72" i="58" s="1"/>
  <c r="K74" i="58" a="1"/>
  <c r="K74" i="58" s="1"/>
  <c r="L74" i="58" s="1" a="1"/>
  <c r="L74" i="58" s="1"/>
  <c r="M74" i="58" s="1" a="1"/>
  <c r="M74" i="58" s="1"/>
  <c r="N74" i="58" s="1" a="1"/>
  <c r="N74" i="58" s="1"/>
  <c r="K78" i="58" a="1"/>
  <c r="K78" i="58" s="1"/>
  <c r="L78" i="58" s="1" a="1"/>
  <c r="L78" i="58" s="1"/>
  <c r="M78" i="58" s="1" a="1"/>
  <c r="M78" i="58" s="1"/>
  <c r="N78" i="58" s="1" a="1"/>
  <c r="N78" i="58" s="1"/>
  <c r="J99" i="58" a="1"/>
  <c r="J99" i="58" s="1"/>
  <c r="K99" i="58" s="1" a="1"/>
  <c r="K99" i="58" s="1"/>
  <c r="J98" i="58" a="1"/>
  <c r="J98" i="58" s="1"/>
  <c r="J157" i="58" s="1"/>
  <c r="J239" i="58" s="1"/>
  <c r="J254" i="58" s="1"/>
  <c r="G110" i="47" s="1"/>
  <c r="K71" i="58" a="1"/>
  <c r="K71" i="58" s="1"/>
  <c r="L71" i="58" s="1" a="1"/>
  <c r="L71" i="58" s="1"/>
  <c r="M71" i="58" s="1" a="1"/>
  <c r="M71" i="58" s="1"/>
  <c r="N71" i="58" s="1" a="1"/>
  <c r="N71" i="58" s="1"/>
  <c r="O89" i="58" a="1"/>
  <c r="O89" i="58" s="1"/>
  <c r="P71" i="58" a="1"/>
  <c r="P71" i="58" s="1"/>
  <c r="Q71" i="58" s="1" a="1"/>
  <c r="Q71" i="58" s="1"/>
  <c r="R71" i="58" a="1"/>
  <c r="R71" i="58" s="1"/>
  <c r="R163" i="58" s="1"/>
  <c r="P75" i="58" a="1"/>
  <c r="P75" i="58" s="1"/>
  <c r="Q75" i="58" s="1" a="1"/>
  <c r="Q75" i="58" s="1"/>
  <c r="R75" i="58" a="1"/>
  <c r="R75" i="58" s="1"/>
  <c r="R167" i="58" s="1"/>
  <c r="P99" i="58" a="1"/>
  <c r="P99" i="58" s="1"/>
  <c r="Q99" i="58" s="1" a="1"/>
  <c r="Q99" i="58" s="1"/>
  <c r="R99" i="58" a="1"/>
  <c r="R99" i="58" s="1"/>
  <c r="R158" i="58" s="1"/>
  <c r="R240" i="58" s="1"/>
  <c r="R255" i="58" s="1"/>
  <c r="O116" i="47" s="1"/>
  <c r="O82" i="58" a="1"/>
  <c r="O82" i="58" s="1"/>
  <c r="O86" i="58" a="1"/>
  <c r="O86" i="58" s="1"/>
  <c r="O85" i="58" a="1"/>
  <c r="O85" i="58" s="1"/>
  <c r="P74" i="58" a="1"/>
  <c r="P74" i="58" s="1"/>
  <c r="Q74" i="58" s="1" a="1"/>
  <c r="Q74" i="58" s="1"/>
  <c r="R74" i="58" a="1"/>
  <c r="R74" i="58" s="1"/>
  <c r="R166" i="58" s="1"/>
  <c r="O83" i="58" a="1"/>
  <c r="O83" i="58" s="1"/>
  <c r="P72" i="58" a="1"/>
  <c r="P72" i="58" s="1"/>
  <c r="Q72" i="58" s="1" a="1"/>
  <c r="Q72" i="58" s="1"/>
  <c r="R72" i="58" a="1"/>
  <c r="R72" i="58" s="1"/>
  <c r="R164" i="58" s="1"/>
  <c r="P98" i="58" a="1"/>
  <c r="P98" i="58" s="1"/>
  <c r="Q98" i="58" s="1" a="1"/>
  <c r="Q98" i="58" s="1"/>
  <c r="R98" i="58" a="1"/>
  <c r="R98" i="58" s="1"/>
  <c r="R157" i="58" s="1"/>
  <c r="R239" i="58" s="1"/>
  <c r="R254" i="58" s="1"/>
  <c r="O110" i="47" s="1"/>
  <c r="O70" i="58" a="1"/>
  <c r="O70" i="58" s="1"/>
  <c r="O162" i="58" s="1"/>
  <c r="P78" i="58" a="1"/>
  <c r="P78" i="58" s="1"/>
  <c r="Q78" i="58" s="1" a="1"/>
  <c r="Q78" i="58" s="1"/>
  <c r="R78" i="58" a="1"/>
  <c r="R78" i="58" s="1"/>
  <c r="R170" i="58" s="1"/>
  <c r="H71" i="58"/>
  <c r="H72" i="58"/>
  <c r="H78" i="58"/>
  <c r="H74" i="58"/>
  <c r="H75" i="58"/>
  <c r="H99" i="58"/>
  <c r="H98" i="58"/>
  <c r="F59" i="58"/>
  <c r="D59" i="58" s="1"/>
  <c r="E73" i="58" s="1"/>
  <c r="J73" i="58" s="1" a="1"/>
  <c r="J73" i="58" s="1"/>
  <c r="E82" i="58"/>
  <c r="E83" i="58"/>
  <c r="J83" i="58" s="1" a="1"/>
  <c r="J83" i="58" s="1"/>
  <c r="E89" i="58"/>
  <c r="J89" i="58" s="1" a="1"/>
  <c r="J89" i="58" s="1"/>
  <c r="E85" i="58"/>
  <c r="J85" i="58" s="1" a="1"/>
  <c r="J85" i="58" s="1"/>
  <c r="E86" i="58"/>
  <c r="J86" i="58" s="1" a="1"/>
  <c r="J86" i="58" s="1"/>
  <c r="F56" i="58"/>
  <c r="D56" i="58" s="1"/>
  <c r="E70" i="58" s="1"/>
  <c r="J70" i="58" s="1" a="1"/>
  <c r="J70" i="58" s="1"/>
  <c r="G70" i="58"/>
  <c r="F81" i="58"/>
  <c r="G82" i="58"/>
  <c r="F93" i="58"/>
  <c r="F100" i="58"/>
  <c r="G89" i="58"/>
  <c r="G85" i="58"/>
  <c r="F96" i="58"/>
  <c r="F97" i="58"/>
  <c r="G86" i="58"/>
  <c r="F94" i="58"/>
  <c r="G83" i="58"/>
  <c r="T132" i="60" l="1"/>
  <c r="T133" i="60"/>
  <c r="P158" i="58"/>
  <c r="P240" i="58" s="1"/>
  <c r="P255" i="58" s="1"/>
  <c r="M116" i="47" s="1"/>
  <c r="P157" i="58"/>
  <c r="P239" i="58" s="1"/>
  <c r="P254" i="58" s="1"/>
  <c r="M110" i="47" s="1"/>
  <c r="K85" i="58" a="1"/>
  <c r="K85" i="58" s="1"/>
  <c r="L85" i="58" s="1" a="1"/>
  <c r="L85" i="58" s="1"/>
  <c r="M85" i="58" s="1" a="1"/>
  <c r="M85" i="58" s="1"/>
  <c r="N85" i="58" s="1" a="1"/>
  <c r="N85" i="58" s="1"/>
  <c r="K70" i="58" a="1"/>
  <c r="K70" i="58" s="1"/>
  <c r="L70" i="58" s="1" a="1"/>
  <c r="L70" i="58" s="1"/>
  <c r="M70" i="58" s="1" a="1"/>
  <c r="M70" i="58" s="1"/>
  <c r="N70" i="58" s="1" a="1"/>
  <c r="N70" i="58" s="1"/>
  <c r="K98" i="58" a="1"/>
  <c r="K98" i="58" s="1"/>
  <c r="K86" i="58" a="1"/>
  <c r="K86" i="58" s="1"/>
  <c r="L86" i="58" s="1" a="1"/>
  <c r="L86" i="58" s="1"/>
  <c r="M86" i="58" s="1" a="1"/>
  <c r="M86" i="58" s="1"/>
  <c r="N86" i="58" s="1" a="1"/>
  <c r="N86" i="58" s="1"/>
  <c r="L99" i="58" a="1"/>
  <c r="L99" i="58" s="1"/>
  <c r="M99" i="58" s="1" a="1"/>
  <c r="M99" i="58" s="1"/>
  <c r="N99" i="58" s="1" a="1"/>
  <c r="N99" i="58" s="1"/>
  <c r="K158" i="58"/>
  <c r="K240" i="58" s="1"/>
  <c r="K255" i="58" s="1"/>
  <c r="H116" i="47" s="1"/>
  <c r="K89" i="58" a="1"/>
  <c r="K89" i="58" s="1"/>
  <c r="L89" i="58" s="1" a="1"/>
  <c r="L89" i="58" s="1"/>
  <c r="M89" i="58" s="1" a="1"/>
  <c r="M89" i="58" s="1"/>
  <c r="N89" i="58" s="1" a="1"/>
  <c r="N89" i="58" s="1"/>
  <c r="J158" i="58"/>
  <c r="J240" i="58" s="1"/>
  <c r="J255" i="58" s="1"/>
  <c r="G116" i="47" s="1"/>
  <c r="K83" i="58" a="1"/>
  <c r="K83" i="58" s="1"/>
  <c r="L83" i="58" s="1" a="1"/>
  <c r="L83" i="58" s="1"/>
  <c r="M83" i="58" s="1" a="1"/>
  <c r="M83" i="58" s="1"/>
  <c r="N83" i="58" s="1" a="1"/>
  <c r="N83" i="58" s="1"/>
  <c r="H82" i="58"/>
  <c r="AB82" i="58" s="1" a="1"/>
  <c r="AB82" i="58" s="1"/>
  <c r="J82" i="58" a="1"/>
  <c r="J82" i="58" s="1"/>
  <c r="K82" i="58" s="1" a="1"/>
  <c r="K82" i="58" s="1"/>
  <c r="L82" i="58" s="1" a="1"/>
  <c r="L82" i="58" s="1"/>
  <c r="M82" i="58" s="1" a="1"/>
  <c r="M82" i="58" s="1"/>
  <c r="N82" i="58" s="1" a="1"/>
  <c r="N82" i="58" s="1"/>
  <c r="S98" i="58" a="1"/>
  <c r="S98" i="58" s="1"/>
  <c r="T98" i="58" s="1" a="1"/>
  <c r="T98" i="58" s="1"/>
  <c r="U98" i="58" s="1" a="1"/>
  <c r="U98" i="58" s="1"/>
  <c r="V98" i="58" s="1" a="1"/>
  <c r="V98" i="58" s="1"/>
  <c r="W98" i="58" s="1" a="1"/>
  <c r="W98" i="58" s="1"/>
  <c r="X98" i="58" s="1" a="1"/>
  <c r="X98" i="58" s="1"/>
  <c r="Y98" i="58" s="1" a="1"/>
  <c r="Y98" i="58" s="1"/>
  <c r="Z98" i="58" s="1" a="1"/>
  <c r="Z98" i="58" s="1"/>
  <c r="AA98" i="58" s="1" a="1"/>
  <c r="AA98" i="58" s="1"/>
  <c r="AB98" i="58" a="1"/>
  <c r="AB98" i="58" s="1"/>
  <c r="AB157" i="58" s="1"/>
  <c r="AB239" i="58" s="1"/>
  <c r="AB254" i="58" s="1"/>
  <c r="Y110" i="47" s="1"/>
  <c r="O97" i="58" a="1"/>
  <c r="O97" i="58" s="1"/>
  <c r="O156" i="58" s="1"/>
  <c r="P85" i="58" a="1"/>
  <c r="P85" i="58" s="1"/>
  <c r="Q85" i="58" s="1" a="1"/>
  <c r="Q85" i="58" s="1"/>
  <c r="R85" i="58" a="1"/>
  <c r="R85" i="58" s="1"/>
  <c r="P89" i="58" a="1"/>
  <c r="P89" i="58" s="1"/>
  <c r="Q89" i="58" s="1" a="1"/>
  <c r="Q89" i="58" s="1"/>
  <c r="R89" i="58" a="1"/>
  <c r="R89" i="58" s="1"/>
  <c r="S78" i="58" a="1"/>
  <c r="S78" i="58" s="1"/>
  <c r="T78" i="58" s="1" a="1"/>
  <c r="T78" i="58" s="1"/>
  <c r="U78" i="58" s="1" a="1"/>
  <c r="U78" i="58" s="1"/>
  <c r="V78" i="58" s="1" a="1"/>
  <c r="V78" i="58" s="1"/>
  <c r="W78" i="58" s="1" a="1"/>
  <c r="W78" i="58" s="1"/>
  <c r="X78" i="58" s="1" a="1"/>
  <c r="X78" i="58" s="1"/>
  <c r="Y78" i="58" s="1" a="1"/>
  <c r="Y78" i="58" s="1"/>
  <c r="Z78" i="58" s="1" a="1"/>
  <c r="Z78" i="58" s="1"/>
  <c r="AA78" i="58" s="1" a="1"/>
  <c r="AA78" i="58" s="1"/>
  <c r="AB78" i="58" a="1"/>
  <c r="AB78" i="58" s="1"/>
  <c r="AB170" i="58" s="1"/>
  <c r="S72" i="58" a="1"/>
  <c r="S72" i="58" s="1"/>
  <c r="T72" i="58" s="1" a="1"/>
  <c r="T72" i="58" s="1"/>
  <c r="U72" i="58" s="1" a="1"/>
  <c r="U72" i="58" s="1"/>
  <c r="V72" i="58" s="1" a="1"/>
  <c r="V72" i="58" s="1"/>
  <c r="W72" i="58" s="1" a="1"/>
  <c r="W72" i="58" s="1"/>
  <c r="X72" i="58" s="1" a="1"/>
  <c r="X72" i="58" s="1"/>
  <c r="Y72" i="58" s="1" a="1"/>
  <c r="Y72" i="58" s="1"/>
  <c r="Z72" i="58" s="1" a="1"/>
  <c r="Z72" i="58" s="1"/>
  <c r="AA72" i="58" s="1" a="1"/>
  <c r="AA72" i="58" s="1"/>
  <c r="AB72" i="58" a="1"/>
  <c r="AB72" i="58" s="1"/>
  <c r="AB164" i="58" s="1"/>
  <c r="O81" i="58" a="1"/>
  <c r="O81" i="58" s="1"/>
  <c r="O100" i="58" a="1"/>
  <c r="O100" i="58" s="1"/>
  <c r="O159" i="58" s="1"/>
  <c r="S71" i="58" a="1"/>
  <c r="S71" i="58" s="1"/>
  <c r="T71" i="58" s="1" a="1"/>
  <c r="T71" i="58" s="1"/>
  <c r="U71" i="58" s="1" a="1"/>
  <c r="U71" i="58" s="1"/>
  <c r="V71" i="58" s="1" a="1"/>
  <c r="V71" i="58" s="1"/>
  <c r="W71" i="58" s="1" a="1"/>
  <c r="W71" i="58" s="1"/>
  <c r="X71" i="58" s="1" a="1"/>
  <c r="X71" i="58" s="1"/>
  <c r="Y71" i="58" s="1" a="1"/>
  <c r="Y71" i="58" s="1"/>
  <c r="Z71" i="58" s="1" a="1"/>
  <c r="Z71" i="58" s="1"/>
  <c r="AA71" i="58" s="1" a="1"/>
  <c r="AA71" i="58" s="1"/>
  <c r="AB71" i="58" a="1"/>
  <c r="AB71" i="58" s="1"/>
  <c r="AB163" i="58" s="1"/>
  <c r="S99" i="58" a="1"/>
  <c r="S99" i="58" s="1"/>
  <c r="T99" i="58" s="1" a="1"/>
  <c r="T99" i="58" s="1"/>
  <c r="U99" i="58" s="1" a="1"/>
  <c r="U99" i="58" s="1"/>
  <c r="V99" i="58" s="1" a="1"/>
  <c r="V99" i="58" s="1"/>
  <c r="W99" i="58" s="1" a="1"/>
  <c r="W99" i="58" s="1"/>
  <c r="X99" i="58" s="1" a="1"/>
  <c r="X99" i="58" s="1"/>
  <c r="Y99" i="58" s="1" a="1"/>
  <c r="Y99" i="58" s="1"/>
  <c r="Z99" i="58" s="1" a="1"/>
  <c r="Z99" i="58" s="1"/>
  <c r="AA99" i="58" s="1" a="1"/>
  <c r="AA99" i="58" s="1"/>
  <c r="AB99" i="58" a="1"/>
  <c r="AB99" i="58" s="1"/>
  <c r="AB158" i="58" s="1"/>
  <c r="AB240" i="58" s="1"/>
  <c r="AB255" i="58" s="1"/>
  <c r="Y116" i="47" s="1"/>
  <c r="P70" i="58" a="1"/>
  <c r="P70" i="58" s="1"/>
  <c r="Q70" i="58" s="1" a="1"/>
  <c r="Q70" i="58" s="1"/>
  <c r="R70" i="58" a="1"/>
  <c r="R70" i="58" s="1"/>
  <c r="R162" i="58" s="1"/>
  <c r="S74" i="58" a="1"/>
  <c r="S74" i="58" s="1"/>
  <c r="T74" i="58" s="1" a="1"/>
  <c r="T74" i="58" s="1"/>
  <c r="U74" i="58" s="1" a="1"/>
  <c r="U74" i="58" s="1"/>
  <c r="V74" i="58" s="1" a="1"/>
  <c r="V74" i="58" s="1"/>
  <c r="W74" i="58" s="1" a="1"/>
  <c r="W74" i="58" s="1"/>
  <c r="X74" i="58" s="1" a="1"/>
  <c r="X74" i="58" s="1"/>
  <c r="Y74" i="58" s="1" a="1"/>
  <c r="Y74" i="58" s="1"/>
  <c r="Z74" i="58" s="1" a="1"/>
  <c r="Z74" i="58" s="1"/>
  <c r="AA74" i="58" s="1" a="1"/>
  <c r="AA74" i="58" s="1"/>
  <c r="AB74" i="58" a="1"/>
  <c r="AB74" i="58" s="1"/>
  <c r="AB166" i="58" s="1"/>
  <c r="P86" i="58" a="1"/>
  <c r="P86" i="58" s="1"/>
  <c r="Q86" i="58" s="1" a="1"/>
  <c r="Q86" i="58" s="1"/>
  <c r="R86" i="58" a="1"/>
  <c r="R86" i="58" s="1"/>
  <c r="H70" i="58"/>
  <c r="P83" i="58" a="1"/>
  <c r="P83" i="58" s="1"/>
  <c r="Q83" i="58" s="1" a="1"/>
  <c r="Q83" i="58" s="1"/>
  <c r="R83" i="58" a="1"/>
  <c r="R83" i="58" s="1"/>
  <c r="O96" i="58" a="1"/>
  <c r="O96" i="58" s="1"/>
  <c r="O155" i="58" s="1"/>
  <c r="S75" i="58" a="1"/>
  <c r="S75" i="58" s="1"/>
  <c r="T75" i="58" s="1" a="1"/>
  <c r="T75" i="58" s="1"/>
  <c r="U75" i="58" s="1" a="1"/>
  <c r="U75" i="58" s="1"/>
  <c r="V75" i="58" s="1" a="1"/>
  <c r="V75" i="58" s="1"/>
  <c r="W75" i="58" s="1" a="1"/>
  <c r="W75" i="58" s="1"/>
  <c r="X75" i="58" s="1" a="1"/>
  <c r="X75" i="58" s="1"/>
  <c r="Y75" i="58" s="1" a="1"/>
  <c r="Y75" i="58" s="1"/>
  <c r="Z75" i="58" s="1" a="1"/>
  <c r="Z75" i="58" s="1"/>
  <c r="AA75" i="58" s="1" a="1"/>
  <c r="AA75" i="58" s="1"/>
  <c r="AB75" i="58" a="1"/>
  <c r="AB75" i="58" s="1"/>
  <c r="AB167" i="58" s="1"/>
  <c r="H86" i="58"/>
  <c r="O93" i="58" a="1"/>
  <c r="O93" i="58" s="1"/>
  <c r="O152" i="58" s="1"/>
  <c r="O94" i="58" a="1"/>
  <c r="O94" i="58" s="1"/>
  <c r="O153" i="58" s="1"/>
  <c r="P82" i="58" a="1"/>
  <c r="P82" i="58" s="1"/>
  <c r="Q82" i="58" s="1" a="1"/>
  <c r="Q82" i="58" s="1"/>
  <c r="R82" i="58" a="1"/>
  <c r="R82" i="58" s="1"/>
  <c r="H85" i="58"/>
  <c r="H89" i="58"/>
  <c r="H83" i="58"/>
  <c r="Q158" i="58"/>
  <c r="Q240" i="58" s="1"/>
  <c r="Q255" i="58" s="1"/>
  <c r="N116" i="47" s="1"/>
  <c r="Q157" i="58"/>
  <c r="Q239" i="58" s="1"/>
  <c r="Q254" i="58" s="1"/>
  <c r="N110" i="47" s="1"/>
  <c r="E81" i="58"/>
  <c r="J81" i="58" s="1" a="1"/>
  <c r="J81" i="58" s="1"/>
  <c r="J167" i="58"/>
  <c r="J166" i="58"/>
  <c r="J170" i="58"/>
  <c r="J164" i="58"/>
  <c r="J163" i="58"/>
  <c r="E84" i="58"/>
  <c r="J84" i="58" s="1" a="1"/>
  <c r="J84" i="58" s="1"/>
  <c r="J165" i="58"/>
  <c r="E97" i="58"/>
  <c r="E96" i="58"/>
  <c r="E100" i="58"/>
  <c r="E94" i="58"/>
  <c r="E93" i="58"/>
  <c r="I75" i="58"/>
  <c r="Q166" i="58"/>
  <c r="P166" i="58"/>
  <c r="I74" i="58"/>
  <c r="Q170" i="58"/>
  <c r="P170" i="58"/>
  <c r="I78" i="58"/>
  <c r="G94" i="58"/>
  <c r="O213" i="58"/>
  <c r="O179" i="58"/>
  <c r="O202" i="58"/>
  <c r="O191" i="58"/>
  <c r="O212" i="58"/>
  <c r="O201" i="58"/>
  <c r="O178" i="58"/>
  <c r="O190" i="58"/>
  <c r="G100" i="58"/>
  <c r="G93" i="58"/>
  <c r="O209" i="58"/>
  <c r="O198" i="58"/>
  <c r="O175" i="58"/>
  <c r="O187" i="58"/>
  <c r="Q167" i="58"/>
  <c r="P167" i="58"/>
  <c r="O210" i="58"/>
  <c r="O199" i="58"/>
  <c r="O176" i="58"/>
  <c r="O188" i="58"/>
  <c r="Q163" i="58"/>
  <c r="P163" i="58"/>
  <c r="I71" i="58"/>
  <c r="G97" i="58"/>
  <c r="G96" i="58"/>
  <c r="O216" i="58"/>
  <c r="O205" i="58"/>
  <c r="O182" i="58"/>
  <c r="O194" i="58"/>
  <c r="I98" i="58"/>
  <c r="Q164" i="58"/>
  <c r="P164" i="58"/>
  <c r="I72" i="58"/>
  <c r="I99" i="58"/>
  <c r="F92" i="58"/>
  <c r="G81" i="58"/>
  <c r="T125" i="60" l="1"/>
  <c r="T124" i="60" s="1"/>
  <c r="Q67" i="47" s="1"/>
  <c r="U133" i="60"/>
  <c r="U132" i="60"/>
  <c r="L158" i="58"/>
  <c r="L240" i="58" s="1"/>
  <c r="L255" i="58" s="1"/>
  <c r="I116" i="47" s="1"/>
  <c r="S158" i="58"/>
  <c r="S240" i="58" s="1"/>
  <c r="S255" i="58" s="1"/>
  <c r="P116" i="47" s="1"/>
  <c r="S82" i="58" a="1"/>
  <c r="S82" i="58" s="1"/>
  <c r="T82" i="58" s="1" a="1"/>
  <c r="T82" i="58" s="1"/>
  <c r="U82" i="58" s="1" a="1"/>
  <c r="U82" i="58" s="1"/>
  <c r="V82" i="58" s="1" a="1"/>
  <c r="V82" i="58" s="1"/>
  <c r="W82" i="58" s="1" a="1"/>
  <c r="W82" i="58" s="1"/>
  <c r="X82" i="58" s="1" a="1"/>
  <c r="X82" i="58" s="1"/>
  <c r="Y82" i="58" s="1" a="1"/>
  <c r="Y82" i="58" s="1"/>
  <c r="Z82" i="58" s="1" a="1"/>
  <c r="Z82" i="58" s="1"/>
  <c r="AA82" i="58" s="1" a="1"/>
  <c r="AA82" i="58" s="1"/>
  <c r="L98" i="58" a="1"/>
  <c r="L98" i="58" s="1"/>
  <c r="K157" i="58"/>
  <c r="K239" i="58" s="1"/>
  <c r="K254" i="58" s="1"/>
  <c r="H110" i="47" s="1"/>
  <c r="J93" i="58" a="1"/>
  <c r="J93" i="58" s="1"/>
  <c r="J152" i="58" s="1"/>
  <c r="J96" i="58" a="1"/>
  <c r="J96" i="58" s="1"/>
  <c r="J155" i="58" s="1"/>
  <c r="J94" i="58" a="1"/>
  <c r="J94" i="58" s="1"/>
  <c r="J153" i="58" s="1"/>
  <c r="S157" i="58"/>
  <c r="S239" i="58" s="1"/>
  <c r="S254" i="58" s="1"/>
  <c r="P110" i="47" s="1"/>
  <c r="J100" i="58" a="1"/>
  <c r="J100" i="58" s="1"/>
  <c r="J159" i="58" s="1"/>
  <c r="J97" i="58" a="1"/>
  <c r="J97" i="58" s="1"/>
  <c r="J156" i="58" s="1"/>
  <c r="K81" i="58" a="1"/>
  <c r="K81" i="58" s="1"/>
  <c r="L81" i="58" s="1" a="1"/>
  <c r="L81" i="58" s="1"/>
  <c r="M81" i="58" s="1" a="1"/>
  <c r="M81" i="58" s="1"/>
  <c r="N81" i="58" s="1" a="1"/>
  <c r="N81" i="58" s="1"/>
  <c r="S86" i="58" a="1"/>
  <c r="S86" i="58" s="1"/>
  <c r="T86" i="58" s="1" a="1"/>
  <c r="T86" i="58" s="1"/>
  <c r="U86" i="58" s="1" a="1"/>
  <c r="U86" i="58" s="1"/>
  <c r="V86" i="58" s="1" a="1"/>
  <c r="V86" i="58" s="1"/>
  <c r="W86" i="58" s="1" a="1"/>
  <c r="W86" i="58" s="1"/>
  <c r="X86" i="58" s="1" a="1"/>
  <c r="X86" i="58" s="1"/>
  <c r="Y86" i="58" s="1" a="1"/>
  <c r="Y86" i="58" s="1"/>
  <c r="Z86" i="58" s="1" a="1"/>
  <c r="Z86" i="58" s="1"/>
  <c r="AA86" i="58" s="1" a="1"/>
  <c r="AA86" i="58" s="1"/>
  <c r="AB86" i="58" a="1"/>
  <c r="AB86" i="58" s="1"/>
  <c r="AC72" i="58" a="1"/>
  <c r="AC72" i="58" s="1"/>
  <c r="AD72" i="58" s="1" a="1"/>
  <c r="AD72" i="58" s="1"/>
  <c r="AE72" i="58" s="1" a="1"/>
  <c r="AE72" i="58" s="1"/>
  <c r="AF72" i="58" s="1" a="1"/>
  <c r="AF72" i="58" s="1"/>
  <c r="AG72" i="58" s="1" a="1"/>
  <c r="AG72" i="58" s="1"/>
  <c r="AH72" i="58" s="1" a="1"/>
  <c r="AH72" i="58" s="1"/>
  <c r="AI72" i="58" s="1" a="1"/>
  <c r="AI72" i="58" s="1"/>
  <c r="AJ72" i="58" s="1" a="1"/>
  <c r="AJ72" i="58" s="1"/>
  <c r="AK72" i="58" s="1" a="1"/>
  <c r="AK72" i="58" s="1"/>
  <c r="AL72" i="58" s="1" a="1"/>
  <c r="AL72" i="58" s="1"/>
  <c r="AM72" i="58" s="1" a="1"/>
  <c r="AM72" i="58" s="1"/>
  <c r="AN72" i="58" s="1" a="1"/>
  <c r="AN72" i="58" s="1"/>
  <c r="AO72" i="58" s="1" a="1"/>
  <c r="AO72" i="58" s="1"/>
  <c r="AP72" i="58" s="1" a="1"/>
  <c r="AP72" i="58" s="1"/>
  <c r="AQ72" i="58" s="1" a="1"/>
  <c r="AQ72" i="58" s="1"/>
  <c r="AR72" i="58" s="1" a="1"/>
  <c r="AR72" i="58" s="1"/>
  <c r="AS72" i="58" s="1" a="1"/>
  <c r="AS72" i="58" s="1"/>
  <c r="AT72" i="58" s="1" a="1"/>
  <c r="AT72" i="58" s="1"/>
  <c r="AU72" i="58" s="1" a="1"/>
  <c r="AU72" i="58" s="1"/>
  <c r="AV72" i="58" a="1"/>
  <c r="AV72" i="58" s="1"/>
  <c r="AV164" i="58" s="1"/>
  <c r="AC71" i="58" a="1"/>
  <c r="AC71" i="58" s="1"/>
  <c r="AD71" i="58" s="1" a="1"/>
  <c r="AD71" i="58" s="1"/>
  <c r="AE71" i="58" s="1" a="1"/>
  <c r="AE71" i="58" s="1"/>
  <c r="AF71" i="58" s="1" a="1"/>
  <c r="AF71" i="58" s="1"/>
  <c r="AG71" i="58" s="1" a="1"/>
  <c r="AG71" i="58" s="1"/>
  <c r="AH71" i="58" s="1" a="1"/>
  <c r="AH71" i="58" s="1"/>
  <c r="AI71" i="58" s="1" a="1"/>
  <c r="AI71" i="58" s="1"/>
  <c r="AJ71" i="58" s="1" a="1"/>
  <c r="AJ71" i="58" s="1"/>
  <c r="AK71" i="58" s="1" a="1"/>
  <c r="AK71" i="58" s="1"/>
  <c r="AL71" i="58" s="1" a="1"/>
  <c r="AL71" i="58" s="1"/>
  <c r="AM71" i="58" s="1" a="1"/>
  <c r="AM71" i="58" s="1"/>
  <c r="AN71" i="58" s="1" a="1"/>
  <c r="AN71" i="58" s="1"/>
  <c r="AO71" i="58" s="1" a="1"/>
  <c r="AO71" i="58" s="1"/>
  <c r="AP71" i="58" s="1" a="1"/>
  <c r="AP71" i="58" s="1"/>
  <c r="AQ71" i="58" s="1" a="1"/>
  <c r="AQ71" i="58" s="1"/>
  <c r="AR71" i="58" s="1" a="1"/>
  <c r="AR71" i="58" s="1"/>
  <c r="AS71" i="58" s="1" a="1"/>
  <c r="AS71" i="58" s="1"/>
  <c r="AT71" i="58" s="1" a="1"/>
  <c r="AT71" i="58" s="1"/>
  <c r="AU71" i="58" s="1" a="1"/>
  <c r="AU71" i="58" s="1"/>
  <c r="AV71" i="58" a="1"/>
  <c r="AV71" i="58" s="1"/>
  <c r="AV163" i="58" s="1"/>
  <c r="AC75" i="58" a="1"/>
  <c r="AC75" i="58" s="1"/>
  <c r="AD75" i="58" s="1" a="1"/>
  <c r="AD75" i="58" s="1"/>
  <c r="AE75" i="58" s="1" a="1"/>
  <c r="AE75" i="58" s="1"/>
  <c r="AF75" i="58" s="1" a="1"/>
  <c r="AF75" i="58" s="1"/>
  <c r="AG75" i="58" s="1" a="1"/>
  <c r="AG75" i="58" s="1"/>
  <c r="AH75" i="58" s="1" a="1"/>
  <c r="AH75" i="58" s="1"/>
  <c r="AI75" i="58" s="1" a="1"/>
  <c r="AI75" i="58" s="1"/>
  <c r="AJ75" i="58" s="1" a="1"/>
  <c r="AJ75" i="58" s="1"/>
  <c r="AK75" i="58" s="1" a="1"/>
  <c r="AK75" i="58" s="1"/>
  <c r="AL75" i="58" s="1" a="1"/>
  <c r="AL75" i="58" s="1"/>
  <c r="AM75" i="58" s="1" a="1"/>
  <c r="AM75" i="58" s="1"/>
  <c r="AN75" i="58" s="1" a="1"/>
  <c r="AN75" i="58" s="1"/>
  <c r="AO75" i="58" s="1" a="1"/>
  <c r="AO75" i="58" s="1"/>
  <c r="AP75" i="58" s="1" a="1"/>
  <c r="AP75" i="58" s="1"/>
  <c r="AQ75" i="58" s="1" a="1"/>
  <c r="AQ75" i="58" s="1"/>
  <c r="AR75" i="58" s="1" a="1"/>
  <c r="AR75" i="58" s="1"/>
  <c r="AS75" i="58" s="1" a="1"/>
  <c r="AS75" i="58" s="1"/>
  <c r="AT75" i="58" s="1" a="1"/>
  <c r="AT75" i="58" s="1"/>
  <c r="AU75" i="58" s="1" a="1"/>
  <c r="AU75" i="58" s="1"/>
  <c r="AV75" i="58" a="1"/>
  <c r="AV75" i="58" s="1"/>
  <c r="AV167" i="58" s="1"/>
  <c r="AC98" i="58" a="1"/>
  <c r="AC98" i="58" s="1"/>
  <c r="AD98" i="58" s="1" a="1"/>
  <c r="AD98" i="58" s="1"/>
  <c r="AV98" i="58" a="1"/>
  <c r="AV98" i="58" s="1"/>
  <c r="AV157" i="58" s="1"/>
  <c r="AV239" i="58" s="1"/>
  <c r="AN254" i="58" s="1"/>
  <c r="P93" i="58" a="1"/>
  <c r="P93" i="58" s="1"/>
  <c r="Q93" i="58" s="1" a="1"/>
  <c r="Q93" i="58" s="1"/>
  <c r="R93" i="58" a="1"/>
  <c r="R93" i="58" s="1"/>
  <c r="R152" i="58" s="1"/>
  <c r="P94" i="58" a="1"/>
  <c r="P94" i="58" s="1"/>
  <c r="Q94" i="58" s="1" a="1"/>
  <c r="Q94" i="58" s="1"/>
  <c r="R94" i="58" a="1"/>
  <c r="R94" i="58" s="1"/>
  <c r="R153" i="58" s="1"/>
  <c r="S89" i="58" a="1"/>
  <c r="S89" i="58" s="1"/>
  <c r="T89" i="58" s="1" a="1"/>
  <c r="T89" i="58" s="1"/>
  <c r="U89" i="58" s="1" a="1"/>
  <c r="U89" i="58" s="1"/>
  <c r="V89" i="58" s="1" a="1"/>
  <c r="V89" i="58" s="1"/>
  <c r="W89" i="58" s="1" a="1"/>
  <c r="W89" i="58" s="1"/>
  <c r="X89" i="58" s="1" a="1"/>
  <c r="X89" i="58" s="1"/>
  <c r="Y89" i="58" s="1" a="1"/>
  <c r="Y89" i="58" s="1"/>
  <c r="Z89" i="58" s="1" a="1"/>
  <c r="Z89" i="58" s="1"/>
  <c r="AA89" i="58" s="1" a="1"/>
  <c r="AA89" i="58" s="1"/>
  <c r="AB89" i="58" a="1"/>
  <c r="AB89" i="58" s="1"/>
  <c r="P96" i="58" a="1"/>
  <c r="P96" i="58" s="1"/>
  <c r="P155" i="58" s="1"/>
  <c r="R96" i="58" a="1"/>
  <c r="R96" i="58" s="1"/>
  <c r="R155" i="58" s="1"/>
  <c r="S85" i="58" a="1"/>
  <c r="S85" i="58" s="1"/>
  <c r="T85" i="58" s="1" a="1"/>
  <c r="T85" i="58" s="1"/>
  <c r="U85" i="58" s="1" a="1"/>
  <c r="U85" i="58" s="1"/>
  <c r="V85" i="58" s="1" a="1"/>
  <c r="V85" i="58" s="1"/>
  <c r="W85" i="58" s="1" a="1"/>
  <c r="W85" i="58" s="1"/>
  <c r="X85" i="58" s="1" a="1"/>
  <c r="X85" i="58" s="1"/>
  <c r="Y85" i="58" s="1" a="1"/>
  <c r="Y85" i="58" s="1"/>
  <c r="Z85" i="58" s="1" a="1"/>
  <c r="Z85" i="58" s="1"/>
  <c r="AA85" i="58" s="1" a="1"/>
  <c r="AA85" i="58" s="1"/>
  <c r="AB85" i="58" a="1"/>
  <c r="AB85" i="58" s="1"/>
  <c r="P81" i="58" a="1"/>
  <c r="P81" i="58" s="1"/>
  <c r="Q81" i="58" s="1" a="1"/>
  <c r="Q81" i="58" s="1"/>
  <c r="R81" i="58" a="1"/>
  <c r="R81" i="58" s="1"/>
  <c r="P100" i="58" a="1"/>
  <c r="P100" i="58" s="1"/>
  <c r="Q100" i="58" s="1" a="1"/>
  <c r="Q100" i="58" s="1"/>
  <c r="R100" i="58" a="1"/>
  <c r="R100" i="58" s="1"/>
  <c r="R159" i="58" s="1"/>
  <c r="S70" i="58" a="1"/>
  <c r="S70" i="58" s="1"/>
  <c r="T70" i="58" s="1" a="1"/>
  <c r="T70" i="58" s="1"/>
  <c r="U70" i="58" s="1" a="1"/>
  <c r="U70" i="58" s="1"/>
  <c r="V70" i="58" s="1" a="1"/>
  <c r="V70" i="58" s="1"/>
  <c r="W70" i="58" s="1" a="1"/>
  <c r="W70" i="58" s="1"/>
  <c r="X70" i="58" s="1" a="1"/>
  <c r="X70" i="58" s="1"/>
  <c r="Y70" i="58" s="1" a="1"/>
  <c r="Y70" i="58" s="1"/>
  <c r="Z70" i="58" s="1" a="1"/>
  <c r="Z70" i="58" s="1"/>
  <c r="AA70" i="58" s="1" a="1"/>
  <c r="AA70" i="58" s="1"/>
  <c r="AB70" i="58" a="1"/>
  <c r="AB70" i="58" s="1"/>
  <c r="AB162" i="58" s="1"/>
  <c r="O92" i="58" a="1"/>
  <c r="O92" i="58" s="1"/>
  <c r="O151" i="58" s="1"/>
  <c r="AC78" i="58" a="1"/>
  <c r="AC78" i="58" s="1"/>
  <c r="AC170" i="58" s="1"/>
  <c r="AV78" i="58" a="1"/>
  <c r="AV78" i="58" s="1"/>
  <c r="AV170" i="58" s="1"/>
  <c r="AC74" i="58" a="1"/>
  <c r="AC74" i="58" s="1"/>
  <c r="AD74" i="58" s="1" a="1"/>
  <c r="AD74" i="58" s="1"/>
  <c r="AE74" i="58" s="1" a="1"/>
  <c r="AE74" i="58" s="1"/>
  <c r="AF74" i="58" s="1" a="1"/>
  <c r="AF74" i="58" s="1"/>
  <c r="AG74" i="58" s="1" a="1"/>
  <c r="AG74" i="58" s="1"/>
  <c r="AH74" i="58" s="1" a="1"/>
  <c r="AH74" i="58" s="1"/>
  <c r="AI74" i="58" s="1" a="1"/>
  <c r="AI74" i="58" s="1"/>
  <c r="AJ74" i="58" s="1" a="1"/>
  <c r="AJ74" i="58" s="1"/>
  <c r="AK74" i="58" s="1" a="1"/>
  <c r="AK74" i="58" s="1"/>
  <c r="AL74" i="58" s="1" a="1"/>
  <c r="AL74" i="58" s="1"/>
  <c r="AM74" i="58" s="1" a="1"/>
  <c r="AM74" i="58" s="1"/>
  <c r="AN74" i="58" s="1" a="1"/>
  <c r="AN74" i="58" s="1"/>
  <c r="AO74" i="58" s="1" a="1"/>
  <c r="AO74" i="58" s="1"/>
  <c r="AP74" i="58" s="1" a="1"/>
  <c r="AP74" i="58" s="1"/>
  <c r="AQ74" i="58" s="1" a="1"/>
  <c r="AQ74" i="58" s="1"/>
  <c r="AR74" i="58" s="1" a="1"/>
  <c r="AR74" i="58" s="1"/>
  <c r="AS74" i="58" s="1" a="1"/>
  <c r="AS74" i="58" s="1"/>
  <c r="AT74" i="58" s="1" a="1"/>
  <c r="AT74" i="58" s="1"/>
  <c r="AU74" i="58" s="1" a="1"/>
  <c r="AU74" i="58" s="1"/>
  <c r="AV74" i="58" a="1"/>
  <c r="AV74" i="58" s="1"/>
  <c r="AV166" i="58" s="1"/>
  <c r="P97" i="58" a="1"/>
  <c r="P97" i="58" s="1"/>
  <c r="Q97" i="58" s="1" a="1"/>
  <c r="Q97" i="58" s="1"/>
  <c r="R97" i="58" a="1"/>
  <c r="R97" i="58" s="1"/>
  <c r="R156" i="58" s="1"/>
  <c r="AC99" i="58" a="1"/>
  <c r="AC99" i="58" s="1"/>
  <c r="AC158" i="58" s="1"/>
  <c r="AC240" i="58" s="1"/>
  <c r="AC255" i="58" s="1"/>
  <c r="Z116" i="47" s="1"/>
  <c r="AV99" i="58" a="1"/>
  <c r="AV99" i="58" s="1"/>
  <c r="AV158" i="58" s="1"/>
  <c r="AV240" i="58" s="1"/>
  <c r="AN255" i="58" s="1"/>
  <c r="S83" i="58" a="1"/>
  <c r="S83" i="58" s="1"/>
  <c r="T83" i="58" s="1" a="1"/>
  <c r="T83" i="58" s="1"/>
  <c r="U83" i="58" s="1" a="1"/>
  <c r="U83" i="58" s="1"/>
  <c r="V83" i="58" s="1" a="1"/>
  <c r="V83" i="58" s="1"/>
  <c r="W83" i="58" s="1" a="1"/>
  <c r="W83" i="58" s="1"/>
  <c r="X83" i="58" s="1" a="1"/>
  <c r="X83" i="58" s="1"/>
  <c r="Y83" i="58" s="1" a="1"/>
  <c r="Y83" i="58" s="1"/>
  <c r="Z83" i="58" s="1" a="1"/>
  <c r="Z83" i="58" s="1"/>
  <c r="AA83" i="58" s="1" a="1"/>
  <c r="AA83" i="58" s="1"/>
  <c r="AB83" i="58" a="1"/>
  <c r="AB83" i="58" s="1"/>
  <c r="H81" i="58"/>
  <c r="O241" i="58"/>
  <c r="O256" i="58" s="1"/>
  <c r="L114" i="47" s="1"/>
  <c r="H94" i="58"/>
  <c r="H100" i="58"/>
  <c r="H96" i="58"/>
  <c r="H93" i="58"/>
  <c r="H97" i="58"/>
  <c r="O234" i="58"/>
  <c r="O249" i="58" s="1"/>
  <c r="L111" i="47" s="1"/>
  <c r="O235" i="58"/>
  <c r="O250" i="58" s="1"/>
  <c r="L112" i="47" s="1"/>
  <c r="J187" i="58"/>
  <c r="J198" i="58"/>
  <c r="J175" i="58"/>
  <c r="J209" i="58"/>
  <c r="J188" i="58"/>
  <c r="J199" i="58"/>
  <c r="J176" i="58"/>
  <c r="J210" i="58"/>
  <c r="J194" i="58"/>
  <c r="J205" i="58"/>
  <c r="J216" i="58"/>
  <c r="J182" i="58"/>
  <c r="J190" i="58"/>
  <c r="J201" i="58"/>
  <c r="J178" i="58"/>
  <c r="J212" i="58"/>
  <c r="J191" i="58"/>
  <c r="J202" i="58"/>
  <c r="J179" i="58"/>
  <c r="J213" i="58"/>
  <c r="K163" i="58"/>
  <c r="K164" i="58"/>
  <c r="K170" i="58"/>
  <c r="K166" i="58"/>
  <c r="K167" i="58"/>
  <c r="J162" i="58"/>
  <c r="T158" i="58"/>
  <c r="T240" i="58" s="1"/>
  <c r="T255" i="58" s="1"/>
  <c r="Q116" i="47" s="1"/>
  <c r="T157" i="58"/>
  <c r="T239" i="58" s="1"/>
  <c r="T254" i="58" s="1"/>
  <c r="Q110" i="47" s="1"/>
  <c r="O228" i="58"/>
  <c r="O266" i="58" s="1"/>
  <c r="L123" i="47" s="1"/>
  <c r="E95" i="58"/>
  <c r="E92" i="58"/>
  <c r="O222" i="58"/>
  <c r="O260" i="58" s="1"/>
  <c r="L121" i="47" s="1"/>
  <c r="O224" i="58"/>
  <c r="O262" i="58" s="1"/>
  <c r="L124" i="47" s="1"/>
  <c r="O225" i="58"/>
  <c r="O263" i="58" s="1"/>
  <c r="L126" i="47" s="1"/>
  <c r="Q162" i="58"/>
  <c r="P162" i="58"/>
  <c r="I70" i="58"/>
  <c r="O208" i="58"/>
  <c r="O197" i="58"/>
  <c r="O174" i="58"/>
  <c r="O186" i="58"/>
  <c r="R209" i="58"/>
  <c r="R187" i="58"/>
  <c r="R175" i="58"/>
  <c r="R198" i="58"/>
  <c r="P198" i="58"/>
  <c r="P175" i="58"/>
  <c r="P209" i="58"/>
  <c r="P187" i="58"/>
  <c r="S164" i="58"/>
  <c r="I85" i="58"/>
  <c r="P179" i="58"/>
  <c r="P213" i="58"/>
  <c r="P202" i="58"/>
  <c r="P191" i="58"/>
  <c r="I86" i="58"/>
  <c r="S163" i="58"/>
  <c r="O221" i="58"/>
  <c r="O259" i="58" s="1"/>
  <c r="L120" i="47" s="1"/>
  <c r="P205" i="58"/>
  <c r="P216" i="58"/>
  <c r="P182" i="58"/>
  <c r="P194" i="58"/>
  <c r="I89" i="58"/>
  <c r="O237" i="58"/>
  <c r="O252" i="58" s="1"/>
  <c r="L115" i="47" s="1"/>
  <c r="I83" i="58"/>
  <c r="G92" i="58"/>
  <c r="I82" i="58"/>
  <c r="AC164" i="58"/>
  <c r="R178" i="58"/>
  <c r="R212" i="58"/>
  <c r="R190" i="58"/>
  <c r="R201" i="58"/>
  <c r="P178" i="58"/>
  <c r="P212" i="58"/>
  <c r="P201" i="58"/>
  <c r="P190" i="58"/>
  <c r="R179" i="58"/>
  <c r="R213" i="58"/>
  <c r="R191" i="58"/>
  <c r="R202" i="58"/>
  <c r="R182" i="58"/>
  <c r="R194" i="58"/>
  <c r="R205" i="58"/>
  <c r="R216" i="58"/>
  <c r="O238" i="58"/>
  <c r="O253" i="58" s="1"/>
  <c r="L117" i="47" s="1"/>
  <c r="R199" i="58"/>
  <c r="R176" i="58"/>
  <c r="R210" i="58"/>
  <c r="R188" i="58"/>
  <c r="P199" i="58"/>
  <c r="P176" i="58"/>
  <c r="P210" i="58"/>
  <c r="P188" i="58"/>
  <c r="S170" i="58"/>
  <c r="S166" i="58"/>
  <c r="S167" i="58"/>
  <c r="U125" i="60" l="1"/>
  <c r="U124" i="60" s="1"/>
  <c r="R67" i="47" s="1"/>
  <c r="V133" i="60"/>
  <c r="V132" i="60"/>
  <c r="P156" i="58"/>
  <c r="AC167" i="58"/>
  <c r="K100" i="58" a="1"/>
  <c r="K100" i="58" s="1"/>
  <c r="L100" i="58" s="1" a="1"/>
  <c r="L100" i="58" s="1"/>
  <c r="M100" i="58" s="1" a="1"/>
  <c r="M100" i="58" s="1"/>
  <c r="N100" i="58" s="1" a="1"/>
  <c r="N100" i="58" s="1"/>
  <c r="AC163" i="58"/>
  <c r="P159" i="58"/>
  <c r="P241" i="58" s="1"/>
  <c r="P256" i="58" s="1"/>
  <c r="M114" i="47" s="1"/>
  <c r="K94" i="58" a="1"/>
  <c r="K94" i="58" s="1"/>
  <c r="L94" i="58" s="1" a="1"/>
  <c r="L94" i="58" s="1"/>
  <c r="M94" i="58" s="1" a="1"/>
  <c r="M94" i="58" s="1"/>
  <c r="N94" i="58" s="1" a="1"/>
  <c r="N94" i="58" s="1"/>
  <c r="K93" i="58" a="1"/>
  <c r="K93" i="58" s="1"/>
  <c r="AD78" i="58" a="1"/>
  <c r="AD78" i="58" s="1"/>
  <c r="AE78" i="58" s="1" a="1"/>
  <c r="AE78" i="58" s="1"/>
  <c r="AF78" i="58" s="1" a="1"/>
  <c r="AF78" i="58" s="1"/>
  <c r="AG78" i="58" s="1" a="1"/>
  <c r="AG78" i="58" s="1"/>
  <c r="AH78" i="58" s="1" a="1"/>
  <c r="AH78" i="58" s="1"/>
  <c r="AI78" i="58" s="1" a="1"/>
  <c r="AI78" i="58" s="1"/>
  <c r="AJ78" i="58" s="1" a="1"/>
  <c r="AJ78" i="58" s="1"/>
  <c r="AK78" i="58" s="1" a="1"/>
  <c r="AK78" i="58" s="1"/>
  <c r="AL78" i="58" s="1" a="1"/>
  <c r="AL78" i="58" s="1"/>
  <c r="AM78" i="58" s="1" a="1"/>
  <c r="AM78" i="58" s="1"/>
  <c r="AN78" i="58" s="1" a="1"/>
  <c r="AN78" i="58" s="1"/>
  <c r="AO78" i="58" s="1" a="1"/>
  <c r="AO78" i="58" s="1"/>
  <c r="AP78" i="58" s="1" a="1"/>
  <c r="AP78" i="58" s="1"/>
  <c r="AQ78" i="58" s="1" a="1"/>
  <c r="AQ78" i="58" s="1"/>
  <c r="AR78" i="58" s="1" a="1"/>
  <c r="AR78" i="58" s="1"/>
  <c r="AS78" i="58" s="1" a="1"/>
  <c r="AS78" i="58" s="1"/>
  <c r="AT78" i="58" s="1" a="1"/>
  <c r="AT78" i="58" s="1"/>
  <c r="AU78" i="58" s="1" a="1"/>
  <c r="AU78" i="58" s="1"/>
  <c r="K96" i="58" a="1"/>
  <c r="K96" i="58" s="1"/>
  <c r="K155" i="58" s="1"/>
  <c r="J241" i="58"/>
  <c r="J256" i="58" s="1"/>
  <c r="G114" i="47" s="1"/>
  <c r="AD99" i="58" a="1"/>
  <c r="AD99" i="58" s="1"/>
  <c r="AE99" i="58" s="1" a="1"/>
  <c r="AE99" i="58" s="1"/>
  <c r="AF99" i="58" s="1" a="1"/>
  <c r="AF99" i="58" s="1"/>
  <c r="AG99" i="58" s="1" a="1"/>
  <c r="AG99" i="58" s="1"/>
  <c r="AH99" i="58" s="1" a="1"/>
  <c r="AH99" i="58" s="1"/>
  <c r="AI99" i="58" s="1" a="1"/>
  <c r="AI99" i="58" s="1"/>
  <c r="AJ99" i="58" s="1" a="1"/>
  <c r="AJ99" i="58" s="1"/>
  <c r="AK99" i="58" s="1" a="1"/>
  <c r="AK99" i="58" s="1"/>
  <c r="AL99" i="58" s="1" a="1"/>
  <c r="AL99" i="58" s="1"/>
  <c r="AM99" i="58" s="1" a="1"/>
  <c r="AM99" i="58" s="1"/>
  <c r="AN99" i="58" s="1" a="1"/>
  <c r="AN99" i="58" s="1"/>
  <c r="AO99" i="58" s="1" a="1"/>
  <c r="AO99" i="58" s="1"/>
  <c r="AP99" i="58" s="1" a="1"/>
  <c r="AP99" i="58" s="1"/>
  <c r="AQ99" i="58" s="1" a="1"/>
  <c r="AQ99" i="58" s="1"/>
  <c r="AR99" i="58" s="1" a="1"/>
  <c r="AR99" i="58" s="1"/>
  <c r="AS99" i="58" s="1" a="1"/>
  <c r="AS99" i="58" s="1"/>
  <c r="AT99" i="58" s="1" a="1"/>
  <c r="AT99" i="58" s="1"/>
  <c r="AU99" i="58" s="1" a="1"/>
  <c r="AU99" i="58" s="1"/>
  <c r="K97" i="58" a="1"/>
  <c r="K97" i="58" s="1"/>
  <c r="L97" i="58" s="1" a="1"/>
  <c r="L97" i="58" s="1"/>
  <c r="M97" i="58" s="1" a="1"/>
  <c r="M97" i="58" s="1"/>
  <c r="N97" i="58" s="1" a="1"/>
  <c r="N97" i="58" s="1"/>
  <c r="M98" i="58" a="1"/>
  <c r="M98" i="58" s="1"/>
  <c r="N98" i="58" s="1" a="1"/>
  <c r="N98" i="58" s="1"/>
  <c r="N157" i="58" s="1"/>
  <c r="N239" i="58" s="1"/>
  <c r="N254" i="58" s="1"/>
  <c r="K110" i="47" s="1"/>
  <c r="L157" i="58"/>
  <c r="L239" i="58" s="1"/>
  <c r="L254" i="58" s="1"/>
  <c r="I110" i="47" s="1"/>
  <c r="P152" i="58"/>
  <c r="P234" i="58" s="1"/>
  <c r="P249" i="58" s="1"/>
  <c r="M111" i="47" s="1"/>
  <c r="J92" i="58" a="1"/>
  <c r="J92" i="58" s="1"/>
  <c r="K92" i="58" s="1" a="1"/>
  <c r="K92" i="58" s="1"/>
  <c r="J235" i="58"/>
  <c r="J250" i="58" s="1"/>
  <c r="G112" i="47" s="1"/>
  <c r="J95" i="58" a="1"/>
  <c r="J95" i="58" s="1"/>
  <c r="J154" i="58" s="1"/>
  <c r="J238" i="58"/>
  <c r="J253" i="58" s="1"/>
  <c r="G117" i="47" s="1"/>
  <c r="J237" i="58"/>
  <c r="J252" i="58" s="1"/>
  <c r="G115" i="47" s="1"/>
  <c r="J234" i="58"/>
  <c r="J249" i="58" s="1"/>
  <c r="G111" i="47" s="1"/>
  <c r="AC166" i="58"/>
  <c r="AE98" i="58" a="1"/>
  <c r="AE98" i="58" s="1"/>
  <c r="AF98" i="58" s="1" a="1"/>
  <c r="AF98" i="58" s="1"/>
  <c r="AG98" i="58" s="1" a="1"/>
  <c r="AG98" i="58" s="1"/>
  <c r="AH98" i="58" s="1" a="1"/>
  <c r="AH98" i="58" s="1"/>
  <c r="AI98" i="58" s="1" a="1"/>
  <c r="AI98" i="58" s="1"/>
  <c r="AJ98" i="58" s="1" a="1"/>
  <c r="AJ98" i="58" s="1"/>
  <c r="AK98" i="58" s="1" a="1"/>
  <c r="AK98" i="58" s="1"/>
  <c r="AL98" i="58" s="1" a="1"/>
  <c r="AL98" i="58" s="1"/>
  <c r="AM98" i="58" s="1" a="1"/>
  <c r="AM98" i="58" s="1"/>
  <c r="AN98" i="58" s="1" a="1"/>
  <c r="AN98" i="58" s="1"/>
  <c r="AO98" i="58" s="1" a="1"/>
  <c r="AO98" i="58" s="1"/>
  <c r="AP98" i="58" s="1" a="1"/>
  <c r="AP98" i="58" s="1"/>
  <c r="AQ98" i="58" s="1" a="1"/>
  <c r="AQ98" i="58" s="1"/>
  <c r="AR98" i="58" s="1" a="1"/>
  <c r="AR98" i="58" s="1"/>
  <c r="AS98" i="58" s="1" a="1"/>
  <c r="AS98" i="58" s="1"/>
  <c r="AT98" i="58" s="1" a="1"/>
  <c r="AT98" i="58" s="1"/>
  <c r="AU98" i="58" s="1" a="1"/>
  <c r="AU98" i="58" s="1"/>
  <c r="AD157" i="58"/>
  <c r="AD239" i="58" s="1"/>
  <c r="AD254" i="58" s="1"/>
  <c r="AA110" i="47" s="1"/>
  <c r="AC157" i="58"/>
  <c r="AC239" i="58" s="1"/>
  <c r="AC254" i="58" s="1"/>
  <c r="Z110" i="47" s="1"/>
  <c r="P153" i="58"/>
  <c r="P235" i="58" s="1"/>
  <c r="P250" i="58" s="1"/>
  <c r="M112" i="47" s="1"/>
  <c r="AC86" i="58" a="1"/>
  <c r="AC86" i="58" s="1"/>
  <c r="AD86" i="58" s="1" a="1"/>
  <c r="AD86" i="58" s="1"/>
  <c r="AE86" i="58" s="1" a="1"/>
  <c r="AE86" i="58" s="1"/>
  <c r="AF86" i="58" s="1" a="1"/>
  <c r="AF86" i="58" s="1"/>
  <c r="AG86" i="58" s="1" a="1"/>
  <c r="AG86" i="58" s="1"/>
  <c r="AH86" i="58" s="1" a="1"/>
  <c r="AH86" i="58" s="1"/>
  <c r="AI86" i="58" s="1" a="1"/>
  <c r="AI86" i="58" s="1"/>
  <c r="AJ86" i="58" s="1" a="1"/>
  <c r="AJ86" i="58" s="1"/>
  <c r="AK86" i="58" s="1" a="1"/>
  <c r="AK86" i="58" s="1"/>
  <c r="AL86" i="58" s="1" a="1"/>
  <c r="AL86" i="58" s="1"/>
  <c r="AM86" i="58" s="1" a="1"/>
  <c r="AM86" i="58" s="1"/>
  <c r="AN86" i="58" s="1" a="1"/>
  <c r="AN86" i="58" s="1"/>
  <c r="AO86" i="58" s="1" a="1"/>
  <c r="AO86" i="58" s="1"/>
  <c r="AP86" i="58" s="1" a="1"/>
  <c r="AP86" i="58" s="1"/>
  <c r="AQ86" i="58" s="1" a="1"/>
  <c r="AQ86" i="58" s="1"/>
  <c r="AR86" i="58" s="1" a="1"/>
  <c r="AR86" i="58" s="1"/>
  <c r="AS86" i="58" s="1" a="1"/>
  <c r="AS86" i="58" s="1"/>
  <c r="AT86" i="58" s="1" a="1"/>
  <c r="AT86" i="58" s="1"/>
  <c r="AU86" i="58" s="1" a="1"/>
  <c r="AU86" i="58" s="1"/>
  <c r="AV86" i="58" a="1"/>
  <c r="AV86" i="58" s="1"/>
  <c r="AC70" i="58" a="1"/>
  <c r="AC70" i="58" s="1"/>
  <c r="AD70" i="58" s="1" a="1"/>
  <c r="AD70" i="58" s="1"/>
  <c r="AV70" i="58" a="1"/>
  <c r="AV70" i="58" s="1"/>
  <c r="AV162" i="58" s="1"/>
  <c r="Q96" i="58" a="1"/>
  <c r="Q96" i="58" s="1"/>
  <c r="Q155" i="58" s="1"/>
  <c r="S97" i="58" a="1"/>
  <c r="S97" i="58" s="1"/>
  <c r="T97" i="58" s="1" a="1"/>
  <c r="T97" i="58" s="1"/>
  <c r="U97" i="58" s="1" a="1"/>
  <c r="U97" i="58" s="1"/>
  <c r="V97" i="58" s="1" a="1"/>
  <c r="V97" i="58" s="1"/>
  <c r="W97" i="58" s="1" a="1"/>
  <c r="W97" i="58" s="1"/>
  <c r="X97" i="58" s="1" a="1"/>
  <c r="X97" i="58" s="1"/>
  <c r="Y97" i="58" s="1" a="1"/>
  <c r="Y97" i="58" s="1"/>
  <c r="Z97" i="58" s="1" a="1"/>
  <c r="Z97" i="58" s="1"/>
  <c r="AA97" i="58" s="1" a="1"/>
  <c r="AA97" i="58" s="1"/>
  <c r="AB97" i="58" a="1"/>
  <c r="AB97" i="58" s="1"/>
  <c r="AB156" i="58" s="1"/>
  <c r="S93" i="58" a="1"/>
  <c r="S93" i="58" s="1"/>
  <c r="T93" i="58" s="1" a="1"/>
  <c r="T93" i="58" s="1"/>
  <c r="U93" i="58" s="1" a="1"/>
  <c r="U93" i="58" s="1"/>
  <c r="V93" i="58" s="1" a="1"/>
  <c r="V93" i="58" s="1"/>
  <c r="W93" i="58" s="1" a="1"/>
  <c r="W93" i="58" s="1"/>
  <c r="X93" i="58" s="1" a="1"/>
  <c r="X93" i="58" s="1"/>
  <c r="Y93" i="58" s="1" a="1"/>
  <c r="Y93" i="58" s="1"/>
  <c r="Z93" i="58" s="1" a="1"/>
  <c r="Z93" i="58" s="1"/>
  <c r="AA93" i="58" s="1" a="1"/>
  <c r="AA93" i="58" s="1"/>
  <c r="AB93" i="58" a="1"/>
  <c r="AB93" i="58" s="1"/>
  <c r="AB152" i="58" s="1"/>
  <c r="S81" i="58" a="1"/>
  <c r="S81" i="58" s="1"/>
  <c r="T81" i="58" s="1" a="1"/>
  <c r="T81" i="58" s="1"/>
  <c r="U81" i="58" s="1" a="1"/>
  <c r="U81" i="58" s="1"/>
  <c r="V81" i="58" s="1" a="1"/>
  <c r="V81" i="58" s="1"/>
  <c r="W81" i="58" s="1" a="1"/>
  <c r="W81" i="58" s="1"/>
  <c r="X81" i="58" s="1" a="1"/>
  <c r="X81" i="58" s="1"/>
  <c r="Y81" i="58" s="1" a="1"/>
  <c r="Y81" i="58" s="1"/>
  <c r="Z81" i="58" s="1" a="1"/>
  <c r="Z81" i="58" s="1"/>
  <c r="AA81" i="58" s="1" a="1"/>
  <c r="AA81" i="58" s="1"/>
  <c r="AB81" i="58" a="1"/>
  <c r="AB81" i="58" s="1"/>
  <c r="P92" i="58" a="1"/>
  <c r="P92" i="58" s="1"/>
  <c r="P151" i="58" s="1"/>
  <c r="R92" i="58" a="1"/>
  <c r="R92" i="58" s="1"/>
  <c r="R151" i="58" s="1"/>
  <c r="AC85" i="58" a="1"/>
  <c r="AC85" i="58" s="1"/>
  <c r="AD85" i="58" s="1" a="1"/>
  <c r="AD85" i="58" s="1"/>
  <c r="AE85" i="58" s="1" a="1"/>
  <c r="AE85" i="58" s="1"/>
  <c r="AF85" i="58" s="1" a="1"/>
  <c r="AF85" i="58" s="1"/>
  <c r="AG85" i="58" s="1" a="1"/>
  <c r="AG85" i="58" s="1"/>
  <c r="AH85" i="58" s="1" a="1"/>
  <c r="AH85" i="58" s="1"/>
  <c r="AI85" i="58" s="1" a="1"/>
  <c r="AI85" i="58" s="1"/>
  <c r="AJ85" i="58" s="1" a="1"/>
  <c r="AJ85" i="58" s="1"/>
  <c r="AK85" i="58" s="1" a="1"/>
  <c r="AK85" i="58" s="1"/>
  <c r="AL85" i="58" s="1" a="1"/>
  <c r="AL85" i="58" s="1"/>
  <c r="AM85" i="58" s="1" a="1"/>
  <c r="AM85" i="58" s="1"/>
  <c r="AN85" i="58" s="1" a="1"/>
  <c r="AN85" i="58" s="1"/>
  <c r="AO85" i="58" s="1" a="1"/>
  <c r="AO85" i="58" s="1"/>
  <c r="AP85" i="58" s="1" a="1"/>
  <c r="AP85" i="58" s="1"/>
  <c r="AQ85" i="58" s="1" a="1"/>
  <c r="AQ85" i="58" s="1"/>
  <c r="AR85" i="58" s="1" a="1"/>
  <c r="AR85" i="58" s="1"/>
  <c r="AS85" i="58" s="1" a="1"/>
  <c r="AS85" i="58" s="1"/>
  <c r="AT85" i="58" s="1" a="1"/>
  <c r="AT85" i="58" s="1"/>
  <c r="AU85" i="58" s="1" a="1"/>
  <c r="AU85" i="58" s="1"/>
  <c r="AV85" i="58" a="1"/>
  <c r="AV85" i="58" s="1"/>
  <c r="S96" i="58" a="1"/>
  <c r="S96" i="58" s="1"/>
  <c r="T96" i="58" s="1" a="1"/>
  <c r="T96" i="58" s="1"/>
  <c r="U96" i="58" s="1" a="1"/>
  <c r="U96" i="58" s="1"/>
  <c r="V96" i="58" s="1" a="1"/>
  <c r="V96" i="58" s="1"/>
  <c r="W96" i="58" s="1" a="1"/>
  <c r="W96" i="58" s="1"/>
  <c r="X96" i="58" s="1" a="1"/>
  <c r="X96" i="58" s="1"/>
  <c r="Y96" i="58" s="1" a="1"/>
  <c r="Y96" i="58" s="1"/>
  <c r="Z96" i="58" s="1" a="1"/>
  <c r="Z96" i="58" s="1"/>
  <c r="AA96" i="58" s="1" a="1"/>
  <c r="AA96" i="58" s="1"/>
  <c r="AB96" i="58" a="1"/>
  <c r="AB96" i="58" s="1"/>
  <c r="AB155" i="58" s="1"/>
  <c r="AC89" i="58" a="1"/>
  <c r="AC89" i="58" s="1"/>
  <c r="AD89" i="58" s="1" a="1"/>
  <c r="AD89" i="58" s="1"/>
  <c r="AE89" i="58" s="1" a="1"/>
  <c r="AE89" i="58" s="1"/>
  <c r="AF89" i="58" s="1" a="1"/>
  <c r="AF89" i="58" s="1"/>
  <c r="AG89" i="58" s="1" a="1"/>
  <c r="AG89" i="58" s="1"/>
  <c r="AH89" i="58" s="1" a="1"/>
  <c r="AH89" i="58" s="1"/>
  <c r="AI89" i="58" s="1" a="1"/>
  <c r="AI89" i="58" s="1"/>
  <c r="AJ89" i="58" s="1" a="1"/>
  <c r="AJ89" i="58" s="1"/>
  <c r="AK89" i="58" s="1" a="1"/>
  <c r="AK89" i="58" s="1"/>
  <c r="AL89" i="58" s="1" a="1"/>
  <c r="AL89" i="58" s="1"/>
  <c r="AM89" i="58" s="1" a="1"/>
  <c r="AM89" i="58" s="1"/>
  <c r="AN89" i="58" s="1" a="1"/>
  <c r="AN89" i="58" s="1"/>
  <c r="AO89" i="58" s="1" a="1"/>
  <c r="AO89" i="58" s="1"/>
  <c r="AP89" i="58" s="1" a="1"/>
  <c r="AP89" i="58" s="1"/>
  <c r="AQ89" i="58" s="1" a="1"/>
  <c r="AQ89" i="58" s="1"/>
  <c r="AR89" i="58" s="1" a="1"/>
  <c r="AR89" i="58" s="1"/>
  <c r="AS89" i="58" s="1" a="1"/>
  <c r="AS89" i="58" s="1"/>
  <c r="AT89" i="58" s="1" a="1"/>
  <c r="AT89" i="58" s="1"/>
  <c r="AU89" i="58" s="1" a="1"/>
  <c r="AU89" i="58" s="1"/>
  <c r="AV89" i="58" a="1"/>
  <c r="AV89" i="58" s="1"/>
  <c r="R235" i="58"/>
  <c r="R250" i="58" s="1"/>
  <c r="O112" i="47" s="1"/>
  <c r="S100" i="58" a="1"/>
  <c r="S100" i="58" s="1"/>
  <c r="T100" i="58" s="1" a="1"/>
  <c r="T100" i="58" s="1"/>
  <c r="U100" i="58" s="1" a="1"/>
  <c r="U100" i="58" s="1"/>
  <c r="V100" i="58" s="1" a="1"/>
  <c r="V100" i="58" s="1"/>
  <c r="W100" i="58" s="1" a="1"/>
  <c r="W100" i="58" s="1"/>
  <c r="X100" i="58" s="1" a="1"/>
  <c r="X100" i="58" s="1"/>
  <c r="Y100" i="58" s="1" a="1"/>
  <c r="Y100" i="58" s="1"/>
  <c r="Z100" i="58" s="1" a="1"/>
  <c r="Z100" i="58" s="1"/>
  <c r="AA100" i="58" s="1" a="1"/>
  <c r="AA100" i="58" s="1"/>
  <c r="AB100" i="58" a="1"/>
  <c r="AB100" i="58" s="1"/>
  <c r="AB159" i="58" s="1"/>
  <c r="AC82" i="58" a="1"/>
  <c r="AC82" i="58" s="1"/>
  <c r="AD82" i="58" s="1" a="1"/>
  <c r="AD82" i="58" s="1"/>
  <c r="AE82" i="58" s="1" a="1"/>
  <c r="AE82" i="58" s="1"/>
  <c r="AF82" i="58" s="1" a="1"/>
  <c r="AF82" i="58" s="1"/>
  <c r="AG82" i="58" s="1" a="1"/>
  <c r="AG82" i="58" s="1"/>
  <c r="AH82" i="58" s="1" a="1"/>
  <c r="AH82" i="58" s="1"/>
  <c r="AI82" i="58" s="1" a="1"/>
  <c r="AI82" i="58" s="1"/>
  <c r="AJ82" i="58" s="1" a="1"/>
  <c r="AJ82" i="58" s="1"/>
  <c r="AK82" i="58" s="1" a="1"/>
  <c r="AK82" i="58" s="1"/>
  <c r="AL82" i="58" s="1" a="1"/>
  <c r="AL82" i="58" s="1"/>
  <c r="AM82" i="58" s="1" a="1"/>
  <c r="AM82" i="58" s="1"/>
  <c r="AN82" i="58" s="1" a="1"/>
  <c r="AN82" i="58" s="1"/>
  <c r="AO82" i="58" s="1" a="1"/>
  <c r="AO82" i="58" s="1"/>
  <c r="AP82" i="58" s="1" a="1"/>
  <c r="AP82" i="58" s="1"/>
  <c r="AQ82" i="58" s="1" a="1"/>
  <c r="AQ82" i="58" s="1"/>
  <c r="AR82" i="58" s="1" a="1"/>
  <c r="AR82" i="58" s="1"/>
  <c r="AS82" i="58" s="1" a="1"/>
  <c r="AS82" i="58" s="1"/>
  <c r="AT82" i="58" s="1" a="1"/>
  <c r="AT82" i="58" s="1"/>
  <c r="AU82" i="58" s="1" a="1"/>
  <c r="AU82" i="58" s="1"/>
  <c r="AV82" i="58" a="1"/>
  <c r="AV82" i="58" s="1"/>
  <c r="AC83" i="58" a="1"/>
  <c r="AC83" i="58" s="1"/>
  <c r="AD83" i="58" s="1" a="1"/>
  <c r="AD83" i="58" s="1"/>
  <c r="AE83" i="58" s="1" a="1"/>
  <c r="AE83" i="58" s="1"/>
  <c r="AF83" i="58" s="1" a="1"/>
  <c r="AF83" i="58" s="1"/>
  <c r="AG83" i="58" s="1" a="1"/>
  <c r="AG83" i="58" s="1"/>
  <c r="AH83" i="58" s="1" a="1"/>
  <c r="AH83" i="58" s="1"/>
  <c r="AI83" i="58" s="1" a="1"/>
  <c r="AI83" i="58" s="1"/>
  <c r="AJ83" i="58" s="1" a="1"/>
  <c r="AJ83" i="58" s="1"/>
  <c r="AK83" i="58" s="1" a="1"/>
  <c r="AK83" i="58" s="1"/>
  <c r="AL83" i="58" s="1" a="1"/>
  <c r="AL83" i="58" s="1"/>
  <c r="AM83" i="58" s="1" a="1"/>
  <c r="AM83" i="58" s="1"/>
  <c r="AN83" i="58" s="1" a="1"/>
  <c r="AN83" i="58" s="1"/>
  <c r="AO83" i="58" s="1" a="1"/>
  <c r="AO83" i="58" s="1"/>
  <c r="AP83" i="58" s="1" a="1"/>
  <c r="AP83" i="58" s="1"/>
  <c r="AQ83" i="58" s="1" a="1"/>
  <c r="AQ83" i="58" s="1"/>
  <c r="AR83" i="58" s="1" a="1"/>
  <c r="AR83" i="58" s="1"/>
  <c r="AS83" i="58" s="1" a="1"/>
  <c r="AS83" i="58" s="1"/>
  <c r="AT83" i="58" s="1" a="1"/>
  <c r="AT83" i="58" s="1"/>
  <c r="AU83" i="58" s="1" a="1"/>
  <c r="AU83" i="58" s="1"/>
  <c r="AV83" i="58" a="1"/>
  <c r="AV83" i="58" s="1"/>
  <c r="S94" i="58" a="1"/>
  <c r="S94" i="58" s="1"/>
  <c r="T94" i="58" s="1" a="1"/>
  <c r="T94" i="58" s="1"/>
  <c r="U94" i="58" s="1" a="1"/>
  <c r="U94" i="58" s="1"/>
  <c r="V94" i="58" s="1" a="1"/>
  <c r="V94" i="58" s="1"/>
  <c r="W94" i="58" s="1" a="1"/>
  <c r="W94" i="58" s="1"/>
  <c r="X94" i="58" s="1" a="1"/>
  <c r="X94" i="58" s="1"/>
  <c r="Y94" i="58" s="1" a="1"/>
  <c r="Y94" i="58" s="1"/>
  <c r="Z94" i="58" s="1" a="1"/>
  <c r="Z94" i="58" s="1"/>
  <c r="AA94" i="58" s="1" a="1"/>
  <c r="AA94" i="58" s="1"/>
  <c r="AB94" i="58" a="1"/>
  <c r="AB94" i="58" s="1"/>
  <c r="AB153" i="58" s="1"/>
  <c r="R241" i="58"/>
  <c r="R256" i="58" s="1"/>
  <c r="O114" i="47" s="1"/>
  <c r="R237" i="58"/>
  <c r="R252" i="58" s="1"/>
  <c r="O115" i="47" s="1"/>
  <c r="N158" i="58"/>
  <c r="N240" i="58" s="1"/>
  <c r="N255" i="58" s="1"/>
  <c r="K116" i="47" s="1"/>
  <c r="M158" i="58"/>
  <c r="M240" i="58" s="1"/>
  <c r="M255" i="58" s="1"/>
  <c r="J116" i="47" s="1"/>
  <c r="U157" i="58"/>
  <c r="U239" i="58" s="1"/>
  <c r="U254" i="58" s="1"/>
  <c r="R110" i="47" s="1"/>
  <c r="H92" i="58"/>
  <c r="Q153" i="58"/>
  <c r="Q156" i="58"/>
  <c r="O220" i="58"/>
  <c r="O258" i="58" s="1"/>
  <c r="L118" i="47" s="1"/>
  <c r="J225" i="58"/>
  <c r="J263" i="58" s="1"/>
  <c r="G126" i="47" s="1"/>
  <c r="J221" i="58"/>
  <c r="J259" i="58" s="1"/>
  <c r="G120" i="47" s="1"/>
  <c r="P222" i="58"/>
  <c r="P260" i="58" s="1"/>
  <c r="M121" i="47" s="1"/>
  <c r="K201" i="58"/>
  <c r="K212" i="58"/>
  <c r="K178" i="58"/>
  <c r="K190" i="58"/>
  <c r="K188" i="58"/>
  <c r="K210" i="58"/>
  <c r="K199" i="58"/>
  <c r="K176" i="58"/>
  <c r="P237" i="58"/>
  <c r="P252" i="58" s="1"/>
  <c r="M115" i="47" s="1"/>
  <c r="P225" i="58"/>
  <c r="P263" i="58" s="1"/>
  <c r="M126" i="47" s="1"/>
  <c r="J186" i="58"/>
  <c r="J197" i="58"/>
  <c r="J174" i="58"/>
  <c r="J208" i="58"/>
  <c r="J189" i="58"/>
  <c r="J211" i="58"/>
  <c r="J200" i="58"/>
  <c r="J177" i="58"/>
  <c r="K162" i="58"/>
  <c r="L167" i="58"/>
  <c r="L166" i="58"/>
  <c r="L170" i="58"/>
  <c r="L164" i="58"/>
  <c r="L163" i="58"/>
  <c r="K213" i="58"/>
  <c r="K179" i="58"/>
  <c r="K191" i="58"/>
  <c r="K202" i="58"/>
  <c r="J224" i="58"/>
  <c r="J262" i="58" s="1"/>
  <c r="G124" i="47" s="1"/>
  <c r="K216" i="58"/>
  <c r="K182" i="58"/>
  <c r="K194" i="58"/>
  <c r="K205" i="58"/>
  <c r="J228" i="58"/>
  <c r="J266" i="58" s="1"/>
  <c r="G123" i="47" s="1"/>
  <c r="J222" i="58"/>
  <c r="J260" i="58" s="1"/>
  <c r="G121" i="47" s="1"/>
  <c r="K187" i="58"/>
  <c r="K175" i="58"/>
  <c r="K198" i="58"/>
  <c r="K209" i="58"/>
  <c r="U158" i="58"/>
  <c r="U240" i="58" s="1"/>
  <c r="U255" i="58" s="1"/>
  <c r="R116" i="47" s="1"/>
  <c r="AD166" i="58"/>
  <c r="P228" i="58"/>
  <c r="P266" i="58" s="1"/>
  <c r="M123" i="47" s="1"/>
  <c r="T170" i="58"/>
  <c r="R222" i="58"/>
  <c r="R260" i="58" s="1"/>
  <c r="O121" i="47" s="1"/>
  <c r="R228" i="58"/>
  <c r="R266" i="58" s="1"/>
  <c r="O123" i="47" s="1"/>
  <c r="Q159" i="58"/>
  <c r="Q152" i="58"/>
  <c r="I93" i="58"/>
  <c r="R225" i="58"/>
  <c r="R263" i="58" s="1"/>
  <c r="O126" i="47" s="1"/>
  <c r="R238" i="58"/>
  <c r="R253" i="58" s="1"/>
  <c r="O117" i="47" s="1"/>
  <c r="I97" i="58"/>
  <c r="P224" i="58"/>
  <c r="P262" i="58" s="1"/>
  <c r="M124" i="47" s="1"/>
  <c r="Q201" i="58"/>
  <c r="Q190" i="58"/>
  <c r="Q212" i="58"/>
  <c r="Q178" i="58"/>
  <c r="R224" i="58"/>
  <c r="R262" i="58" s="1"/>
  <c r="O124" i="47" s="1"/>
  <c r="S209" i="58"/>
  <c r="S175" i="58"/>
  <c r="S187" i="58"/>
  <c r="S198" i="58"/>
  <c r="I81" i="58"/>
  <c r="S210" i="58"/>
  <c r="S188" i="58"/>
  <c r="S199" i="58"/>
  <c r="S176" i="58"/>
  <c r="I94" i="58"/>
  <c r="S216" i="58"/>
  <c r="S182" i="58"/>
  <c r="S194" i="58"/>
  <c r="S205" i="58"/>
  <c r="S179" i="58"/>
  <c r="S202" i="58"/>
  <c r="S213" i="58"/>
  <c r="S191" i="58"/>
  <c r="P238" i="58"/>
  <c r="P253" i="58" s="1"/>
  <c r="M117" i="47" s="1"/>
  <c r="T164" i="58"/>
  <c r="P221" i="58"/>
  <c r="P259" i="58" s="1"/>
  <c r="M120" i="47" s="1"/>
  <c r="Q187" i="58"/>
  <c r="Q198" i="58"/>
  <c r="Q209" i="58"/>
  <c r="Q175" i="58"/>
  <c r="R234" i="58"/>
  <c r="R249" i="58" s="1"/>
  <c r="O111" i="47" s="1"/>
  <c r="O233" i="58"/>
  <c r="O248" i="58" s="1"/>
  <c r="L109" i="47" s="1"/>
  <c r="S162" i="58"/>
  <c r="T167" i="58"/>
  <c r="T166" i="58"/>
  <c r="Q199" i="58"/>
  <c r="Q188" i="58"/>
  <c r="Q210" i="58"/>
  <c r="Q176" i="58"/>
  <c r="I100" i="58"/>
  <c r="AK110" i="47"/>
  <c r="AO254" i="58"/>
  <c r="AB187" i="58"/>
  <c r="AB209" i="58"/>
  <c r="AB175" i="58"/>
  <c r="AB198" i="58"/>
  <c r="R208" i="58"/>
  <c r="R197" i="58"/>
  <c r="R174" i="58"/>
  <c r="R186" i="58"/>
  <c r="P174" i="58"/>
  <c r="P197" i="58"/>
  <c r="P208" i="58"/>
  <c r="P186" i="58"/>
  <c r="AD167" i="58"/>
  <c r="AB199" i="58"/>
  <c r="AB176" i="58"/>
  <c r="AB188" i="58"/>
  <c r="AB210" i="58"/>
  <c r="AB194" i="58"/>
  <c r="AB216" i="58"/>
  <c r="AB205" i="58"/>
  <c r="AB182" i="58"/>
  <c r="Q194" i="58"/>
  <c r="Q216" i="58"/>
  <c r="Q205" i="58"/>
  <c r="Q182" i="58"/>
  <c r="AD163" i="58"/>
  <c r="T163" i="58"/>
  <c r="AB202" i="58"/>
  <c r="AB191" i="58"/>
  <c r="AB213" i="58"/>
  <c r="AB179" i="58"/>
  <c r="Q202" i="58"/>
  <c r="Q213" i="58"/>
  <c r="Q191" i="58"/>
  <c r="Q179" i="58"/>
  <c r="I96" i="58"/>
  <c r="AB212" i="58"/>
  <c r="AB201" i="58"/>
  <c r="AB190" i="58"/>
  <c r="AB178" i="58"/>
  <c r="S212" i="58"/>
  <c r="S190" i="58"/>
  <c r="S178" i="58"/>
  <c r="S201" i="58"/>
  <c r="R221" i="58"/>
  <c r="R259" i="58" s="1"/>
  <c r="O120" i="47" s="1"/>
  <c r="AO255" i="58"/>
  <c r="AK116" i="47"/>
  <c r="V125" i="60" l="1"/>
  <c r="V124" i="60" s="1"/>
  <c r="S67" i="47" s="1"/>
  <c r="W132" i="60"/>
  <c r="L159" i="58"/>
  <c r="K159" i="58"/>
  <c r="K241" i="58" s="1"/>
  <c r="K256" i="58" s="1"/>
  <c r="H114" i="47" s="1"/>
  <c r="L153" i="58"/>
  <c r="M153" i="58"/>
  <c r="K237" i="58"/>
  <c r="K252" i="58" s="1"/>
  <c r="H115" i="47" s="1"/>
  <c r="AE157" i="58"/>
  <c r="AE239" i="58" s="1"/>
  <c r="AE254" i="58" s="1"/>
  <c r="AB110" i="47" s="1"/>
  <c r="AD158" i="58"/>
  <c r="AD240" i="58" s="1"/>
  <c r="AD255" i="58" s="1"/>
  <c r="AA116" i="47" s="1"/>
  <c r="S155" i="58"/>
  <c r="S237" i="58" s="1"/>
  <c r="S252" i="58" s="1"/>
  <c r="P115" i="47" s="1"/>
  <c r="K156" i="58"/>
  <c r="K238" i="58" s="1"/>
  <c r="K253" i="58" s="1"/>
  <c r="H117" i="47" s="1"/>
  <c r="M157" i="58"/>
  <c r="M239" i="58" s="1"/>
  <c r="M254" i="58" s="1"/>
  <c r="J110" i="47" s="1"/>
  <c r="K153" i="58"/>
  <c r="K235" i="58" s="1"/>
  <c r="K250" i="58" s="1"/>
  <c r="H112" i="47" s="1"/>
  <c r="L93" i="58" a="1"/>
  <c r="L93" i="58" s="1"/>
  <c r="K152" i="58"/>
  <c r="K234" i="58" s="1"/>
  <c r="K249" i="58" s="1"/>
  <c r="H111" i="47" s="1"/>
  <c r="S153" i="58"/>
  <c r="S235" i="58" s="1"/>
  <c r="S250" i="58" s="1"/>
  <c r="P112" i="47" s="1"/>
  <c r="S159" i="58"/>
  <c r="S241" i="58" s="1"/>
  <c r="S256" i="58" s="1"/>
  <c r="P114" i="47" s="1"/>
  <c r="L96" i="58" a="1"/>
  <c r="L96" i="58" s="1"/>
  <c r="S156" i="58"/>
  <c r="S238" i="58" s="1"/>
  <c r="S253" i="58" s="1"/>
  <c r="P117" i="47" s="1"/>
  <c r="S152" i="58"/>
  <c r="S234" i="58" s="1"/>
  <c r="S249" i="58" s="1"/>
  <c r="P111" i="47" s="1"/>
  <c r="K151" i="58"/>
  <c r="L92" i="58" a="1"/>
  <c r="L92" i="58" s="1"/>
  <c r="Q92" i="58" a="1"/>
  <c r="Q92" i="58" s="1"/>
  <c r="Q151" i="58" s="1"/>
  <c r="J236" i="58"/>
  <c r="J251" i="58" s="1"/>
  <c r="G113" i="47" s="1"/>
  <c r="J151" i="58"/>
  <c r="J233" i="58" s="1"/>
  <c r="J248" i="58" s="1"/>
  <c r="G109" i="47" s="1"/>
  <c r="AC162" i="58"/>
  <c r="AE70" i="58" a="1"/>
  <c r="AE70" i="58" s="1"/>
  <c r="AF70" i="58" s="1" a="1"/>
  <c r="AF70" i="58" s="1"/>
  <c r="AG70" i="58" s="1" a="1"/>
  <c r="AG70" i="58" s="1"/>
  <c r="AH70" i="58" s="1" a="1"/>
  <c r="AH70" i="58" s="1"/>
  <c r="AI70" i="58" s="1" a="1"/>
  <c r="AI70" i="58" s="1"/>
  <c r="AJ70" i="58" s="1" a="1"/>
  <c r="AJ70" i="58" s="1"/>
  <c r="AK70" i="58" s="1" a="1"/>
  <c r="AK70" i="58" s="1"/>
  <c r="AL70" i="58" s="1" a="1"/>
  <c r="AL70" i="58" s="1"/>
  <c r="AM70" i="58" s="1" a="1"/>
  <c r="AM70" i="58" s="1"/>
  <c r="AN70" i="58" s="1" a="1"/>
  <c r="AN70" i="58" s="1"/>
  <c r="AO70" i="58" s="1" a="1"/>
  <c r="AO70" i="58" s="1"/>
  <c r="AP70" i="58" s="1" a="1"/>
  <c r="AP70" i="58" s="1"/>
  <c r="AQ70" i="58" s="1" a="1"/>
  <c r="AQ70" i="58" s="1"/>
  <c r="AR70" i="58" s="1" a="1"/>
  <c r="AR70" i="58" s="1"/>
  <c r="AS70" i="58" s="1" a="1"/>
  <c r="AS70" i="58" s="1"/>
  <c r="AT70" i="58" s="1" a="1"/>
  <c r="AT70" i="58" s="1"/>
  <c r="AU70" i="58" s="1" a="1"/>
  <c r="AU70" i="58" s="1"/>
  <c r="AD162" i="58"/>
  <c r="AC81" i="58" a="1"/>
  <c r="AC81" i="58" s="1"/>
  <c r="AD81" i="58" s="1" a="1"/>
  <c r="AD81" i="58" s="1"/>
  <c r="AE81" i="58" s="1" a="1"/>
  <c r="AE81" i="58" s="1"/>
  <c r="AF81" i="58" s="1" a="1"/>
  <c r="AF81" i="58" s="1"/>
  <c r="AG81" i="58" s="1" a="1"/>
  <c r="AG81" i="58" s="1"/>
  <c r="AH81" i="58" s="1" a="1"/>
  <c r="AH81" i="58" s="1"/>
  <c r="AI81" i="58" s="1" a="1"/>
  <c r="AI81" i="58" s="1"/>
  <c r="AJ81" i="58" s="1" a="1"/>
  <c r="AJ81" i="58" s="1"/>
  <c r="AK81" i="58" s="1" a="1"/>
  <c r="AK81" i="58" s="1"/>
  <c r="AL81" i="58" s="1" a="1"/>
  <c r="AL81" i="58" s="1"/>
  <c r="AM81" i="58" s="1" a="1"/>
  <c r="AM81" i="58" s="1"/>
  <c r="AN81" i="58" s="1" a="1"/>
  <c r="AN81" i="58" s="1"/>
  <c r="AO81" i="58" s="1" a="1"/>
  <c r="AO81" i="58" s="1"/>
  <c r="AP81" i="58" s="1" a="1"/>
  <c r="AP81" i="58" s="1"/>
  <c r="AQ81" i="58" s="1" a="1"/>
  <c r="AQ81" i="58" s="1"/>
  <c r="AR81" i="58" s="1" a="1"/>
  <c r="AR81" i="58" s="1"/>
  <c r="AS81" i="58" s="1" a="1"/>
  <c r="AS81" i="58" s="1"/>
  <c r="AT81" i="58" s="1" a="1"/>
  <c r="AT81" i="58" s="1"/>
  <c r="AU81" i="58" s="1" a="1"/>
  <c r="AU81" i="58" s="1"/>
  <c r="AV81" i="58" a="1"/>
  <c r="AV81" i="58" s="1"/>
  <c r="AC97" i="58" a="1"/>
  <c r="AC97" i="58" s="1"/>
  <c r="AD97" i="58" s="1" a="1"/>
  <c r="AD97" i="58" s="1"/>
  <c r="AE97" i="58" s="1" a="1"/>
  <c r="AE97" i="58" s="1"/>
  <c r="AF97" i="58" s="1" a="1"/>
  <c r="AF97" i="58" s="1"/>
  <c r="AG97" i="58" s="1" a="1"/>
  <c r="AG97" i="58" s="1"/>
  <c r="AH97" i="58" s="1" a="1"/>
  <c r="AH97" i="58" s="1"/>
  <c r="AI97" i="58" s="1" a="1"/>
  <c r="AI97" i="58" s="1"/>
  <c r="AJ97" i="58" s="1" a="1"/>
  <c r="AJ97" i="58" s="1"/>
  <c r="AK97" i="58" s="1" a="1"/>
  <c r="AK97" i="58" s="1"/>
  <c r="AL97" i="58" s="1" a="1"/>
  <c r="AL97" i="58" s="1"/>
  <c r="AM97" i="58" s="1" a="1"/>
  <c r="AM97" i="58" s="1"/>
  <c r="AN97" i="58" s="1" a="1"/>
  <c r="AN97" i="58" s="1"/>
  <c r="AO97" i="58" s="1" a="1"/>
  <c r="AO97" i="58" s="1"/>
  <c r="AP97" i="58" s="1" a="1"/>
  <c r="AP97" i="58" s="1"/>
  <c r="AQ97" i="58" s="1" a="1"/>
  <c r="AQ97" i="58" s="1"/>
  <c r="AR97" i="58" s="1" a="1"/>
  <c r="AR97" i="58" s="1"/>
  <c r="AS97" i="58" s="1" a="1"/>
  <c r="AS97" i="58" s="1"/>
  <c r="AT97" i="58" s="1" a="1"/>
  <c r="AT97" i="58" s="1"/>
  <c r="AU97" i="58" s="1" a="1"/>
  <c r="AU97" i="58" s="1"/>
  <c r="AV97" i="58" a="1"/>
  <c r="AV97" i="58" s="1"/>
  <c r="AV156" i="58" s="1"/>
  <c r="S92" i="58" a="1"/>
  <c r="S92" i="58" s="1"/>
  <c r="T92" i="58" s="1" a="1"/>
  <c r="T92" i="58" s="1"/>
  <c r="U92" i="58" s="1" a="1"/>
  <c r="U92" i="58" s="1"/>
  <c r="V92" i="58" s="1" a="1"/>
  <c r="V92" i="58" s="1"/>
  <c r="W92" i="58" s="1" a="1"/>
  <c r="W92" i="58" s="1"/>
  <c r="X92" i="58" s="1" a="1"/>
  <c r="X92" i="58" s="1"/>
  <c r="Y92" i="58" s="1" a="1"/>
  <c r="Y92" i="58" s="1"/>
  <c r="Z92" i="58" s="1" a="1"/>
  <c r="Z92" i="58" s="1"/>
  <c r="AA92" i="58" s="1" a="1"/>
  <c r="AA92" i="58" s="1"/>
  <c r="AB92" i="58" a="1"/>
  <c r="AB92" i="58" s="1"/>
  <c r="AB151" i="58" s="1"/>
  <c r="AC96" i="58" a="1"/>
  <c r="AC96" i="58" s="1"/>
  <c r="AD96" i="58" s="1" a="1"/>
  <c r="AD96" i="58" s="1"/>
  <c r="AE96" i="58" s="1" a="1"/>
  <c r="AE96" i="58" s="1"/>
  <c r="AF96" i="58" s="1" a="1"/>
  <c r="AF96" i="58" s="1"/>
  <c r="AG96" i="58" s="1" a="1"/>
  <c r="AG96" i="58" s="1"/>
  <c r="AH96" i="58" s="1" a="1"/>
  <c r="AH96" i="58" s="1"/>
  <c r="AI96" i="58" s="1" a="1"/>
  <c r="AI96" i="58" s="1"/>
  <c r="AJ96" i="58" s="1" a="1"/>
  <c r="AJ96" i="58" s="1"/>
  <c r="AK96" i="58" s="1" a="1"/>
  <c r="AK96" i="58" s="1"/>
  <c r="AL96" i="58" s="1" a="1"/>
  <c r="AL96" i="58" s="1"/>
  <c r="AM96" i="58" s="1" a="1"/>
  <c r="AM96" i="58" s="1"/>
  <c r="AN96" i="58" s="1" a="1"/>
  <c r="AN96" i="58" s="1"/>
  <c r="AO96" i="58" s="1" a="1"/>
  <c r="AO96" i="58" s="1"/>
  <c r="AP96" i="58" s="1" a="1"/>
  <c r="AP96" i="58" s="1"/>
  <c r="AQ96" i="58" s="1" a="1"/>
  <c r="AQ96" i="58" s="1"/>
  <c r="AR96" i="58" s="1" a="1"/>
  <c r="AR96" i="58" s="1"/>
  <c r="AS96" i="58" s="1" a="1"/>
  <c r="AS96" i="58" s="1"/>
  <c r="AT96" i="58" s="1" a="1"/>
  <c r="AT96" i="58" s="1"/>
  <c r="AU96" i="58" s="1" a="1"/>
  <c r="AU96" i="58" s="1"/>
  <c r="AV96" i="58" a="1"/>
  <c r="AV96" i="58" s="1"/>
  <c r="AV155" i="58" s="1"/>
  <c r="AC93" i="58" a="1"/>
  <c r="AC93" i="58" s="1"/>
  <c r="AD93" i="58" s="1" a="1"/>
  <c r="AD93" i="58" s="1"/>
  <c r="AE93" i="58" s="1" a="1"/>
  <c r="AE93" i="58" s="1"/>
  <c r="AF93" i="58" s="1" a="1"/>
  <c r="AF93" i="58" s="1"/>
  <c r="AG93" i="58" s="1" a="1"/>
  <c r="AG93" i="58" s="1"/>
  <c r="AH93" i="58" s="1" a="1"/>
  <c r="AH93" i="58" s="1"/>
  <c r="AI93" i="58" s="1" a="1"/>
  <c r="AI93" i="58" s="1"/>
  <c r="AJ93" i="58" s="1" a="1"/>
  <c r="AJ93" i="58" s="1"/>
  <c r="AK93" i="58" s="1" a="1"/>
  <c r="AK93" i="58" s="1"/>
  <c r="AL93" i="58" s="1" a="1"/>
  <c r="AL93" i="58" s="1"/>
  <c r="AM93" i="58" s="1" a="1"/>
  <c r="AM93" i="58" s="1"/>
  <c r="AN93" i="58" s="1" a="1"/>
  <c r="AN93" i="58" s="1"/>
  <c r="AO93" i="58" s="1" a="1"/>
  <c r="AO93" i="58" s="1"/>
  <c r="AP93" i="58" s="1" a="1"/>
  <c r="AP93" i="58" s="1"/>
  <c r="AQ93" i="58" s="1" a="1"/>
  <c r="AQ93" i="58" s="1"/>
  <c r="AR93" i="58" s="1" a="1"/>
  <c r="AR93" i="58" s="1"/>
  <c r="AS93" i="58" s="1" a="1"/>
  <c r="AS93" i="58" s="1"/>
  <c r="AT93" i="58" s="1" a="1"/>
  <c r="AT93" i="58" s="1"/>
  <c r="AU93" i="58" s="1" a="1"/>
  <c r="AU93" i="58" s="1"/>
  <c r="AV93" i="58" a="1"/>
  <c r="AV93" i="58" s="1"/>
  <c r="AV152" i="58" s="1"/>
  <c r="Q237" i="58"/>
  <c r="Q252" i="58" s="1"/>
  <c r="N115" i="47" s="1"/>
  <c r="R233" i="58"/>
  <c r="R248" i="58" s="1"/>
  <c r="O109" i="47" s="1"/>
  <c r="AC94" i="58" a="1"/>
  <c r="AC94" i="58" s="1"/>
  <c r="AD94" i="58" s="1" a="1"/>
  <c r="AD94" i="58" s="1"/>
  <c r="AE94" i="58" s="1" a="1"/>
  <c r="AE94" i="58" s="1"/>
  <c r="AF94" i="58" s="1" a="1"/>
  <c r="AF94" i="58" s="1"/>
  <c r="AG94" i="58" s="1" a="1"/>
  <c r="AG94" i="58" s="1"/>
  <c r="AH94" i="58" s="1" a="1"/>
  <c r="AH94" i="58" s="1"/>
  <c r="AI94" i="58" s="1" a="1"/>
  <c r="AI94" i="58" s="1"/>
  <c r="AJ94" i="58" s="1" a="1"/>
  <c r="AJ94" i="58" s="1"/>
  <c r="AK94" i="58" s="1" a="1"/>
  <c r="AK94" i="58" s="1"/>
  <c r="AL94" i="58" s="1" a="1"/>
  <c r="AL94" i="58" s="1"/>
  <c r="AM94" i="58" s="1" a="1"/>
  <c r="AM94" i="58" s="1"/>
  <c r="AN94" i="58" s="1" a="1"/>
  <c r="AN94" i="58" s="1"/>
  <c r="AO94" i="58" s="1" a="1"/>
  <c r="AO94" i="58" s="1"/>
  <c r="AP94" i="58" s="1" a="1"/>
  <c r="AP94" i="58" s="1"/>
  <c r="AQ94" i="58" s="1" a="1"/>
  <c r="AQ94" i="58" s="1"/>
  <c r="AR94" i="58" s="1" a="1"/>
  <c r="AR94" i="58" s="1"/>
  <c r="AS94" i="58" s="1" a="1"/>
  <c r="AS94" i="58" s="1"/>
  <c r="AT94" i="58" s="1" a="1"/>
  <c r="AT94" i="58" s="1"/>
  <c r="AU94" i="58" s="1" a="1"/>
  <c r="AU94" i="58" s="1"/>
  <c r="AV94" i="58" a="1"/>
  <c r="AV94" i="58" s="1"/>
  <c r="AV153" i="58" s="1"/>
  <c r="AC100" i="58" a="1"/>
  <c r="AC100" i="58" s="1"/>
  <c r="AD100" i="58" s="1" a="1"/>
  <c r="AD100" i="58" s="1"/>
  <c r="AV100" i="58" a="1"/>
  <c r="AV100" i="58" s="1"/>
  <c r="AV159" i="58" s="1"/>
  <c r="Q238" i="58"/>
  <c r="Q253" i="58" s="1"/>
  <c r="N117" i="47" s="1"/>
  <c r="N153" i="58"/>
  <c r="L156" i="58"/>
  <c r="AE158" i="58"/>
  <c r="AE240" i="58" s="1"/>
  <c r="AE255" i="58" s="1"/>
  <c r="AB116" i="47" s="1"/>
  <c r="AB238" i="58"/>
  <c r="AB253" i="58" s="1"/>
  <c r="Y117" i="47" s="1"/>
  <c r="Q241" i="58"/>
  <c r="Q256" i="58" s="1"/>
  <c r="N114" i="47" s="1"/>
  <c r="Q235" i="58"/>
  <c r="Q250" i="58" s="1"/>
  <c r="N112" i="47" s="1"/>
  <c r="AB234" i="58"/>
  <c r="AB249" i="58" s="1"/>
  <c r="Y111" i="47" s="1"/>
  <c r="K225" i="58"/>
  <c r="K263" i="58" s="1"/>
  <c r="H126" i="47" s="1"/>
  <c r="K228" i="58"/>
  <c r="K266" i="58" s="1"/>
  <c r="H123" i="47" s="1"/>
  <c r="AB224" i="58"/>
  <c r="AB262" i="58" s="1"/>
  <c r="Y124" i="47" s="1"/>
  <c r="AB235" i="58"/>
  <c r="AB250" i="58" s="1"/>
  <c r="Y112" i="47" s="1"/>
  <c r="AB221" i="58"/>
  <c r="AB259" i="58" s="1"/>
  <c r="Y120" i="47" s="1"/>
  <c r="T159" i="58"/>
  <c r="Q222" i="58"/>
  <c r="Q260" i="58" s="1"/>
  <c r="N121" i="47" s="1"/>
  <c r="Q234" i="58"/>
  <c r="Q249" i="58" s="1"/>
  <c r="N111" i="47" s="1"/>
  <c r="S228" i="58"/>
  <c r="S266" i="58" s="1"/>
  <c r="P123" i="47" s="1"/>
  <c r="K221" i="58"/>
  <c r="K259" i="58" s="1"/>
  <c r="H120" i="47" s="1"/>
  <c r="L182" i="58"/>
  <c r="L241" i="58" s="1"/>
  <c r="L256" i="58" s="1"/>
  <c r="I114" i="47" s="1"/>
  <c r="L216" i="58"/>
  <c r="L194" i="58"/>
  <c r="L205" i="58"/>
  <c r="L213" i="58"/>
  <c r="L191" i="58"/>
  <c r="L179" i="58"/>
  <c r="L202" i="58"/>
  <c r="J223" i="58"/>
  <c r="J261" i="58" s="1"/>
  <c r="G122" i="47" s="1"/>
  <c r="J220" i="58"/>
  <c r="K222" i="58"/>
  <c r="K260" i="58" s="1"/>
  <c r="H121" i="47" s="1"/>
  <c r="K224" i="58"/>
  <c r="K262" i="58" s="1"/>
  <c r="H124" i="47" s="1"/>
  <c r="L190" i="58"/>
  <c r="L178" i="58"/>
  <c r="L201" i="58"/>
  <c r="L212" i="58"/>
  <c r="L175" i="58"/>
  <c r="L198" i="58"/>
  <c r="L209" i="58"/>
  <c r="L187" i="58"/>
  <c r="N163" i="58"/>
  <c r="M163" i="58"/>
  <c r="M164" i="58"/>
  <c r="N164" i="58"/>
  <c r="N170" i="58"/>
  <c r="M170" i="58"/>
  <c r="N166" i="58"/>
  <c r="M166" i="58"/>
  <c r="M167" i="58"/>
  <c r="N167" i="58"/>
  <c r="L162" i="58"/>
  <c r="K208" i="58"/>
  <c r="K197" i="58"/>
  <c r="K186" i="58"/>
  <c r="K174" i="58"/>
  <c r="L210" i="58"/>
  <c r="L176" i="58"/>
  <c r="L188" i="58"/>
  <c r="L199" i="58"/>
  <c r="T152" i="58"/>
  <c r="V158" i="58"/>
  <c r="V240" i="58" s="1"/>
  <c r="V255" i="58" s="1"/>
  <c r="S116" i="47" s="1"/>
  <c r="AB237" i="58"/>
  <c r="AB252" i="58" s="1"/>
  <c r="Y115" i="47" s="1"/>
  <c r="T155" i="58"/>
  <c r="AB225" i="58"/>
  <c r="AB263" i="58" s="1"/>
  <c r="Y126" i="47" s="1"/>
  <c r="AB222" i="58"/>
  <c r="AB260" i="58" s="1"/>
  <c r="Y121" i="47" s="1"/>
  <c r="P220" i="58"/>
  <c r="P258" i="58" s="1"/>
  <c r="M118" i="47" s="1"/>
  <c r="AP255" i="58"/>
  <c r="AM116" i="47" s="1"/>
  <c r="AL116" i="47"/>
  <c r="AF158" i="58"/>
  <c r="AF240" i="58" s="1"/>
  <c r="AF255" i="58" s="1"/>
  <c r="AC116" i="47" s="1"/>
  <c r="S224" i="58"/>
  <c r="S262" i="58" s="1"/>
  <c r="P124" i="47" s="1"/>
  <c r="T201" i="58"/>
  <c r="T190" i="58"/>
  <c r="T178" i="58"/>
  <c r="T212" i="58"/>
  <c r="U163" i="58"/>
  <c r="Q228" i="58"/>
  <c r="Q266" i="58" s="1"/>
  <c r="N123" i="47" s="1"/>
  <c r="AB228" i="58"/>
  <c r="AB266" i="58" s="1"/>
  <c r="Y123" i="47" s="1"/>
  <c r="AE166" i="58"/>
  <c r="AE167" i="58"/>
  <c r="Q197" i="58"/>
  <c r="Q208" i="58"/>
  <c r="Q186" i="58"/>
  <c r="Q174" i="58"/>
  <c r="I92" i="58"/>
  <c r="AP254" i="58"/>
  <c r="AM110" i="47" s="1"/>
  <c r="AL110" i="47"/>
  <c r="U166" i="58"/>
  <c r="U167" i="58"/>
  <c r="T162" i="58"/>
  <c r="U164" i="58"/>
  <c r="V157" i="58"/>
  <c r="V239" i="58" s="1"/>
  <c r="V254" i="58" s="1"/>
  <c r="S110" i="47" s="1"/>
  <c r="AC178" i="58"/>
  <c r="AC201" i="58"/>
  <c r="AC212" i="58"/>
  <c r="AC190" i="58"/>
  <c r="AV202" i="58"/>
  <c r="AV213" i="58"/>
  <c r="AV179" i="58"/>
  <c r="AV191" i="58"/>
  <c r="M159" i="58"/>
  <c r="N159" i="58"/>
  <c r="AC216" i="58"/>
  <c r="AC182" i="58"/>
  <c r="AC205" i="58"/>
  <c r="AC194" i="58"/>
  <c r="AV199" i="58"/>
  <c r="AV210" i="58"/>
  <c r="AV176" i="58"/>
  <c r="AV188" i="58"/>
  <c r="AB197" i="58"/>
  <c r="AB174" i="58"/>
  <c r="AB186" i="58"/>
  <c r="AB208" i="58"/>
  <c r="S174" i="58"/>
  <c r="S208" i="58"/>
  <c r="S186" i="58"/>
  <c r="S197" i="58"/>
  <c r="AV198" i="58"/>
  <c r="AV209" i="58"/>
  <c r="AV175" i="58"/>
  <c r="AV187" i="58"/>
  <c r="T198" i="58"/>
  <c r="T187" i="58"/>
  <c r="T175" i="58"/>
  <c r="T209" i="58"/>
  <c r="U170" i="58"/>
  <c r="AD170" i="58"/>
  <c r="Q225" i="58"/>
  <c r="Q263" i="58" s="1"/>
  <c r="N126" i="47" s="1"/>
  <c r="AE163" i="58"/>
  <c r="AB241" i="58"/>
  <c r="AB256" i="58" s="1"/>
  <c r="Y114" i="47" s="1"/>
  <c r="P233" i="58"/>
  <c r="P248" i="58" s="1"/>
  <c r="M109" i="47" s="1"/>
  <c r="R220" i="58"/>
  <c r="AF157" i="58"/>
  <c r="AF239" i="58" s="1"/>
  <c r="AF254" i="58" s="1"/>
  <c r="AC110" i="47" s="1"/>
  <c r="Q221" i="58"/>
  <c r="Q259" i="58" s="1"/>
  <c r="N120" i="47" s="1"/>
  <c r="AV201" i="58"/>
  <c r="AV190" i="58"/>
  <c r="AV212" i="58"/>
  <c r="AV178" i="58"/>
  <c r="AC202" i="58"/>
  <c r="AC191" i="58"/>
  <c r="AC213" i="58"/>
  <c r="AC179" i="58"/>
  <c r="S225" i="58"/>
  <c r="S263" i="58" s="1"/>
  <c r="P126" i="47" s="1"/>
  <c r="T191" i="58"/>
  <c r="T179" i="58"/>
  <c r="T213" i="58"/>
  <c r="T202" i="58"/>
  <c r="AV216" i="58"/>
  <c r="AV205" i="58"/>
  <c r="AV182" i="58"/>
  <c r="AV194" i="58"/>
  <c r="T205" i="58"/>
  <c r="T182" i="58"/>
  <c r="T194" i="58"/>
  <c r="T216" i="58"/>
  <c r="AC199" i="58"/>
  <c r="AC210" i="58"/>
  <c r="AC176" i="58"/>
  <c r="AC188" i="58"/>
  <c r="S222" i="58"/>
  <c r="S260" i="58" s="1"/>
  <c r="P121" i="47" s="1"/>
  <c r="T188" i="58"/>
  <c r="T210" i="58"/>
  <c r="T199" i="58"/>
  <c r="T176" i="58"/>
  <c r="AC198" i="58"/>
  <c r="AC209" i="58"/>
  <c r="AC175" i="58"/>
  <c r="AC187" i="58"/>
  <c r="S221" i="58"/>
  <c r="S259" i="58" s="1"/>
  <c r="P120" i="47" s="1"/>
  <c r="AD164" i="58"/>
  <c r="Q224" i="58"/>
  <c r="Q262" i="58" s="1"/>
  <c r="N124" i="47" s="1"/>
  <c r="W125" i="60" l="1"/>
  <c r="W124" i="60"/>
  <c r="L235" i="58"/>
  <c r="L250" i="58" s="1"/>
  <c r="I112" i="47" s="1"/>
  <c r="AC152" i="58"/>
  <c r="AC234" i="58" s="1"/>
  <c r="AC249" i="58" s="1"/>
  <c r="Z111" i="47" s="1"/>
  <c r="AC156" i="58"/>
  <c r="AC238" i="58" s="1"/>
  <c r="AC253" i="58" s="1"/>
  <c r="Z117" i="47" s="1"/>
  <c r="S151" i="58"/>
  <c r="S233" i="58" s="1"/>
  <c r="S248" i="58" s="1"/>
  <c r="P109" i="47" s="1"/>
  <c r="L238" i="58"/>
  <c r="L253" i="58" s="1"/>
  <c r="I117" i="47" s="1"/>
  <c r="K233" i="58"/>
  <c r="K248" i="58" s="1"/>
  <c r="H109" i="47" s="1"/>
  <c r="M93" i="58" a="1"/>
  <c r="M93" i="58" s="1"/>
  <c r="L152" i="58"/>
  <c r="L234" i="58" s="1"/>
  <c r="L249" i="58" s="1"/>
  <c r="I111" i="47" s="1"/>
  <c r="AC153" i="58"/>
  <c r="AC235" i="58" s="1"/>
  <c r="AC250" i="58" s="1"/>
  <c r="Z112" i="47" s="1"/>
  <c r="AC155" i="58"/>
  <c r="AC237" i="58" s="1"/>
  <c r="AC252" i="58" s="1"/>
  <c r="Z115" i="47" s="1"/>
  <c r="M96" i="58" a="1"/>
  <c r="M96" i="58" s="1"/>
  <c r="L155" i="58"/>
  <c r="L237" i="58" s="1"/>
  <c r="L252" i="58" s="1"/>
  <c r="I115" i="47" s="1"/>
  <c r="AC159" i="58"/>
  <c r="AC241" i="58" s="1"/>
  <c r="AC256" i="58" s="1"/>
  <c r="Z114" i="47" s="1"/>
  <c r="T241" i="58"/>
  <c r="T256" i="58" s="1"/>
  <c r="Q114" i="47" s="1"/>
  <c r="M92" i="58" a="1"/>
  <c r="M92" i="58" s="1"/>
  <c r="L151" i="58"/>
  <c r="AD159" i="58"/>
  <c r="AE100" i="58" a="1"/>
  <c r="AE100" i="58" s="1"/>
  <c r="AF100" i="58" s="1" a="1"/>
  <c r="AF100" i="58" s="1"/>
  <c r="AG100" i="58" s="1" a="1"/>
  <c r="AG100" i="58" s="1"/>
  <c r="AH100" i="58" s="1" a="1"/>
  <c r="AH100" i="58" s="1"/>
  <c r="AI100" i="58" s="1" a="1"/>
  <c r="AI100" i="58" s="1"/>
  <c r="AJ100" i="58" s="1" a="1"/>
  <c r="AJ100" i="58" s="1"/>
  <c r="AK100" i="58" s="1" a="1"/>
  <c r="AK100" i="58" s="1"/>
  <c r="AL100" i="58" s="1" a="1"/>
  <c r="AL100" i="58" s="1"/>
  <c r="AM100" i="58" s="1" a="1"/>
  <c r="AM100" i="58" s="1"/>
  <c r="AN100" i="58" s="1" a="1"/>
  <c r="AN100" i="58" s="1"/>
  <c r="AO100" i="58" s="1" a="1"/>
  <c r="AO100" i="58" s="1"/>
  <c r="AP100" i="58" s="1" a="1"/>
  <c r="AP100" i="58" s="1"/>
  <c r="AQ100" i="58" s="1" a="1"/>
  <c r="AQ100" i="58" s="1"/>
  <c r="AR100" i="58" s="1" a="1"/>
  <c r="AR100" i="58" s="1"/>
  <c r="AS100" i="58" s="1" a="1"/>
  <c r="AS100" i="58" s="1"/>
  <c r="AT100" i="58" s="1" a="1"/>
  <c r="AT100" i="58" s="1"/>
  <c r="AU100" i="58" s="1" a="1"/>
  <c r="AU100" i="58" s="1"/>
  <c r="AC92" i="58" a="1"/>
  <c r="AC92" i="58" s="1"/>
  <c r="AD92" i="58" s="1" a="1"/>
  <c r="AD92" i="58" s="1"/>
  <c r="AE92" i="58" s="1" a="1"/>
  <c r="AE92" i="58" s="1"/>
  <c r="AF92" i="58" s="1" a="1"/>
  <c r="AF92" i="58" s="1"/>
  <c r="AG92" i="58" s="1" a="1"/>
  <c r="AG92" i="58" s="1"/>
  <c r="AH92" i="58" s="1" a="1"/>
  <c r="AH92" i="58" s="1"/>
  <c r="AI92" i="58" s="1" a="1"/>
  <c r="AI92" i="58" s="1"/>
  <c r="AJ92" i="58" s="1" a="1"/>
  <c r="AJ92" i="58" s="1"/>
  <c r="AK92" i="58" s="1" a="1"/>
  <c r="AK92" i="58" s="1"/>
  <c r="AL92" i="58" s="1" a="1"/>
  <c r="AL92" i="58" s="1"/>
  <c r="AM92" i="58" s="1" a="1"/>
  <c r="AM92" i="58" s="1"/>
  <c r="AN92" i="58" s="1" a="1"/>
  <c r="AN92" i="58" s="1"/>
  <c r="AO92" i="58" s="1" a="1"/>
  <c r="AO92" i="58" s="1"/>
  <c r="AP92" i="58" s="1" a="1"/>
  <c r="AP92" i="58" s="1"/>
  <c r="AQ92" i="58" s="1" a="1"/>
  <c r="AQ92" i="58" s="1"/>
  <c r="AR92" i="58" s="1" a="1"/>
  <c r="AR92" i="58" s="1"/>
  <c r="AS92" i="58" s="1" a="1"/>
  <c r="AS92" i="58" s="1"/>
  <c r="AT92" i="58" s="1" a="1"/>
  <c r="AT92" i="58" s="1"/>
  <c r="AU92" i="58" s="1" a="1"/>
  <c r="AU92" i="58" s="1"/>
  <c r="AV92" i="58" a="1"/>
  <c r="AV92" i="58" s="1"/>
  <c r="AV151" i="58" s="1"/>
  <c r="T237" i="58"/>
  <c r="T252" i="58" s="1"/>
  <c r="Q115" i="47" s="1"/>
  <c r="AD152" i="58"/>
  <c r="AV235" i="58"/>
  <c r="AN250" i="58" s="1"/>
  <c r="AO250" i="58" s="1"/>
  <c r="M156" i="58"/>
  <c r="N156" i="58"/>
  <c r="AV237" i="58"/>
  <c r="AN252" i="58" s="1"/>
  <c r="AO252" i="58" s="1"/>
  <c r="T234" i="58"/>
  <c r="T249" i="58" s="1"/>
  <c r="Q111" i="47" s="1"/>
  <c r="L222" i="58"/>
  <c r="L260" i="58" s="1"/>
  <c r="I121" i="47" s="1"/>
  <c r="M188" i="58"/>
  <c r="M199" i="58"/>
  <c r="M210" i="58"/>
  <c r="M176" i="58"/>
  <c r="M235" i="58" s="1"/>
  <c r="M250" i="58" s="1"/>
  <c r="J112" i="47" s="1"/>
  <c r="K220" i="58"/>
  <c r="K258" i="58" s="1"/>
  <c r="H118" i="47" s="1"/>
  <c r="M162" i="58"/>
  <c r="N162" i="58"/>
  <c r="M175" i="58"/>
  <c r="M198" i="58"/>
  <c r="M187" i="58"/>
  <c r="M209" i="58"/>
  <c r="L224" i="58"/>
  <c r="L262" i="58" s="1"/>
  <c r="I124" i="47" s="1"/>
  <c r="J245" i="58"/>
  <c r="J258" i="58"/>
  <c r="G118" i="47" s="1"/>
  <c r="L225" i="58"/>
  <c r="L263" i="58" s="1"/>
  <c r="I126" i="47" s="1"/>
  <c r="M179" i="58"/>
  <c r="M213" i="58"/>
  <c r="M191" i="58"/>
  <c r="M202" i="58"/>
  <c r="L208" i="58"/>
  <c r="L186" i="58"/>
  <c r="L174" i="58"/>
  <c r="L197" i="58"/>
  <c r="L221" i="58"/>
  <c r="L259" i="58" s="1"/>
  <c r="I120" i="47" s="1"/>
  <c r="M178" i="58"/>
  <c r="M201" i="58"/>
  <c r="M212" i="58"/>
  <c r="M190" i="58"/>
  <c r="M194" i="58"/>
  <c r="M205" i="58"/>
  <c r="M182" i="58"/>
  <c r="M241" i="58" s="1"/>
  <c r="M256" i="58" s="1"/>
  <c r="J114" i="47" s="1"/>
  <c r="M216" i="58"/>
  <c r="L228" i="58"/>
  <c r="L266" i="58" s="1"/>
  <c r="I123" i="47" s="1"/>
  <c r="AC221" i="58"/>
  <c r="AC259" i="58" s="1"/>
  <c r="Z120" i="47" s="1"/>
  <c r="AV241" i="58"/>
  <c r="AN256" i="58" s="1"/>
  <c r="AO256" i="58" s="1"/>
  <c r="AV224" i="58"/>
  <c r="AN262" i="58" s="1"/>
  <c r="AO262" i="58" s="1"/>
  <c r="AD156" i="58"/>
  <c r="AV221" i="58"/>
  <c r="AN259" i="58" s="1"/>
  <c r="AO259" i="58" s="1"/>
  <c r="AB220" i="58"/>
  <c r="AB258" i="58" s="1"/>
  <c r="Y118" i="47" s="1"/>
  <c r="AC228" i="58"/>
  <c r="AC266" i="58" s="1"/>
  <c r="Z123" i="47" s="1"/>
  <c r="Q220" i="58"/>
  <c r="Q258" i="58" s="1"/>
  <c r="N118" i="47" s="1"/>
  <c r="AD155" i="58"/>
  <c r="W158" i="58"/>
  <c r="W240" i="58" s="1"/>
  <c r="W255" i="58" s="1"/>
  <c r="T116" i="47" s="1"/>
  <c r="T156" i="58"/>
  <c r="T238" i="58" s="1"/>
  <c r="T253" i="58" s="1"/>
  <c r="Q117" i="47" s="1"/>
  <c r="AC197" i="58"/>
  <c r="AC174" i="58"/>
  <c r="AC186" i="58"/>
  <c r="AC208" i="58"/>
  <c r="T222" i="58"/>
  <c r="T260" i="58" s="1"/>
  <c r="Q121" i="47" s="1"/>
  <c r="AC222" i="58"/>
  <c r="AC260" i="58" s="1"/>
  <c r="Z121" i="47" s="1"/>
  <c r="AD176" i="58"/>
  <c r="AD199" i="58"/>
  <c r="AD188" i="58"/>
  <c r="AD210" i="58"/>
  <c r="T228" i="58"/>
  <c r="T266" i="58" s="1"/>
  <c r="Q123" i="47" s="1"/>
  <c r="U205" i="58"/>
  <c r="U194" i="58"/>
  <c r="U216" i="58"/>
  <c r="U182" i="58"/>
  <c r="AV228" i="58"/>
  <c r="AN266" i="58" s="1"/>
  <c r="U202" i="58"/>
  <c r="U191" i="58"/>
  <c r="U179" i="58"/>
  <c r="U213" i="58"/>
  <c r="AC225" i="58"/>
  <c r="AC263" i="58" s="1"/>
  <c r="Z126" i="47" s="1"/>
  <c r="AD179" i="58"/>
  <c r="AD191" i="58"/>
  <c r="AD202" i="58"/>
  <c r="AD213" i="58"/>
  <c r="AE162" i="58"/>
  <c r="AG157" i="58"/>
  <c r="AG239" i="58" s="1"/>
  <c r="AG254" i="58" s="1"/>
  <c r="AD110" i="47" s="1"/>
  <c r="AF163" i="58"/>
  <c r="T221" i="58"/>
  <c r="T259" i="58" s="1"/>
  <c r="Q120" i="47" s="1"/>
  <c r="U198" i="58"/>
  <c r="U187" i="58"/>
  <c r="U209" i="58"/>
  <c r="U175" i="58"/>
  <c r="AV234" i="58"/>
  <c r="AN249" i="58" s="1"/>
  <c r="S220" i="58"/>
  <c r="AB233" i="58"/>
  <c r="AB248" i="58" s="1"/>
  <c r="Y109" i="47" s="1"/>
  <c r="AV222" i="58"/>
  <c r="AN260" i="58" s="1"/>
  <c r="AD153" i="58"/>
  <c r="AV225" i="58"/>
  <c r="AN263" i="58" s="1"/>
  <c r="AC224" i="58"/>
  <c r="AC262" i="58" s="1"/>
  <c r="Z124" i="47" s="1"/>
  <c r="AD190" i="58"/>
  <c r="AD178" i="58"/>
  <c r="AD201" i="58"/>
  <c r="AD212" i="58"/>
  <c r="V164" i="58"/>
  <c r="Q233" i="58"/>
  <c r="Q248" i="58" s="1"/>
  <c r="N109" i="47" s="1"/>
  <c r="AF167" i="58"/>
  <c r="AF166" i="58"/>
  <c r="V163" i="58"/>
  <c r="T224" i="58"/>
  <c r="T262" i="58" s="1"/>
  <c r="Q124" i="47" s="1"/>
  <c r="U201" i="58"/>
  <c r="U190" i="58"/>
  <c r="U178" i="58"/>
  <c r="U212" i="58"/>
  <c r="AG158" i="58"/>
  <c r="AG240" i="58" s="1"/>
  <c r="AG255" i="58" s="1"/>
  <c r="AD116" i="47" s="1"/>
  <c r="U152" i="58"/>
  <c r="AE164" i="58"/>
  <c r="AD187" i="58"/>
  <c r="AD175" i="58"/>
  <c r="AD198" i="58"/>
  <c r="AD209" i="58"/>
  <c r="AV208" i="58"/>
  <c r="AV174" i="58"/>
  <c r="AV186" i="58"/>
  <c r="AV197" i="58"/>
  <c r="U199" i="58"/>
  <c r="U210" i="58"/>
  <c r="U188" i="58"/>
  <c r="U176" i="58"/>
  <c r="T153" i="58"/>
  <c r="T235" i="58" s="1"/>
  <c r="T250" i="58" s="1"/>
  <c r="Q112" i="47" s="1"/>
  <c r="T225" i="58"/>
  <c r="T263" i="58" s="1"/>
  <c r="Q126" i="47" s="1"/>
  <c r="U159" i="58"/>
  <c r="R258" i="58"/>
  <c r="O118" i="47" s="1"/>
  <c r="AE170" i="58"/>
  <c r="V170" i="58"/>
  <c r="T197" i="58"/>
  <c r="T208" i="58"/>
  <c r="T186" i="58"/>
  <c r="T174" i="58"/>
  <c r="AD205" i="58"/>
  <c r="AD182" i="58"/>
  <c r="AD194" i="58"/>
  <c r="AD216" i="58"/>
  <c r="AV238" i="58"/>
  <c r="AN253" i="58" s="1"/>
  <c r="W157" i="58"/>
  <c r="W239" i="58" s="1"/>
  <c r="W254" i="58" s="1"/>
  <c r="T110" i="47" s="1"/>
  <c r="U162" i="58"/>
  <c r="V167" i="58"/>
  <c r="V166" i="58"/>
  <c r="X132" i="60" l="1"/>
  <c r="T67" i="47"/>
  <c r="AD241" i="58"/>
  <c r="AD256" i="58" s="1"/>
  <c r="AA114" i="47" s="1"/>
  <c r="AC151" i="58"/>
  <c r="AC233" i="58" s="1"/>
  <c r="AC248" i="58" s="1"/>
  <c r="Z109" i="47" s="1"/>
  <c r="AK115" i="47"/>
  <c r="L233" i="58"/>
  <c r="L248" i="58" s="1"/>
  <c r="I109" i="47" s="1"/>
  <c r="AE159" i="58"/>
  <c r="N93" i="58" a="1"/>
  <c r="N93" i="58" s="1"/>
  <c r="N152" i="58" s="1"/>
  <c r="M152" i="58"/>
  <c r="M234" i="58" s="1"/>
  <c r="M249" i="58" s="1"/>
  <c r="J111" i="47" s="1"/>
  <c r="AK124" i="47"/>
  <c r="N96" i="58" a="1"/>
  <c r="N96" i="58" s="1"/>
  <c r="N155" i="58" s="1"/>
  <c r="M155" i="58"/>
  <c r="M237" i="58" s="1"/>
  <c r="M252" i="58" s="1"/>
  <c r="J115" i="47" s="1"/>
  <c r="AK112" i="47"/>
  <c r="AD234" i="58"/>
  <c r="AD249" i="58" s="1"/>
  <c r="AA111" i="47" s="1"/>
  <c r="N92" i="58" a="1"/>
  <c r="N92" i="58" s="1"/>
  <c r="N151" i="58" s="1"/>
  <c r="M151" i="58"/>
  <c r="AV233" i="58"/>
  <c r="AN248" i="58" s="1"/>
  <c r="AK109" i="47" s="1"/>
  <c r="AK120" i="47"/>
  <c r="U155" i="58"/>
  <c r="U237" i="58" s="1"/>
  <c r="U252" i="58" s="1"/>
  <c r="R115" i="47" s="1"/>
  <c r="M238" i="58"/>
  <c r="M253" i="58" s="1"/>
  <c r="J117" i="47" s="1"/>
  <c r="AK114" i="47"/>
  <c r="AE155" i="58"/>
  <c r="AD237" i="58"/>
  <c r="AD252" i="58" s="1"/>
  <c r="AA115" i="47" s="1"/>
  <c r="AF159" i="58"/>
  <c r="AD238" i="58"/>
  <c r="AD253" i="58" s="1"/>
  <c r="AA117" i="47" s="1"/>
  <c r="T220" i="58"/>
  <c r="T258" i="58" s="1"/>
  <c r="Q118" i="47" s="1"/>
  <c r="AV220" i="58"/>
  <c r="AN258" i="58" s="1"/>
  <c r="M222" i="58"/>
  <c r="M260" i="58" s="1"/>
  <c r="J121" i="47" s="1"/>
  <c r="M224" i="58"/>
  <c r="M262" i="58" s="1"/>
  <c r="J124" i="47" s="1"/>
  <c r="N201" i="58"/>
  <c r="N212" i="58"/>
  <c r="N190" i="58"/>
  <c r="N178" i="58"/>
  <c r="N202" i="58"/>
  <c r="N213" i="58"/>
  <c r="N179" i="58"/>
  <c r="N238" i="58" s="1"/>
  <c r="N253" i="58" s="1"/>
  <c r="K117" i="47" s="1"/>
  <c r="N191" i="58"/>
  <c r="M225" i="58"/>
  <c r="M263" i="58" s="1"/>
  <c r="J126" i="47" s="1"/>
  <c r="N199" i="58"/>
  <c r="N188" i="58"/>
  <c r="N210" i="58"/>
  <c r="N176" i="58"/>
  <c r="N235" i="58" s="1"/>
  <c r="N250" i="58" s="1"/>
  <c r="K112" i="47" s="1"/>
  <c r="U221" i="58"/>
  <c r="U259" i="58" s="1"/>
  <c r="R120" i="47" s="1"/>
  <c r="AD222" i="58"/>
  <c r="AD260" i="58" s="1"/>
  <c r="AA121" i="47" s="1"/>
  <c r="N216" i="58"/>
  <c r="N205" i="58"/>
  <c r="N194" i="58"/>
  <c r="N182" i="58"/>
  <c r="N241" i="58" s="1"/>
  <c r="N256" i="58" s="1"/>
  <c r="K114" i="47" s="1"/>
  <c r="M228" i="58"/>
  <c r="M266" i="58" s="1"/>
  <c r="J123" i="47" s="1"/>
  <c r="L220" i="58"/>
  <c r="L258" i="58" s="1"/>
  <c r="I118" i="47" s="1"/>
  <c r="M197" i="58"/>
  <c r="M186" i="58"/>
  <c r="M208" i="58"/>
  <c r="M174" i="58"/>
  <c r="N175" i="58"/>
  <c r="N198" i="58"/>
  <c r="N209" i="58"/>
  <c r="N187" i="58"/>
  <c r="M221" i="58"/>
  <c r="M259" i="58" s="1"/>
  <c r="J120" i="47" s="1"/>
  <c r="AD228" i="58"/>
  <c r="AD266" i="58" s="1"/>
  <c r="AA123" i="47" s="1"/>
  <c r="U225" i="58"/>
  <c r="U263" i="58" s="1"/>
  <c r="R126" i="47" s="1"/>
  <c r="X158" i="58"/>
  <c r="X240" i="58" s="1"/>
  <c r="X255" i="58" s="1"/>
  <c r="U116" i="47" s="1"/>
  <c r="AE205" i="58"/>
  <c r="AE216" i="58"/>
  <c r="AE182" i="58"/>
  <c r="AE194" i="58"/>
  <c r="U197" i="58"/>
  <c r="U186" i="58"/>
  <c r="U174" i="58"/>
  <c r="U208" i="58"/>
  <c r="AL120" i="47"/>
  <c r="AP259" i="58"/>
  <c r="AM120" i="47" s="1"/>
  <c r="V159" i="58"/>
  <c r="AP262" i="58"/>
  <c r="AM124" i="47" s="1"/>
  <c r="AL124" i="47"/>
  <c r="AL115" i="47"/>
  <c r="AP252" i="58"/>
  <c r="AM115" i="47" s="1"/>
  <c r="U153" i="58"/>
  <c r="U235" i="58" s="1"/>
  <c r="U250" i="58" s="1"/>
  <c r="R112" i="47" s="1"/>
  <c r="U222" i="58"/>
  <c r="U260" i="58" s="1"/>
  <c r="R121" i="47" s="1"/>
  <c r="V210" i="58"/>
  <c r="V199" i="58"/>
  <c r="V176" i="58"/>
  <c r="V188" i="58"/>
  <c r="AE175" i="58"/>
  <c r="AE198" i="58"/>
  <c r="AE187" i="58"/>
  <c r="AE209" i="58"/>
  <c r="W163" i="58"/>
  <c r="AG166" i="58"/>
  <c r="AG167" i="58"/>
  <c r="T151" i="58"/>
  <c r="T233" i="58" s="1"/>
  <c r="T248" i="58" s="1"/>
  <c r="Q109" i="47" s="1"/>
  <c r="AD224" i="58"/>
  <c r="AD262" i="58" s="1"/>
  <c r="AA124" i="47" s="1"/>
  <c r="AO260" i="58"/>
  <c r="AK121" i="47"/>
  <c r="S258" i="58"/>
  <c r="P118" i="47" s="1"/>
  <c r="U234" i="58"/>
  <c r="U249" i="58" s="1"/>
  <c r="R111" i="47" s="1"/>
  <c r="V198" i="58"/>
  <c r="V187" i="58"/>
  <c r="V209" i="58"/>
  <c r="V175" i="58"/>
  <c r="AE156" i="58"/>
  <c r="AG163" i="58"/>
  <c r="AH157" i="58"/>
  <c r="AH239" i="58" s="1"/>
  <c r="AH254" i="58" s="1"/>
  <c r="AE110" i="47" s="1"/>
  <c r="U241" i="58"/>
  <c r="U256" i="58" s="1"/>
  <c r="R114" i="47" s="1"/>
  <c r="U228" i="58"/>
  <c r="U266" i="58" s="1"/>
  <c r="R123" i="47" s="1"/>
  <c r="V205" i="58"/>
  <c r="V182" i="58"/>
  <c r="V194" i="58"/>
  <c r="V216" i="58"/>
  <c r="AE188" i="58"/>
  <c r="AE210" i="58"/>
  <c r="AE176" i="58"/>
  <c r="AE199" i="58"/>
  <c r="AC220" i="58"/>
  <c r="U156" i="58"/>
  <c r="U238" i="58" s="1"/>
  <c r="U253" i="58" s="1"/>
  <c r="R117" i="47" s="1"/>
  <c r="W166" i="58"/>
  <c r="W167" i="58"/>
  <c r="V162" i="58"/>
  <c r="X157" i="58"/>
  <c r="X239" i="58" s="1"/>
  <c r="X254" i="58" s="1"/>
  <c r="U110" i="47" s="1"/>
  <c r="AK117" i="47"/>
  <c r="AO253" i="58"/>
  <c r="AP250" i="58"/>
  <c r="AM112" i="47" s="1"/>
  <c r="AL112" i="47"/>
  <c r="W170" i="58"/>
  <c r="AF170" i="58"/>
  <c r="V155" i="58"/>
  <c r="AL114" i="47"/>
  <c r="AP256" i="58"/>
  <c r="AM114" i="47" s="1"/>
  <c r="AD221" i="58"/>
  <c r="AD259" i="58" s="1"/>
  <c r="AA120" i="47" s="1"/>
  <c r="AF164" i="58"/>
  <c r="V152" i="58"/>
  <c r="AH158" i="58"/>
  <c r="AH240" i="58" s="1"/>
  <c r="AH255" i="58" s="1"/>
  <c r="AE116" i="47" s="1"/>
  <c r="U224" i="58"/>
  <c r="U262" i="58" s="1"/>
  <c r="R124" i="47" s="1"/>
  <c r="V190" i="58"/>
  <c r="V201" i="58"/>
  <c r="V178" i="58"/>
  <c r="V212" i="58"/>
  <c r="AD151" i="58"/>
  <c r="W164" i="58"/>
  <c r="AE178" i="58"/>
  <c r="AE190" i="58"/>
  <c r="AE212" i="58"/>
  <c r="AE201" i="58"/>
  <c r="AO263" i="58"/>
  <c r="AK126" i="47"/>
  <c r="AE153" i="58"/>
  <c r="AO249" i="58"/>
  <c r="AK111" i="47"/>
  <c r="AE152" i="58"/>
  <c r="AF162" i="58"/>
  <c r="AD225" i="58"/>
  <c r="AD263" i="58" s="1"/>
  <c r="AA126" i="47" s="1"/>
  <c r="AE202" i="58"/>
  <c r="AE191" i="58"/>
  <c r="AE213" i="58"/>
  <c r="AE179" i="58"/>
  <c r="V191" i="58"/>
  <c r="V202" i="58"/>
  <c r="V213" i="58"/>
  <c r="V179" i="58"/>
  <c r="AO266" i="58"/>
  <c r="AK123" i="47"/>
  <c r="AD235" i="58"/>
  <c r="AD250" i="58" s="1"/>
  <c r="AA112" i="47" s="1"/>
  <c r="AD186" i="58"/>
  <c r="AD208" i="58"/>
  <c r="AD174" i="58"/>
  <c r="AD197" i="58"/>
  <c r="X125" i="60" l="1"/>
  <c r="X124" i="60"/>
  <c r="AO248" i="58"/>
  <c r="AP248" i="58" s="1"/>
  <c r="AM109" i="47" s="1"/>
  <c r="AE241" i="58"/>
  <c r="AE256" i="58" s="1"/>
  <c r="AB114" i="47" s="1"/>
  <c r="N237" i="58"/>
  <c r="N252" i="58" s="1"/>
  <c r="K115" i="47" s="1"/>
  <c r="N234" i="58"/>
  <c r="N249" i="58" s="1"/>
  <c r="K111" i="47" s="1"/>
  <c r="M233" i="58"/>
  <c r="M248" i="58" s="1"/>
  <c r="J109" i="47" s="1"/>
  <c r="AD233" i="58"/>
  <c r="AD248" i="58" s="1"/>
  <c r="AA109" i="47" s="1"/>
  <c r="AE238" i="58"/>
  <c r="AE253" i="58" s="1"/>
  <c r="AB117" i="47" s="1"/>
  <c r="V237" i="58"/>
  <c r="V252" i="58" s="1"/>
  <c r="S115" i="47" s="1"/>
  <c r="N225" i="58"/>
  <c r="N263" i="58" s="1"/>
  <c r="K126" i="47" s="1"/>
  <c r="N222" i="58"/>
  <c r="N260" i="58" s="1"/>
  <c r="K121" i="47" s="1"/>
  <c r="V221" i="58"/>
  <c r="V259" i="58" s="1"/>
  <c r="S120" i="47" s="1"/>
  <c r="AE228" i="58"/>
  <c r="AE266" i="58" s="1"/>
  <c r="AB123" i="47" s="1"/>
  <c r="N221" i="58"/>
  <c r="N259" i="58" s="1"/>
  <c r="K120" i="47" s="1"/>
  <c r="M220" i="58"/>
  <c r="M258" i="58" s="1"/>
  <c r="J118" i="47" s="1"/>
  <c r="N197" i="58"/>
  <c r="N186" i="58"/>
  <c r="N208" i="58"/>
  <c r="N174" i="58"/>
  <c r="N233" i="58" s="1"/>
  <c r="N248" i="58" s="1"/>
  <c r="K109" i="47" s="1"/>
  <c r="N228" i="58"/>
  <c r="N266" i="58" s="1"/>
  <c r="K123" i="47" s="1"/>
  <c r="N224" i="58"/>
  <c r="N262" i="58" s="1"/>
  <c r="K124" i="47" s="1"/>
  <c r="AE225" i="58"/>
  <c r="AE263" i="58" s="1"/>
  <c r="AB126" i="47" s="1"/>
  <c r="V224" i="58"/>
  <c r="V262" i="58" s="1"/>
  <c r="S124" i="47" s="1"/>
  <c r="AE222" i="58"/>
  <c r="AE260" i="58" s="1"/>
  <c r="AB121" i="47" s="1"/>
  <c r="V241" i="58"/>
  <c r="V256" i="58" s="1"/>
  <c r="S114" i="47" s="1"/>
  <c r="Y158" i="58"/>
  <c r="Y240" i="58" s="1"/>
  <c r="Y255" i="58" s="1"/>
  <c r="V116" i="47" s="1"/>
  <c r="AD220" i="58"/>
  <c r="W202" i="58"/>
  <c r="W213" i="58"/>
  <c r="W191" i="58"/>
  <c r="W179" i="58"/>
  <c r="AF152" i="58"/>
  <c r="AP249" i="58"/>
  <c r="AM111" i="47" s="1"/>
  <c r="AL111" i="47"/>
  <c r="AL126" i="47"/>
  <c r="AP263" i="58"/>
  <c r="AM126" i="47" s="1"/>
  <c r="AE237" i="58"/>
  <c r="AE252" i="58" s="1"/>
  <c r="AB115" i="47" s="1"/>
  <c r="X164" i="58"/>
  <c r="AF155" i="58"/>
  <c r="W201" i="58"/>
  <c r="W212" i="58"/>
  <c r="W190" i="58"/>
  <c r="W178" i="58"/>
  <c r="AI158" i="58"/>
  <c r="AI240" i="58" s="1"/>
  <c r="AI255" i="58" s="1"/>
  <c r="AF116" i="47" s="1"/>
  <c r="W152" i="58"/>
  <c r="AG164" i="58"/>
  <c r="AO258" i="58"/>
  <c r="AK118" i="47"/>
  <c r="AF176" i="58"/>
  <c r="AF210" i="58"/>
  <c r="AF199" i="58"/>
  <c r="AF188" i="58"/>
  <c r="V228" i="58"/>
  <c r="V266" i="58" s="1"/>
  <c r="S123" i="47" s="1"/>
  <c r="AP260" i="58"/>
  <c r="AM121" i="47" s="1"/>
  <c r="AL121" i="47"/>
  <c r="U151" i="58"/>
  <c r="U233" i="58" s="1"/>
  <c r="U248" i="58" s="1"/>
  <c r="R109" i="47" s="1"/>
  <c r="AH167" i="58"/>
  <c r="AH166" i="58"/>
  <c r="X163" i="58"/>
  <c r="AE221" i="58"/>
  <c r="AE259" i="58" s="1"/>
  <c r="AB120" i="47" s="1"/>
  <c r="AE234" i="58"/>
  <c r="AE249" i="58" s="1"/>
  <c r="AB111" i="47" s="1"/>
  <c r="V222" i="58"/>
  <c r="V260" i="58" s="1"/>
  <c r="S121" i="47" s="1"/>
  <c r="W210" i="58"/>
  <c r="W188" i="58"/>
  <c r="W199" i="58"/>
  <c r="W176" i="58"/>
  <c r="AE186" i="58"/>
  <c r="AE208" i="58"/>
  <c r="AE174" i="58"/>
  <c r="AE197" i="58"/>
  <c r="AP266" i="58"/>
  <c r="AM123" i="47" s="1"/>
  <c r="AL123" i="47"/>
  <c r="V225" i="58"/>
  <c r="V263" i="58" s="1"/>
  <c r="S126" i="47" s="1"/>
  <c r="AF213" i="58"/>
  <c r="AF202" i="58"/>
  <c r="AF191" i="58"/>
  <c r="AF179" i="58"/>
  <c r="AG162" i="58"/>
  <c r="AF153" i="58"/>
  <c r="AE224" i="58"/>
  <c r="AE262" i="58" s="1"/>
  <c r="AB124" i="47" s="1"/>
  <c r="AF190" i="58"/>
  <c r="AF178" i="58"/>
  <c r="AF212" i="58"/>
  <c r="AF201" i="58"/>
  <c r="AE151" i="58"/>
  <c r="W155" i="58"/>
  <c r="AG170" i="58"/>
  <c r="X170" i="58"/>
  <c r="AP253" i="58"/>
  <c r="AM117" i="47" s="1"/>
  <c r="AL117" i="47"/>
  <c r="Y157" i="58"/>
  <c r="Y239" i="58" s="1"/>
  <c r="Y254" i="58" s="1"/>
  <c r="V110" i="47" s="1"/>
  <c r="W162" i="58"/>
  <c r="X167" i="58"/>
  <c r="X166" i="58"/>
  <c r="V156" i="58"/>
  <c r="V238" i="58" s="1"/>
  <c r="V253" i="58" s="1"/>
  <c r="S117" i="47" s="1"/>
  <c r="AC258" i="58"/>
  <c r="Z118" i="47" s="1"/>
  <c r="AE235" i="58"/>
  <c r="AE250" i="58" s="1"/>
  <c r="AB112" i="47" s="1"/>
  <c r="W216" i="58"/>
  <c r="W205" i="58"/>
  <c r="W194" i="58"/>
  <c r="W182" i="58"/>
  <c r="AG159" i="58"/>
  <c r="AI157" i="58"/>
  <c r="AI239" i="58" s="1"/>
  <c r="AI254" i="58" s="1"/>
  <c r="AF110" i="47" s="1"/>
  <c r="AH163" i="58"/>
  <c r="AF156" i="58"/>
  <c r="V234" i="58"/>
  <c r="V249" i="58" s="1"/>
  <c r="S111" i="47" s="1"/>
  <c r="W209" i="58"/>
  <c r="W187" i="58"/>
  <c r="W198" i="58"/>
  <c r="W175" i="58"/>
  <c r="AF175" i="58"/>
  <c r="AF209" i="58"/>
  <c r="AF187" i="58"/>
  <c r="AF198" i="58"/>
  <c r="V153" i="58"/>
  <c r="V235" i="58" s="1"/>
  <c r="V250" i="58" s="1"/>
  <c r="S112" i="47" s="1"/>
  <c r="W159" i="58"/>
  <c r="U220" i="58"/>
  <c r="V186" i="58"/>
  <c r="V208" i="58"/>
  <c r="V174" i="58"/>
  <c r="V197" i="58"/>
  <c r="AF194" i="58"/>
  <c r="AF216" i="58"/>
  <c r="AF182" i="58"/>
  <c r="AF241" i="58" s="1"/>
  <c r="AF256" i="58" s="1"/>
  <c r="AC114" i="47" s="1"/>
  <c r="AF205" i="58"/>
  <c r="U67" i="47" l="1"/>
  <c r="Y132" i="60"/>
  <c r="AL109" i="47"/>
  <c r="AF234" i="58"/>
  <c r="AF249" i="58" s="1"/>
  <c r="AC111" i="47" s="1"/>
  <c r="AF237" i="58"/>
  <c r="AF252" i="58" s="1"/>
  <c r="AC115" i="47" s="1"/>
  <c r="W234" i="58"/>
  <c r="W249" i="58" s="1"/>
  <c r="T111" i="47" s="1"/>
  <c r="W222" i="58"/>
  <c r="W260" i="58" s="1"/>
  <c r="T121" i="47" s="1"/>
  <c r="N220" i="58"/>
  <c r="N258" i="58" s="1"/>
  <c r="K118" i="47" s="1"/>
  <c r="AF238" i="58"/>
  <c r="AF253" i="58" s="1"/>
  <c r="AC117" i="47" s="1"/>
  <c r="Z158" i="58"/>
  <c r="Z240" i="58" s="1"/>
  <c r="Z255" i="58" s="1"/>
  <c r="W116" i="47" s="1"/>
  <c r="AA158" i="58"/>
  <c r="AA240" i="58" s="1"/>
  <c r="AA255" i="58" s="1"/>
  <c r="X116" i="47" s="1"/>
  <c r="AF228" i="58"/>
  <c r="AF266" i="58" s="1"/>
  <c r="AC123" i="47" s="1"/>
  <c r="AF221" i="58"/>
  <c r="AF259" i="58" s="1"/>
  <c r="AC120" i="47" s="1"/>
  <c r="W221" i="58"/>
  <c r="W259" i="58" s="1"/>
  <c r="T120" i="47" s="1"/>
  <c r="W241" i="58"/>
  <c r="W256" i="58" s="1"/>
  <c r="T114" i="47" s="1"/>
  <c r="AG182" i="58"/>
  <c r="AG241" i="58" s="1"/>
  <c r="AG256" i="58" s="1"/>
  <c r="AD114" i="47" s="1"/>
  <c r="AG216" i="58"/>
  <c r="AG194" i="58"/>
  <c r="AG205" i="58"/>
  <c r="V220" i="58"/>
  <c r="U258" i="58"/>
  <c r="R118" i="47" s="1"/>
  <c r="AG187" i="58"/>
  <c r="AG175" i="58"/>
  <c r="AG209" i="58"/>
  <c r="AG198" i="58"/>
  <c r="W228" i="58"/>
  <c r="W266" i="58" s="1"/>
  <c r="T123" i="47" s="1"/>
  <c r="AF224" i="58"/>
  <c r="AF262" i="58" s="1"/>
  <c r="AC124" i="47" s="1"/>
  <c r="AF225" i="58"/>
  <c r="AF263" i="58" s="1"/>
  <c r="AC126" i="47" s="1"/>
  <c r="AE233" i="58"/>
  <c r="AE248" i="58" s="1"/>
  <c r="AB109" i="47" s="1"/>
  <c r="AE220" i="58"/>
  <c r="AF222" i="58"/>
  <c r="AF260" i="58" s="1"/>
  <c r="AC121" i="47" s="1"/>
  <c r="AG199" i="58"/>
  <c r="AG188" i="58"/>
  <c r="AG176" i="58"/>
  <c r="AG210" i="58"/>
  <c r="AL118" i="47"/>
  <c r="AP258" i="58"/>
  <c r="AM118" i="47" s="1"/>
  <c r="W224" i="58"/>
  <c r="W262" i="58" s="1"/>
  <c r="T124" i="47" s="1"/>
  <c r="AG155" i="58"/>
  <c r="Y164" i="58"/>
  <c r="W225" i="58"/>
  <c r="W263" i="58" s="1"/>
  <c r="T126" i="47" s="1"/>
  <c r="W197" i="58"/>
  <c r="W208" i="58"/>
  <c r="W186" i="58"/>
  <c r="W174" i="58"/>
  <c r="X159" i="58"/>
  <c r="W153" i="58"/>
  <c r="W235" i="58" s="1"/>
  <c r="W250" i="58" s="1"/>
  <c r="T112" i="47" s="1"/>
  <c r="X209" i="58"/>
  <c r="X187" i="58"/>
  <c r="X175" i="58"/>
  <c r="X198" i="58"/>
  <c r="AG156" i="58"/>
  <c r="AI163" i="58"/>
  <c r="AJ157" i="58"/>
  <c r="AJ239" i="58" s="1"/>
  <c r="AJ254" i="58" s="1"/>
  <c r="AG110" i="47" s="1"/>
  <c r="AH159" i="58"/>
  <c r="X205" i="58"/>
  <c r="X216" i="58"/>
  <c r="X194" i="58"/>
  <c r="X182" i="58"/>
  <c r="W156" i="58"/>
  <c r="W238" i="58" s="1"/>
  <c r="W253" i="58" s="1"/>
  <c r="T117" i="47" s="1"/>
  <c r="Y166" i="58"/>
  <c r="Y167" i="58"/>
  <c r="X162" i="58"/>
  <c r="Z157" i="58"/>
  <c r="Z239" i="58" s="1"/>
  <c r="Z254" i="58" s="1"/>
  <c r="W110" i="47" s="1"/>
  <c r="AA157" i="58"/>
  <c r="AA239" i="58" s="1"/>
  <c r="AA254" i="58" s="1"/>
  <c r="X110" i="47" s="1"/>
  <c r="Y170" i="58"/>
  <c r="AH170" i="58"/>
  <c r="X155" i="58"/>
  <c r="AF151" i="58"/>
  <c r="AG178" i="58"/>
  <c r="AG190" i="58"/>
  <c r="AG201" i="58"/>
  <c r="AG212" i="58"/>
  <c r="AG153" i="58"/>
  <c r="AH162" i="58"/>
  <c r="AG191" i="58"/>
  <c r="AG179" i="58"/>
  <c r="AG202" i="58"/>
  <c r="AG213" i="58"/>
  <c r="AF174" i="58"/>
  <c r="AF208" i="58"/>
  <c r="AF186" i="58"/>
  <c r="AF197" i="58"/>
  <c r="X199" i="58"/>
  <c r="X188" i="58"/>
  <c r="X210" i="58"/>
  <c r="X176" i="58"/>
  <c r="Y163" i="58"/>
  <c r="AI166" i="58"/>
  <c r="AI167" i="58"/>
  <c r="V151" i="58"/>
  <c r="V233" i="58" s="1"/>
  <c r="V248" i="58" s="1"/>
  <c r="S109" i="47" s="1"/>
  <c r="AF235" i="58"/>
  <c r="AF250" i="58" s="1"/>
  <c r="AC112" i="47" s="1"/>
  <c r="AH164" i="58"/>
  <c r="X152" i="58"/>
  <c r="AJ158" i="58"/>
  <c r="AJ240" i="58" s="1"/>
  <c r="AJ255" i="58" s="1"/>
  <c r="AG116" i="47" s="1"/>
  <c r="W237" i="58"/>
  <c r="W252" i="58" s="1"/>
  <c r="T115" i="47" s="1"/>
  <c r="X201" i="58"/>
  <c r="X212" i="58"/>
  <c r="X190" i="58"/>
  <c r="X178" i="58"/>
  <c r="AG152" i="58"/>
  <c r="X191" i="58"/>
  <c r="X202" i="58"/>
  <c r="X213" i="58"/>
  <c r="X179" i="58"/>
  <c r="AD258" i="58"/>
  <c r="AA118" i="47" s="1"/>
  <c r="Y125" i="60" l="1"/>
  <c r="Y124" i="60"/>
  <c r="AG238" i="58"/>
  <c r="AG253" i="58" s="1"/>
  <c r="AD117" i="47" s="1"/>
  <c r="X237" i="58"/>
  <c r="X252" i="58" s="1"/>
  <c r="U115" i="47" s="1"/>
  <c r="AF220" i="58"/>
  <c r="AF258" i="58" s="1"/>
  <c r="AC118" i="47" s="1"/>
  <c r="AF233" i="58"/>
  <c r="AF248" i="58" s="1"/>
  <c r="AC109" i="47" s="1"/>
  <c r="AG237" i="58"/>
  <c r="AG252" i="58" s="1"/>
  <c r="AD115" i="47" s="1"/>
  <c r="X241" i="58"/>
  <c r="X256" i="58" s="1"/>
  <c r="U114" i="47" s="1"/>
  <c r="X228" i="58"/>
  <c r="X266" i="58" s="1"/>
  <c r="U123" i="47" s="1"/>
  <c r="W220" i="58"/>
  <c r="W258" i="58" s="1"/>
  <c r="T118" i="47" s="1"/>
  <c r="Y191" i="58"/>
  <c r="Y202" i="58"/>
  <c r="Y179" i="58"/>
  <c r="Y213" i="58"/>
  <c r="AH152" i="58"/>
  <c r="Y178" i="58"/>
  <c r="Y212" i="58"/>
  <c r="Y190" i="58"/>
  <c r="Y201" i="58"/>
  <c r="AK158" i="58"/>
  <c r="AK240" i="58" s="1"/>
  <c r="AK255" i="58" s="1"/>
  <c r="AH116" i="47" s="1"/>
  <c r="Y152" i="58"/>
  <c r="AI164" i="58"/>
  <c r="AJ167" i="58"/>
  <c r="AJ166" i="58"/>
  <c r="AH202" i="58"/>
  <c r="AH213" i="58"/>
  <c r="AH191" i="58"/>
  <c r="AH179" i="58"/>
  <c r="AG151" i="58"/>
  <c r="Y155" i="58"/>
  <c r="AI170" i="58"/>
  <c r="Z170" i="58"/>
  <c r="AA170" i="58"/>
  <c r="Y162" i="58"/>
  <c r="Z167" i="58"/>
  <c r="AA167" i="58"/>
  <c r="Z166" i="58"/>
  <c r="AA166" i="58"/>
  <c r="X156" i="58"/>
  <c r="X238" i="58" s="1"/>
  <c r="X253" i="58" s="1"/>
  <c r="U117" i="47" s="1"/>
  <c r="Y216" i="58"/>
  <c r="Y182" i="58"/>
  <c r="Y194" i="58"/>
  <c r="Y205" i="58"/>
  <c r="AJ163" i="58"/>
  <c r="X234" i="58"/>
  <c r="X249" i="58" s="1"/>
  <c r="U111" i="47" s="1"/>
  <c r="X153" i="58"/>
  <c r="X235" i="58" s="1"/>
  <c r="X250" i="58" s="1"/>
  <c r="U112" i="47" s="1"/>
  <c r="Y159" i="58"/>
  <c r="X197" i="58"/>
  <c r="X208" i="58"/>
  <c r="X186" i="58"/>
  <c r="X174" i="58"/>
  <c r="Z164" i="58"/>
  <c r="AA164" i="58"/>
  <c r="AH155" i="58"/>
  <c r="AG235" i="58"/>
  <c r="AG250" i="58" s="1"/>
  <c r="AD112" i="47" s="1"/>
  <c r="AG234" i="58"/>
  <c r="AG249" i="58" s="1"/>
  <c r="AD111" i="47" s="1"/>
  <c r="AH198" i="58"/>
  <c r="AH209" i="58"/>
  <c r="AH175" i="58"/>
  <c r="AH187" i="58"/>
  <c r="AG228" i="58"/>
  <c r="AG266" i="58" s="1"/>
  <c r="AD123" i="47" s="1"/>
  <c r="X225" i="58"/>
  <c r="X263" i="58" s="1"/>
  <c r="U126" i="47" s="1"/>
  <c r="X224" i="58"/>
  <c r="X262" i="58" s="1"/>
  <c r="U124" i="47" s="1"/>
  <c r="W151" i="58"/>
  <c r="W233" i="58" s="1"/>
  <c r="W248" i="58" s="1"/>
  <c r="T109" i="47" s="1"/>
  <c r="Z163" i="58"/>
  <c r="AA163" i="58"/>
  <c r="X222" i="58"/>
  <c r="X260" i="58" s="1"/>
  <c r="U121" i="47" s="1"/>
  <c r="Y176" i="58"/>
  <c r="Y188" i="58"/>
  <c r="Y199" i="58"/>
  <c r="Y210" i="58"/>
  <c r="AG197" i="58"/>
  <c r="AG186" i="58"/>
  <c r="AG174" i="58"/>
  <c r="AG208" i="58"/>
  <c r="AG225" i="58"/>
  <c r="AG263" i="58" s="1"/>
  <c r="AD126" i="47" s="1"/>
  <c r="AI162" i="58"/>
  <c r="AH153" i="58"/>
  <c r="AG224" i="58"/>
  <c r="AG262" i="58" s="1"/>
  <c r="AD124" i="47" s="1"/>
  <c r="AH201" i="58"/>
  <c r="AH212" i="58"/>
  <c r="AH190" i="58"/>
  <c r="AH178" i="58"/>
  <c r="AI159" i="58"/>
  <c r="AK157" i="58"/>
  <c r="AK239" i="58" s="1"/>
  <c r="AK254" i="58" s="1"/>
  <c r="AH110" i="47" s="1"/>
  <c r="AH156" i="58"/>
  <c r="X221" i="58"/>
  <c r="X259" i="58" s="1"/>
  <c r="U120" i="47" s="1"/>
  <c r="Y175" i="58"/>
  <c r="Y209" i="58"/>
  <c r="Y198" i="58"/>
  <c r="Y187" i="58"/>
  <c r="AG222" i="58"/>
  <c r="AG260" i="58" s="1"/>
  <c r="AD121" i="47" s="1"/>
  <c r="AH210" i="58"/>
  <c r="AH188" i="58"/>
  <c r="AH176" i="58"/>
  <c r="AH199" i="58"/>
  <c r="AE258" i="58"/>
  <c r="AB118" i="47" s="1"/>
  <c r="AG221" i="58"/>
  <c r="AG259" i="58" s="1"/>
  <c r="AD120" i="47" s="1"/>
  <c r="V258" i="58"/>
  <c r="S118" i="47" s="1"/>
  <c r="AH182" i="58"/>
  <c r="AH241" i="58" s="1"/>
  <c r="AH256" i="58" s="1"/>
  <c r="AE114" i="47" s="1"/>
  <c r="AH205" i="58"/>
  <c r="AH216" i="58"/>
  <c r="AH194" i="58"/>
  <c r="V67" i="47" l="1"/>
  <c r="Z132" i="60"/>
  <c r="Y234" i="58"/>
  <c r="Y249" i="58" s="1"/>
  <c r="V111" i="47" s="1"/>
  <c r="Y237" i="58"/>
  <c r="Y252" i="58" s="1"/>
  <c r="V115" i="47" s="1"/>
  <c r="AH237" i="58"/>
  <c r="AH252" i="58" s="1"/>
  <c r="AE115" i="47" s="1"/>
  <c r="AH234" i="58"/>
  <c r="AH249" i="58" s="1"/>
  <c r="AE111" i="47" s="1"/>
  <c r="AH228" i="58"/>
  <c r="AH266" i="58" s="1"/>
  <c r="AE123" i="47" s="1"/>
  <c r="AG233" i="58"/>
  <c r="AG248" i="58" s="1"/>
  <c r="AD109" i="47" s="1"/>
  <c r="Y228" i="58"/>
  <c r="Y266" i="58" s="1"/>
  <c r="V123" i="47" s="1"/>
  <c r="AH224" i="58"/>
  <c r="AH262" i="58" s="1"/>
  <c r="AE124" i="47" s="1"/>
  <c r="AH235" i="58"/>
  <c r="AH250" i="58" s="1"/>
  <c r="AE112" i="47" s="1"/>
  <c r="Y221" i="58"/>
  <c r="Y259" i="58" s="1"/>
  <c r="V120" i="47" s="1"/>
  <c r="Z187" i="58"/>
  <c r="Z198" i="58"/>
  <c r="Z209" i="58"/>
  <c r="Z175" i="58"/>
  <c r="AI156" i="58"/>
  <c r="AL157" i="58"/>
  <c r="AL239" i="58" s="1"/>
  <c r="AL254" i="58" s="1"/>
  <c r="AI110" i="47" s="1"/>
  <c r="AI178" i="58"/>
  <c r="AI212" i="58"/>
  <c r="AI201" i="58"/>
  <c r="AI190" i="58"/>
  <c r="AI153" i="58"/>
  <c r="Y222" i="58"/>
  <c r="Y260" i="58" s="1"/>
  <c r="V121" i="47" s="1"/>
  <c r="Z188" i="58"/>
  <c r="Z199" i="58"/>
  <c r="Z210" i="58"/>
  <c r="Z176" i="58"/>
  <c r="AH221" i="58"/>
  <c r="AH259" i="58" s="1"/>
  <c r="AE120" i="47" s="1"/>
  <c r="AI175" i="58"/>
  <c r="AI209" i="58"/>
  <c r="AI198" i="58"/>
  <c r="AI187" i="58"/>
  <c r="X220" i="58"/>
  <c r="AK163" i="58"/>
  <c r="Y241" i="58"/>
  <c r="Y256" i="58" s="1"/>
  <c r="V114" i="47" s="1"/>
  <c r="Z194" i="58"/>
  <c r="Z205" i="58"/>
  <c r="Z182" i="58"/>
  <c r="Z216" i="58"/>
  <c r="AJ170" i="58"/>
  <c r="AH225" i="58"/>
  <c r="AH263" i="58" s="1"/>
  <c r="AE126" i="47" s="1"/>
  <c r="AJ164" i="58"/>
  <c r="Y224" i="58"/>
  <c r="Y262" i="58" s="1"/>
  <c r="V124" i="47" s="1"/>
  <c r="AI152" i="58"/>
  <c r="Y225" i="58"/>
  <c r="Y263" i="58" s="1"/>
  <c r="V126" i="47" s="1"/>
  <c r="Z179" i="58"/>
  <c r="Z191" i="58"/>
  <c r="Z213" i="58"/>
  <c r="Z202" i="58"/>
  <c r="AI182" i="58"/>
  <c r="AI241" i="58" s="1"/>
  <c r="AI256" i="58" s="1"/>
  <c r="AF114" i="47" s="1"/>
  <c r="AI194" i="58"/>
  <c r="AI216" i="58"/>
  <c r="AI205" i="58"/>
  <c r="AH222" i="58"/>
  <c r="AH260" i="58" s="1"/>
  <c r="AE121" i="47" s="1"/>
  <c r="AI199" i="58"/>
  <c r="AI176" i="58"/>
  <c r="AI210" i="58"/>
  <c r="AI188" i="58"/>
  <c r="AJ159" i="58"/>
  <c r="AJ162" i="58"/>
  <c r="AG220" i="58"/>
  <c r="AH197" i="58"/>
  <c r="AH174" i="58"/>
  <c r="AH208" i="58"/>
  <c r="AH186" i="58"/>
  <c r="X151" i="58"/>
  <c r="X233" i="58" s="1"/>
  <c r="X248" i="58" s="1"/>
  <c r="U109" i="47" s="1"/>
  <c r="AI155" i="58"/>
  <c r="Y197" i="58"/>
  <c r="Y186" i="58"/>
  <c r="Y208" i="58"/>
  <c r="Y174" i="58"/>
  <c r="Z159" i="58"/>
  <c r="AA159" i="58"/>
  <c r="Y153" i="58"/>
  <c r="Y235" i="58" s="1"/>
  <c r="Y250" i="58" s="1"/>
  <c r="V112" i="47" s="1"/>
  <c r="Y156" i="58"/>
  <c r="Y238" i="58" s="1"/>
  <c r="Y253" i="58" s="1"/>
  <c r="V117" i="47" s="1"/>
  <c r="Z162" i="58"/>
  <c r="AA162" i="58"/>
  <c r="Z155" i="58"/>
  <c r="AA155" i="58"/>
  <c r="AH151" i="58"/>
  <c r="AH238" i="58"/>
  <c r="AH253" i="58" s="1"/>
  <c r="AE117" i="47" s="1"/>
  <c r="AI213" i="58"/>
  <c r="AI191" i="58"/>
  <c r="AI179" i="58"/>
  <c r="AI202" i="58"/>
  <c r="AK166" i="58"/>
  <c r="AK167" i="58"/>
  <c r="Z152" i="58"/>
  <c r="AA152" i="58"/>
  <c r="AL158" i="58"/>
  <c r="AL240" i="58" s="1"/>
  <c r="AL255" i="58" s="1"/>
  <c r="AI116" i="47" s="1"/>
  <c r="Z201" i="58"/>
  <c r="Z212" i="58"/>
  <c r="Z190" i="58"/>
  <c r="Z178" i="58"/>
  <c r="Z125" i="60" l="1"/>
  <c r="Z124" i="60"/>
  <c r="AI238" i="58"/>
  <c r="AI253" i="58" s="1"/>
  <c r="AF117" i="47" s="1"/>
  <c r="Z237" i="58"/>
  <c r="Z252" i="58" s="1"/>
  <c r="W115" i="47" s="1"/>
  <c r="Y220" i="58"/>
  <c r="Y258" i="58" s="1"/>
  <c r="V118" i="47" s="1"/>
  <c r="AH220" i="58"/>
  <c r="AH258" i="58" s="1"/>
  <c r="AE118" i="47" s="1"/>
  <c r="AI235" i="58"/>
  <c r="AI250" i="58" s="1"/>
  <c r="AF112" i="47" s="1"/>
  <c r="Z224" i="58"/>
  <c r="Z262" i="58" s="1"/>
  <c r="W124" i="47" s="1"/>
  <c r="AI222" i="58"/>
  <c r="AI260" i="58" s="1"/>
  <c r="AF121" i="47" s="1"/>
  <c r="AI221" i="58"/>
  <c r="AI259" i="58" s="1"/>
  <c r="AF120" i="47" s="1"/>
  <c r="AH233" i="58"/>
  <c r="AH248" i="58" s="1"/>
  <c r="AE109" i="47" s="1"/>
  <c r="AM158" i="58"/>
  <c r="AM240" i="58" s="1"/>
  <c r="AL167" i="58"/>
  <c r="AL166" i="58"/>
  <c r="AI225" i="58"/>
  <c r="AI263" i="58" s="1"/>
  <c r="AF126" i="47" s="1"/>
  <c r="AJ202" i="58"/>
  <c r="AJ191" i="58"/>
  <c r="AJ179" i="58"/>
  <c r="AJ213" i="58"/>
  <c r="AI151" i="58"/>
  <c r="Z156" i="58"/>
  <c r="Z238" i="58" s="1"/>
  <c r="Z253" i="58" s="1"/>
  <c r="W117" i="47" s="1"/>
  <c r="AA156" i="58"/>
  <c r="Z153" i="58"/>
  <c r="Z235" i="58" s="1"/>
  <c r="Z250" i="58" s="1"/>
  <c r="W112" i="47" s="1"/>
  <c r="AA153" i="58"/>
  <c r="Z186" i="58"/>
  <c r="Z197" i="58"/>
  <c r="Z174" i="58"/>
  <c r="Z208" i="58"/>
  <c r="Y151" i="58"/>
  <c r="Y233" i="58" s="1"/>
  <c r="Y248" i="58" s="1"/>
  <c r="V109" i="47" s="1"/>
  <c r="AI174" i="58"/>
  <c r="AI208" i="58"/>
  <c r="AI197" i="58"/>
  <c r="AI186" i="58"/>
  <c r="AK162" i="58"/>
  <c r="AJ199" i="58"/>
  <c r="AJ188" i="58"/>
  <c r="AJ176" i="58"/>
  <c r="AJ210" i="58"/>
  <c r="AI228" i="58"/>
  <c r="AI266" i="58" s="1"/>
  <c r="AF123" i="47" s="1"/>
  <c r="AJ182" i="58"/>
  <c r="AJ241" i="58" s="1"/>
  <c r="AJ256" i="58" s="1"/>
  <c r="AG114" i="47" s="1"/>
  <c r="AJ205" i="58"/>
  <c r="AJ194" i="58"/>
  <c r="AJ216" i="58"/>
  <c r="AK164" i="58"/>
  <c r="Z241" i="58"/>
  <c r="Z256" i="58" s="1"/>
  <c r="W114" i="47" s="1"/>
  <c r="Z228" i="58"/>
  <c r="Z266" i="58" s="1"/>
  <c r="W123" i="47" s="1"/>
  <c r="AJ175" i="58"/>
  <c r="AJ198" i="58"/>
  <c r="AJ187" i="58"/>
  <c r="AJ209" i="58"/>
  <c r="AA199" i="58"/>
  <c r="AA176" i="58"/>
  <c r="AA210" i="58"/>
  <c r="AA188" i="58"/>
  <c r="AJ153" i="58"/>
  <c r="AI224" i="58"/>
  <c r="AI262" i="58" s="1"/>
  <c r="AF124" i="47" s="1"/>
  <c r="AJ212" i="58"/>
  <c r="AJ201" i="58"/>
  <c r="AJ178" i="58"/>
  <c r="AJ190" i="58"/>
  <c r="AJ156" i="58"/>
  <c r="Z221" i="58"/>
  <c r="Z259" i="58" s="1"/>
  <c r="W120" i="47" s="1"/>
  <c r="AA201" i="58"/>
  <c r="AA190" i="58"/>
  <c r="AA178" i="58"/>
  <c r="AA237" i="58" s="1"/>
  <c r="AA252" i="58" s="1"/>
  <c r="X115" i="47" s="1"/>
  <c r="AA212" i="58"/>
  <c r="AJ155" i="58"/>
  <c r="AG258" i="58"/>
  <c r="AD118" i="47" s="1"/>
  <c r="AK159" i="58"/>
  <c r="Z225" i="58"/>
  <c r="Z263" i="58" s="1"/>
  <c r="W126" i="47" s="1"/>
  <c r="AA202" i="58"/>
  <c r="AA179" i="58"/>
  <c r="AA213" i="58"/>
  <c r="AA191" i="58"/>
  <c r="AJ152" i="58"/>
  <c r="AK170" i="58"/>
  <c r="AA205" i="58"/>
  <c r="AA182" i="58"/>
  <c r="AA241" i="58" s="1"/>
  <c r="AA256" i="58" s="1"/>
  <c r="X114" i="47" s="1"/>
  <c r="AA216" i="58"/>
  <c r="AA194" i="58"/>
  <c r="AL163" i="58"/>
  <c r="X258" i="58"/>
  <c r="U118" i="47" s="1"/>
  <c r="AI234" i="58"/>
  <c r="AI249" i="58" s="1"/>
  <c r="AF111" i="47" s="1"/>
  <c r="Z222" i="58"/>
  <c r="Z260" i="58" s="1"/>
  <c r="W121" i="47" s="1"/>
  <c r="AI237" i="58"/>
  <c r="AI252" i="58" s="1"/>
  <c r="AF115" i="47" s="1"/>
  <c r="AM157" i="58"/>
  <c r="AM239" i="58" s="1"/>
  <c r="Z234" i="58"/>
  <c r="Z249" i="58" s="1"/>
  <c r="W111" i="47" s="1"/>
  <c r="AA198" i="58"/>
  <c r="AA175" i="58"/>
  <c r="AA234" i="58" s="1"/>
  <c r="AA249" i="58" s="1"/>
  <c r="X111" i="47" s="1"/>
  <c r="AA209" i="58"/>
  <c r="AA187" i="58"/>
  <c r="W67" i="47" l="1"/>
  <c r="AA132" i="60"/>
  <c r="AI233" i="58"/>
  <c r="AI248" i="58" s="1"/>
  <c r="AF109" i="47" s="1"/>
  <c r="AA238" i="58"/>
  <c r="AA253" i="58" s="1"/>
  <c r="X117" i="47" s="1"/>
  <c r="AA235" i="58"/>
  <c r="AA250" i="58" s="1"/>
  <c r="X112" i="47" s="1"/>
  <c r="AA228" i="58"/>
  <c r="AA266" i="58" s="1"/>
  <c r="X123" i="47" s="1"/>
  <c r="AA225" i="58"/>
  <c r="AA263" i="58" s="1"/>
  <c r="X126" i="47" s="1"/>
  <c r="AA221" i="58"/>
  <c r="AA259" i="58" s="1"/>
  <c r="X120" i="47" s="1"/>
  <c r="AJ224" i="58"/>
  <c r="AJ262" i="58" s="1"/>
  <c r="AG124" i="47" s="1"/>
  <c r="AA222" i="58"/>
  <c r="AA260" i="58" s="1"/>
  <c r="X121" i="47" s="1"/>
  <c r="AJ221" i="58"/>
  <c r="AJ259" i="58" s="1"/>
  <c r="AG120" i="47" s="1"/>
  <c r="AJ234" i="58"/>
  <c r="AJ249" i="58" s="1"/>
  <c r="AG111" i="47" s="1"/>
  <c r="AN157" i="58"/>
  <c r="AN239" i="58" s="1"/>
  <c r="AL159" i="58"/>
  <c r="AA224" i="58"/>
  <c r="AA262" i="58" s="1"/>
  <c r="X124" i="47" s="1"/>
  <c r="AK156" i="58"/>
  <c r="AJ237" i="58"/>
  <c r="AJ252" i="58" s="1"/>
  <c r="AG115" i="47" s="1"/>
  <c r="AK187" i="58"/>
  <c r="AK209" i="58"/>
  <c r="AK175" i="58"/>
  <c r="AK198" i="58"/>
  <c r="AJ228" i="58"/>
  <c r="AJ266" i="58" s="1"/>
  <c r="AG123" i="47" s="1"/>
  <c r="AJ235" i="58"/>
  <c r="AJ250" i="58" s="1"/>
  <c r="AG112" i="47" s="1"/>
  <c r="AL162" i="58"/>
  <c r="AI220" i="58"/>
  <c r="AJ197" i="58"/>
  <c r="AJ208" i="58"/>
  <c r="AJ174" i="58"/>
  <c r="AJ186" i="58"/>
  <c r="Z220" i="58"/>
  <c r="AJ151" i="58"/>
  <c r="AJ225" i="58"/>
  <c r="AJ263" i="58" s="1"/>
  <c r="AG126" i="47" s="1"/>
  <c r="AK213" i="58"/>
  <c r="AK179" i="58"/>
  <c r="AK202" i="58"/>
  <c r="AK191" i="58"/>
  <c r="AM166" i="58"/>
  <c r="AM167" i="58"/>
  <c r="AN158" i="58"/>
  <c r="AN240" i="58" s="1"/>
  <c r="AM163" i="58"/>
  <c r="AL170" i="58"/>
  <c r="AK152" i="58"/>
  <c r="AK155" i="58"/>
  <c r="AK190" i="58"/>
  <c r="AK178" i="58"/>
  <c r="AK212" i="58"/>
  <c r="AK201" i="58"/>
  <c r="AK153" i="58"/>
  <c r="AL164" i="58"/>
  <c r="AK194" i="58"/>
  <c r="AK205" i="58"/>
  <c r="AK216" i="58"/>
  <c r="AK182" i="58"/>
  <c r="AK241" i="58" s="1"/>
  <c r="AK256" i="58" s="1"/>
  <c r="AH114" i="47" s="1"/>
  <c r="AJ222" i="58"/>
  <c r="AJ260" i="58" s="1"/>
  <c r="AG121" i="47" s="1"/>
  <c r="AK210" i="58"/>
  <c r="AK176" i="58"/>
  <c r="AK188" i="58"/>
  <c r="AK199" i="58"/>
  <c r="Z151" i="58"/>
  <c r="Z233" i="58" s="1"/>
  <c r="Z248" i="58" s="1"/>
  <c r="W109" i="47" s="1"/>
  <c r="AA151" i="58"/>
  <c r="AA197" i="58"/>
  <c r="AA208" i="58"/>
  <c r="AA174" i="58"/>
  <c r="AA186" i="58"/>
  <c r="AJ238" i="58"/>
  <c r="AJ253" i="58" s="1"/>
  <c r="AG117" i="47" s="1"/>
  <c r="AA125" i="60" l="1"/>
  <c r="AA124" i="60"/>
  <c r="AK238" i="58"/>
  <c r="AK253" i="58" s="1"/>
  <c r="AH117" i="47" s="1"/>
  <c r="AK235" i="58"/>
  <c r="AK250" i="58" s="1"/>
  <c r="AH112" i="47" s="1"/>
  <c r="AK237" i="58"/>
  <c r="AK252" i="58" s="1"/>
  <c r="AH115" i="47" s="1"/>
  <c r="AA220" i="58"/>
  <c r="AA258" i="58" s="1"/>
  <c r="X118" i="47" s="1"/>
  <c r="AK225" i="58"/>
  <c r="AK263" i="58" s="1"/>
  <c r="AH126" i="47" s="1"/>
  <c r="AJ220" i="58"/>
  <c r="AJ258" i="58" s="1"/>
  <c r="AG118" i="47" s="1"/>
  <c r="AA233" i="58"/>
  <c r="AA248" i="58" s="1"/>
  <c r="X109" i="47" s="1"/>
  <c r="AK222" i="58"/>
  <c r="AK260" i="58" s="1"/>
  <c r="AH121" i="47" s="1"/>
  <c r="AK228" i="58"/>
  <c r="AK266" i="58" s="1"/>
  <c r="AH123" i="47" s="1"/>
  <c r="AM164" i="58"/>
  <c r="AL153" i="58"/>
  <c r="AL190" i="58"/>
  <c r="AL201" i="58"/>
  <c r="AL178" i="58"/>
  <c r="AL212" i="58"/>
  <c r="AN163" i="58"/>
  <c r="AN167" i="58"/>
  <c r="AN166" i="58"/>
  <c r="AJ233" i="58"/>
  <c r="AJ248" i="58" s="1"/>
  <c r="AG109" i="47" s="1"/>
  <c r="AI258" i="58"/>
  <c r="AF118" i="47" s="1"/>
  <c r="AK234" i="58"/>
  <c r="AK249" i="58" s="1"/>
  <c r="AH111" i="47" s="1"/>
  <c r="AK221" i="58"/>
  <c r="AK259" i="58" s="1"/>
  <c r="AH120" i="47" s="1"/>
  <c r="AM159" i="58"/>
  <c r="AO157" i="58"/>
  <c r="AO239" i="58" s="1"/>
  <c r="AL199" i="58"/>
  <c r="AL176" i="58"/>
  <c r="AL210" i="58"/>
  <c r="AL188" i="58"/>
  <c r="AL194" i="58"/>
  <c r="AL205" i="58"/>
  <c r="AL182" i="58"/>
  <c r="AL241" i="58" s="1"/>
  <c r="AL256" i="58" s="1"/>
  <c r="AI114" i="47" s="1"/>
  <c r="AL216" i="58"/>
  <c r="AK224" i="58"/>
  <c r="AK262" i="58" s="1"/>
  <c r="AH124" i="47" s="1"/>
  <c r="AL155" i="58"/>
  <c r="AL152" i="58"/>
  <c r="AM170" i="58"/>
  <c r="AO158" i="58"/>
  <c r="AO240" i="58" s="1"/>
  <c r="AL202" i="58"/>
  <c r="AL213" i="58"/>
  <c r="AL191" i="58"/>
  <c r="AL179" i="58"/>
  <c r="AK151" i="58"/>
  <c r="Z258" i="58"/>
  <c r="W118" i="47" s="1"/>
  <c r="AK208" i="58"/>
  <c r="AK186" i="58"/>
  <c r="AK174" i="58"/>
  <c r="AK197" i="58"/>
  <c r="AM162" i="58"/>
  <c r="AL187" i="58"/>
  <c r="AL198" i="58"/>
  <c r="AL209" i="58"/>
  <c r="AL175" i="58"/>
  <c r="AL156" i="58"/>
  <c r="X67" i="47" l="1"/>
  <c r="AB132" i="60"/>
  <c r="AL234" i="58"/>
  <c r="AL249" i="58" s="1"/>
  <c r="AI111" i="47" s="1"/>
  <c r="AL235" i="58"/>
  <c r="AL250" i="58" s="1"/>
  <c r="AI112" i="47" s="1"/>
  <c r="AK233" i="58"/>
  <c r="AK248" i="58" s="1"/>
  <c r="AH109" i="47" s="1"/>
  <c r="AL238" i="58"/>
  <c r="AL253" i="58" s="1"/>
  <c r="AI117" i="47" s="1"/>
  <c r="AL228" i="58"/>
  <c r="AL266" i="58" s="1"/>
  <c r="AI123" i="47" s="1"/>
  <c r="AL224" i="58"/>
  <c r="AL262" i="58" s="1"/>
  <c r="AI124" i="47" s="1"/>
  <c r="AL221" i="58"/>
  <c r="AL259" i="58" s="1"/>
  <c r="AI120" i="47" s="1"/>
  <c r="AK220" i="58"/>
  <c r="AL208" i="58"/>
  <c r="AL186" i="58"/>
  <c r="AL197" i="58"/>
  <c r="AL174" i="58"/>
  <c r="AL225" i="58"/>
  <c r="AL263" i="58" s="1"/>
  <c r="AI126" i="47" s="1"/>
  <c r="AP158" i="58"/>
  <c r="AP240" i="58" s="1"/>
  <c r="AM152" i="58"/>
  <c r="AM155" i="58"/>
  <c r="AL222" i="58"/>
  <c r="AL260" i="58" s="1"/>
  <c r="AI121" i="47" s="1"/>
  <c r="AM210" i="58"/>
  <c r="AM176" i="58"/>
  <c r="AM188" i="58"/>
  <c r="AM199" i="58"/>
  <c r="AM190" i="58"/>
  <c r="AM201" i="58"/>
  <c r="AM212" i="58"/>
  <c r="AM178" i="58"/>
  <c r="AN164" i="58"/>
  <c r="AM156" i="58"/>
  <c r="AM187" i="58"/>
  <c r="AM198" i="58"/>
  <c r="AM209" i="58"/>
  <c r="AM175" i="58"/>
  <c r="AN162" i="58"/>
  <c r="AL151" i="58"/>
  <c r="AM191" i="58"/>
  <c r="AM179" i="58"/>
  <c r="AM202" i="58"/>
  <c r="AM213" i="58"/>
  <c r="AN170" i="58"/>
  <c r="AM205" i="58"/>
  <c r="AM216" i="58"/>
  <c r="AM194" i="58"/>
  <c r="AM182" i="58"/>
  <c r="AM241" i="58" s="1"/>
  <c r="AP157" i="58"/>
  <c r="AP239" i="58" s="1"/>
  <c r="AN159" i="58"/>
  <c r="AO166" i="58"/>
  <c r="AO167" i="58"/>
  <c r="AO163" i="58"/>
  <c r="AL237" i="58"/>
  <c r="AL252" i="58" s="1"/>
  <c r="AI115" i="47" s="1"/>
  <c r="AM153" i="58"/>
  <c r="AB125" i="60" l="1"/>
  <c r="AB124" i="60"/>
  <c r="AM237" i="58"/>
  <c r="AM238" i="58"/>
  <c r="AL220" i="58"/>
  <c r="AL258" i="58" s="1"/>
  <c r="AI118" i="47" s="1"/>
  <c r="AM234" i="58"/>
  <c r="AO159" i="58"/>
  <c r="AQ157" i="58"/>
  <c r="AQ239" i="58" s="1"/>
  <c r="AM254" i="58" s="1"/>
  <c r="AJ110" i="47" s="1"/>
  <c r="AN182" i="58"/>
  <c r="AN241" i="58" s="1"/>
  <c r="AN216" i="58"/>
  <c r="AN205" i="58"/>
  <c r="AN194" i="58"/>
  <c r="AO170" i="58"/>
  <c r="AM151" i="58"/>
  <c r="AN209" i="58"/>
  <c r="AN198" i="58"/>
  <c r="AN175" i="58"/>
  <c r="AN187" i="58"/>
  <c r="AO164" i="58"/>
  <c r="AM224" i="58"/>
  <c r="AM235" i="58"/>
  <c r="AN176" i="58"/>
  <c r="AN188" i="58"/>
  <c r="AN210" i="58"/>
  <c r="AN199" i="58"/>
  <c r="AN155" i="58"/>
  <c r="AN152" i="58"/>
  <c r="AQ158" i="58"/>
  <c r="AQ240" i="58" s="1"/>
  <c r="AM255" i="58" s="1"/>
  <c r="AJ116" i="47" s="1"/>
  <c r="AK258" i="58"/>
  <c r="AH118" i="47" s="1"/>
  <c r="AN153" i="58"/>
  <c r="AP163" i="58"/>
  <c r="AP167" i="58"/>
  <c r="AP166" i="58"/>
  <c r="AM228" i="58"/>
  <c r="AM225" i="58"/>
  <c r="AN179" i="58"/>
  <c r="AN191" i="58"/>
  <c r="AN213" i="58"/>
  <c r="AN202" i="58"/>
  <c r="AO162" i="58"/>
  <c r="AM221" i="58"/>
  <c r="AN156" i="58"/>
  <c r="AN190" i="58"/>
  <c r="AN212" i="58"/>
  <c r="AN178" i="58"/>
  <c r="AN201" i="58"/>
  <c r="AM222" i="58"/>
  <c r="AL233" i="58"/>
  <c r="AL248" i="58" s="1"/>
  <c r="AI109" i="47" s="1"/>
  <c r="AM186" i="58"/>
  <c r="AM208" i="58"/>
  <c r="AM197" i="58"/>
  <c r="AM174" i="58"/>
  <c r="Y67" i="47" l="1"/>
  <c r="AC132" i="60"/>
  <c r="AN237" i="58"/>
  <c r="AM233" i="58"/>
  <c r="AN234" i="58"/>
  <c r="AN228" i="58"/>
  <c r="AN224" i="58"/>
  <c r="AN238" i="58"/>
  <c r="AM220" i="58"/>
  <c r="AO212" i="58"/>
  <c r="AO178" i="58"/>
  <c r="AO190" i="58"/>
  <c r="AO201" i="58"/>
  <c r="AN225" i="58"/>
  <c r="AO179" i="58"/>
  <c r="AO213" i="58"/>
  <c r="AO202" i="58"/>
  <c r="AO191" i="58"/>
  <c r="AQ166" i="58"/>
  <c r="AQ167" i="58"/>
  <c r="AQ163" i="58"/>
  <c r="AN235" i="58"/>
  <c r="AN221" i="58"/>
  <c r="AO209" i="58"/>
  <c r="AO187" i="58"/>
  <c r="AO175" i="58"/>
  <c r="AO198" i="58"/>
  <c r="AP170" i="58"/>
  <c r="AR157" i="58"/>
  <c r="AR239" i="58" s="1"/>
  <c r="AP159" i="58"/>
  <c r="AN174" i="58"/>
  <c r="AN186" i="58"/>
  <c r="AN208" i="58"/>
  <c r="AN197" i="58"/>
  <c r="AO156" i="58"/>
  <c r="AP162" i="58"/>
  <c r="AO153" i="58"/>
  <c r="AR158" i="58"/>
  <c r="AR240" i="58" s="1"/>
  <c r="AO152" i="58"/>
  <c r="AO155" i="58"/>
  <c r="AN222" i="58"/>
  <c r="AO188" i="58"/>
  <c r="AO199" i="58"/>
  <c r="AO176" i="58"/>
  <c r="AO210" i="58"/>
  <c r="AP164" i="58"/>
  <c r="AN151" i="58"/>
  <c r="AO182" i="58"/>
  <c r="AO241" i="58" s="1"/>
  <c r="AO194" i="58"/>
  <c r="AO216" i="58"/>
  <c r="AO205" i="58"/>
  <c r="AC125" i="60" l="1"/>
  <c r="AC124" i="60"/>
  <c r="AO235" i="58"/>
  <c r="AO224" i="58"/>
  <c r="AO222" i="58"/>
  <c r="AO151" i="58"/>
  <c r="AP188" i="58"/>
  <c r="AP199" i="58"/>
  <c r="AP176" i="58"/>
  <c r="AP210" i="58"/>
  <c r="AP155" i="58"/>
  <c r="AP152" i="58"/>
  <c r="AS158" i="58"/>
  <c r="AS240" i="58" s="1"/>
  <c r="AP153" i="58"/>
  <c r="AP156" i="58"/>
  <c r="AN220" i="58"/>
  <c r="AO174" i="58"/>
  <c r="AO208" i="58"/>
  <c r="AO186" i="58"/>
  <c r="AO197" i="58"/>
  <c r="AQ170" i="58"/>
  <c r="AO234" i="58"/>
  <c r="AO225" i="58"/>
  <c r="AP202" i="58"/>
  <c r="AP213" i="58"/>
  <c r="AP179" i="58"/>
  <c r="AP191" i="58"/>
  <c r="AO237" i="58"/>
  <c r="AP201" i="58"/>
  <c r="AP178" i="58"/>
  <c r="AP212" i="58"/>
  <c r="AP190" i="58"/>
  <c r="AO228" i="58"/>
  <c r="AP216" i="58"/>
  <c r="AP194" i="58"/>
  <c r="AP205" i="58"/>
  <c r="AP182" i="58"/>
  <c r="AP241" i="58" s="1"/>
  <c r="AQ164" i="58"/>
  <c r="AQ162" i="58"/>
  <c r="AN233" i="58"/>
  <c r="AQ159" i="58"/>
  <c r="AS157" i="58"/>
  <c r="AS239" i="58" s="1"/>
  <c r="AO221" i="58"/>
  <c r="AP198" i="58"/>
  <c r="AP175" i="58"/>
  <c r="AP187" i="58"/>
  <c r="AP209" i="58"/>
  <c r="AR163" i="58"/>
  <c r="AR167" i="58"/>
  <c r="AR166" i="58"/>
  <c r="AO238" i="58"/>
  <c r="AD132" i="60" l="1"/>
  <c r="Z67" i="47"/>
  <c r="AP237" i="58"/>
  <c r="AO233" i="58"/>
  <c r="AP234" i="58"/>
  <c r="AP238" i="58"/>
  <c r="AS166" i="58"/>
  <c r="AS167" i="58"/>
  <c r="AS163" i="58"/>
  <c r="AP221" i="58"/>
  <c r="AP228" i="58"/>
  <c r="AQ194" i="58"/>
  <c r="AQ182" i="58"/>
  <c r="AQ241" i="58" s="1"/>
  <c r="AM256" i="58" s="1"/>
  <c r="AJ114" i="47" s="1"/>
  <c r="AQ216" i="58"/>
  <c r="AQ205" i="58"/>
  <c r="AP224" i="58"/>
  <c r="AQ212" i="58"/>
  <c r="AQ201" i="58"/>
  <c r="AQ178" i="58"/>
  <c r="AQ190" i="58"/>
  <c r="AP225" i="58"/>
  <c r="AQ179" i="58"/>
  <c r="AQ191" i="58"/>
  <c r="AQ213" i="58"/>
  <c r="AQ202" i="58"/>
  <c r="AR170" i="58"/>
  <c r="AO220" i="58"/>
  <c r="AP235" i="58"/>
  <c r="AP222" i="58"/>
  <c r="AP151" i="58"/>
  <c r="AQ175" i="58"/>
  <c r="AQ209" i="58"/>
  <c r="AQ198" i="58"/>
  <c r="AQ187" i="58"/>
  <c r="AT157" i="58"/>
  <c r="AT239" i="58" s="1"/>
  <c r="AU157" i="58"/>
  <c r="AU239" i="58" s="1"/>
  <c r="AR159" i="58"/>
  <c r="AR162" i="58"/>
  <c r="AR164" i="58"/>
  <c r="AP186" i="58"/>
  <c r="AP197" i="58"/>
  <c r="AP174" i="58"/>
  <c r="AP208" i="58"/>
  <c r="AQ156" i="58"/>
  <c r="AQ153" i="58"/>
  <c r="AT158" i="58"/>
  <c r="AT240" i="58" s="1"/>
  <c r="AU158" i="58"/>
  <c r="AU240" i="58" s="1"/>
  <c r="AQ152" i="58"/>
  <c r="AQ155" i="58"/>
  <c r="AQ176" i="58"/>
  <c r="AQ210" i="58"/>
  <c r="AQ199" i="58"/>
  <c r="AQ188" i="58"/>
  <c r="AD125" i="60" l="1"/>
  <c r="AD124" i="60"/>
  <c r="AP233" i="58"/>
  <c r="AQ224" i="58"/>
  <c r="AM262" i="58" s="1"/>
  <c r="AJ124" i="47" s="1"/>
  <c r="AQ235" i="58"/>
  <c r="AM250" i="58" s="1"/>
  <c r="AJ112" i="47" s="1"/>
  <c r="AQ234" i="58"/>
  <c r="AM249" i="58" s="1"/>
  <c r="AJ111" i="47" s="1"/>
  <c r="AQ222" i="58"/>
  <c r="AM260" i="58" s="1"/>
  <c r="AJ121" i="47" s="1"/>
  <c r="AR199" i="58"/>
  <c r="AR176" i="58"/>
  <c r="AR210" i="58"/>
  <c r="AR188" i="58"/>
  <c r="AP220" i="58"/>
  <c r="AS159" i="58"/>
  <c r="AQ221" i="58"/>
  <c r="AM259" i="58" s="1"/>
  <c r="AJ120" i="47" s="1"/>
  <c r="AR175" i="58"/>
  <c r="AR198" i="58"/>
  <c r="AR209" i="58"/>
  <c r="AR187" i="58"/>
  <c r="AS170" i="58"/>
  <c r="AQ238" i="58"/>
  <c r="AM253" i="58" s="1"/>
  <c r="AJ117" i="47" s="1"/>
  <c r="AQ237" i="58"/>
  <c r="AM252" i="58" s="1"/>
  <c r="AJ115" i="47" s="1"/>
  <c r="AQ228" i="58"/>
  <c r="AM266" i="58" s="1"/>
  <c r="AJ123" i="47" s="1"/>
  <c r="AR155" i="58"/>
  <c r="AR152" i="58"/>
  <c r="AR153" i="58"/>
  <c r="AR156" i="58"/>
  <c r="AQ174" i="58"/>
  <c r="AQ208" i="58"/>
  <c r="AQ186" i="58"/>
  <c r="AQ197" i="58"/>
  <c r="AS164" i="58"/>
  <c r="AS162" i="58"/>
  <c r="AQ151" i="58"/>
  <c r="AQ225" i="58"/>
  <c r="AM263" i="58" s="1"/>
  <c r="AJ126" i="47" s="1"/>
  <c r="AR179" i="58"/>
  <c r="AR202" i="58"/>
  <c r="AR213" i="58"/>
  <c r="AR191" i="58"/>
  <c r="AR178" i="58"/>
  <c r="AR212" i="58"/>
  <c r="AR201" i="58"/>
  <c r="AR190" i="58"/>
  <c r="AR216" i="58"/>
  <c r="AR194" i="58"/>
  <c r="AR182" i="58"/>
  <c r="AR241" i="58" s="1"/>
  <c r="AR205" i="58"/>
  <c r="AU163" i="58"/>
  <c r="AT163" i="58"/>
  <c r="AU167" i="58"/>
  <c r="AT167" i="58"/>
  <c r="AU166" i="58"/>
  <c r="AT166" i="58"/>
  <c r="AA67" i="47" l="1"/>
  <c r="AE132" i="60"/>
  <c r="AR237" i="58"/>
  <c r="AR238" i="58"/>
  <c r="AQ220" i="58"/>
  <c r="AM258" i="58" s="1"/>
  <c r="AJ118" i="47" s="1"/>
  <c r="AR224" i="58"/>
  <c r="AR221" i="58"/>
  <c r="AR228" i="58"/>
  <c r="AS182" i="58"/>
  <c r="AS241" i="58" s="1"/>
  <c r="AS216" i="58"/>
  <c r="AS205" i="58"/>
  <c r="AS194" i="58"/>
  <c r="AR225" i="58"/>
  <c r="AS179" i="58"/>
  <c r="AS213" i="58"/>
  <c r="AS202" i="58"/>
  <c r="AS191" i="58"/>
  <c r="AR151" i="58"/>
  <c r="AR197" i="58"/>
  <c r="AR208" i="58"/>
  <c r="AR186" i="58"/>
  <c r="AR174" i="58"/>
  <c r="AR233" i="58" s="1"/>
  <c r="AR234" i="58"/>
  <c r="AR222" i="58"/>
  <c r="AR235" i="58"/>
  <c r="AS188" i="58"/>
  <c r="AS176" i="58"/>
  <c r="AS210" i="58"/>
  <c r="AS199" i="58"/>
  <c r="AS178" i="58"/>
  <c r="AS212" i="58"/>
  <c r="AS201" i="58"/>
  <c r="AS190" i="58"/>
  <c r="AU162" i="58"/>
  <c r="AT162" i="58"/>
  <c r="AU164" i="58"/>
  <c r="AT164" i="58"/>
  <c r="AQ233" i="58"/>
  <c r="AM248" i="58" s="1"/>
  <c r="AJ109" i="47" s="1"/>
  <c r="AS156" i="58"/>
  <c r="AS153" i="58"/>
  <c r="AS152" i="58"/>
  <c r="AS155" i="58"/>
  <c r="AU170" i="58"/>
  <c r="AT170" i="58"/>
  <c r="AS175" i="58"/>
  <c r="AS209" i="58"/>
  <c r="AS198" i="58"/>
  <c r="AS187" i="58"/>
  <c r="AT159" i="58"/>
  <c r="AU159" i="58"/>
  <c r="AE125" i="60" l="1"/>
  <c r="AE124" i="60" s="1"/>
  <c r="AS234" i="58"/>
  <c r="AS237" i="58"/>
  <c r="AS235" i="58"/>
  <c r="AS238" i="58"/>
  <c r="AS221" i="58"/>
  <c r="AT209" i="58"/>
  <c r="AT187" i="58"/>
  <c r="AT198" i="58"/>
  <c r="AT175" i="58"/>
  <c r="AS224" i="58"/>
  <c r="AT201" i="58"/>
  <c r="AT212" i="58"/>
  <c r="AT190" i="58"/>
  <c r="AT178" i="58"/>
  <c r="AS222" i="58"/>
  <c r="AR220" i="58"/>
  <c r="AS151" i="58"/>
  <c r="AS225" i="58"/>
  <c r="AT213" i="58"/>
  <c r="AT191" i="58"/>
  <c r="AT179" i="58"/>
  <c r="AT202" i="58"/>
  <c r="AS228" i="58"/>
  <c r="AT216" i="58"/>
  <c r="AT205" i="58"/>
  <c r="AT194" i="58"/>
  <c r="AT182" i="58"/>
  <c r="AT241" i="58" s="1"/>
  <c r="AT155" i="58"/>
  <c r="AU155" i="58"/>
  <c r="AT152" i="58"/>
  <c r="AU152" i="58"/>
  <c r="AT153" i="58"/>
  <c r="AU153" i="58"/>
  <c r="AT156" i="58"/>
  <c r="AU156" i="58"/>
  <c r="AT210" i="58"/>
  <c r="AT199" i="58"/>
  <c r="AT188" i="58"/>
  <c r="AT176" i="58"/>
  <c r="AS174" i="58"/>
  <c r="AS208" i="58"/>
  <c r="AS197" i="58"/>
  <c r="AS186" i="58"/>
  <c r="AF132" i="60" l="1"/>
  <c r="AB67" i="47"/>
  <c r="AS233" i="58"/>
  <c r="AT235" i="58"/>
  <c r="AT228" i="58"/>
  <c r="AT224" i="58"/>
  <c r="AS220" i="58"/>
  <c r="AT197" i="58"/>
  <c r="AT186" i="58"/>
  <c r="AT208" i="58"/>
  <c r="AT174" i="58"/>
  <c r="AT222" i="58"/>
  <c r="AU182" i="58"/>
  <c r="AU241" i="58" s="1"/>
  <c r="AU205" i="58"/>
  <c r="AU194" i="58"/>
  <c r="AU216" i="58"/>
  <c r="AT225" i="58"/>
  <c r="AU202" i="58"/>
  <c r="AU179" i="58"/>
  <c r="AU238" i="58" s="1"/>
  <c r="AU191" i="58"/>
  <c r="AU213" i="58"/>
  <c r="AT151" i="58"/>
  <c r="AU151" i="58"/>
  <c r="AT237" i="58"/>
  <c r="AU201" i="58"/>
  <c r="AU178" i="58"/>
  <c r="AU237" i="58" s="1"/>
  <c r="AU190" i="58"/>
  <c r="AU212" i="58"/>
  <c r="AT234" i="58"/>
  <c r="AT221" i="58"/>
  <c r="AU198" i="58"/>
  <c r="AU175" i="58"/>
  <c r="AU234" i="58" s="1"/>
  <c r="AU187" i="58"/>
  <c r="AU209" i="58"/>
  <c r="AU176" i="58"/>
  <c r="AU235" i="58" s="1"/>
  <c r="AU199" i="58"/>
  <c r="AU188" i="58"/>
  <c r="AU210" i="58"/>
  <c r="AT238" i="58"/>
  <c r="AF125" i="60" l="1"/>
  <c r="AF124" i="60" s="1"/>
  <c r="AU228" i="58"/>
  <c r="AT233" i="58"/>
  <c r="AT220" i="58"/>
  <c r="AU197" i="58"/>
  <c r="AU174" i="58"/>
  <c r="AU233" i="58" s="1"/>
  <c r="AU186" i="58"/>
  <c r="AU208" i="58"/>
  <c r="AU222" i="58"/>
  <c r="AU221" i="58"/>
  <c r="AU224" i="58"/>
  <c r="AU225" i="58"/>
  <c r="AG132" i="60" l="1"/>
  <c r="AC67" i="47"/>
  <c r="AU220" i="58"/>
  <c r="AG125" i="60" l="1"/>
  <c r="AG124" i="60" s="1"/>
  <c r="G59" i="58"/>
  <c r="E59" i="58" s="1"/>
  <c r="F73" i="58" s="1"/>
  <c r="AD67" i="47" l="1"/>
  <c r="AH132" i="60"/>
  <c r="O73" i="58" a="1"/>
  <c r="O73" i="58" s="1"/>
  <c r="O165" i="58" s="1"/>
  <c r="K73" i="58" a="1"/>
  <c r="K73" i="58" s="1"/>
  <c r="K165" i="58" s="1"/>
  <c r="G73" i="58"/>
  <c r="F84" i="58"/>
  <c r="AH125" i="60" l="1"/>
  <c r="AH124" i="60" s="1"/>
  <c r="L73" i="58" a="1"/>
  <c r="L73" i="58" s="1"/>
  <c r="M73" i="58" s="1" a="1"/>
  <c r="M73" i="58" s="1"/>
  <c r="N73" i="58" s="1" a="1"/>
  <c r="N73" i="58" s="1"/>
  <c r="O84" i="58" a="1"/>
  <c r="O84" i="58" s="1"/>
  <c r="K84" i="58" a="1"/>
  <c r="K84" i="58" s="1"/>
  <c r="L84" i="58" s="1" a="1"/>
  <c r="L84" i="58" s="1"/>
  <c r="M84" i="58" s="1" a="1"/>
  <c r="M84" i="58" s="1"/>
  <c r="N84" i="58" s="1" a="1"/>
  <c r="N84" i="58" s="1"/>
  <c r="H73" i="58"/>
  <c r="P73" i="58" a="1"/>
  <c r="P73" i="58" s="1"/>
  <c r="Q73" i="58" s="1" a="1"/>
  <c r="Q73" i="58" s="1"/>
  <c r="R73" i="58" a="1"/>
  <c r="R73" i="58" s="1"/>
  <c r="R165" i="58" s="1"/>
  <c r="F95" i="58"/>
  <c r="G84" i="58"/>
  <c r="AI132" i="60" l="1"/>
  <c r="AE67" i="47"/>
  <c r="O95" i="58" a="1"/>
  <c r="O95" i="58" s="1"/>
  <c r="O154" i="58" s="1"/>
  <c r="K95" i="58" a="1"/>
  <c r="K95" i="58" s="1"/>
  <c r="K154" i="58" s="1"/>
  <c r="H84" i="58"/>
  <c r="P84" i="58" a="1"/>
  <c r="P84" i="58" s="1"/>
  <c r="Q84" i="58" s="1" a="1"/>
  <c r="Q84" i="58" s="1"/>
  <c r="R84" i="58" a="1"/>
  <c r="R84" i="58" s="1"/>
  <c r="S73" i="58" a="1"/>
  <c r="S73" i="58" s="1"/>
  <c r="T73" i="58" s="1" a="1"/>
  <c r="T73" i="58" s="1"/>
  <c r="U73" i="58" s="1" a="1"/>
  <c r="U73" i="58" s="1"/>
  <c r="V73" i="58" s="1" a="1"/>
  <c r="V73" i="58" s="1"/>
  <c r="W73" i="58" s="1" a="1"/>
  <c r="W73" i="58" s="1"/>
  <c r="X73" i="58" s="1" a="1"/>
  <c r="X73" i="58" s="1"/>
  <c r="Y73" i="58" s="1" a="1"/>
  <c r="Y73" i="58" s="1"/>
  <c r="Z73" i="58" s="1" a="1"/>
  <c r="Z73" i="58" s="1"/>
  <c r="AA73" i="58" s="1" a="1"/>
  <c r="AA73" i="58" s="1"/>
  <c r="AB73" i="58" a="1"/>
  <c r="AB73" i="58" s="1"/>
  <c r="AB165" i="58" s="1"/>
  <c r="L211" i="58"/>
  <c r="L200" i="58"/>
  <c r="L189" i="58"/>
  <c r="L177" i="58"/>
  <c r="G95" i="58"/>
  <c r="I73" i="58"/>
  <c r="L165" i="58"/>
  <c r="K177" i="58"/>
  <c r="K211" i="58"/>
  <c r="K189" i="58"/>
  <c r="K200" i="58"/>
  <c r="O211" i="58"/>
  <c r="O177" i="58"/>
  <c r="O189" i="58"/>
  <c r="O200" i="58"/>
  <c r="Q165" i="58"/>
  <c r="P165" i="58"/>
  <c r="AI125" i="60" l="1"/>
  <c r="AI124" i="60" s="1"/>
  <c r="L95" i="58" a="1"/>
  <c r="L95" i="58" s="1"/>
  <c r="M95" i="58" s="1" a="1"/>
  <c r="M95" i="58" s="1"/>
  <c r="N95" i="58" s="1" a="1"/>
  <c r="N95" i="58" s="1"/>
  <c r="S84" i="58" a="1"/>
  <c r="S84" i="58" s="1"/>
  <c r="T84" i="58" s="1" a="1"/>
  <c r="T84" i="58" s="1"/>
  <c r="U84" i="58" s="1" a="1"/>
  <c r="U84" i="58" s="1"/>
  <c r="V84" i="58" s="1" a="1"/>
  <c r="V84" i="58" s="1"/>
  <c r="W84" i="58" s="1" a="1"/>
  <c r="W84" i="58" s="1"/>
  <c r="X84" i="58" s="1" a="1"/>
  <c r="X84" i="58" s="1"/>
  <c r="Y84" i="58" s="1" a="1"/>
  <c r="Y84" i="58" s="1"/>
  <c r="Z84" i="58" s="1" a="1"/>
  <c r="Z84" i="58" s="1"/>
  <c r="AA84" i="58" s="1" a="1"/>
  <c r="AA84" i="58" s="1"/>
  <c r="AB84" i="58" a="1"/>
  <c r="AB84" i="58" s="1"/>
  <c r="H95" i="58"/>
  <c r="P95" i="58" a="1"/>
  <c r="P95" i="58" s="1"/>
  <c r="Q95" i="58" s="1" a="1"/>
  <c r="Q95" i="58" s="1"/>
  <c r="R95" i="58" a="1"/>
  <c r="R95" i="58" s="1"/>
  <c r="R154" i="58" s="1"/>
  <c r="AC73" i="58" a="1"/>
  <c r="AC73" i="58" s="1"/>
  <c r="AC165" i="58" s="1"/>
  <c r="AV73" i="58" a="1"/>
  <c r="AV73" i="58" s="1"/>
  <c r="AV165" i="58" s="1"/>
  <c r="O236" i="58"/>
  <c r="O251" i="58" s="1"/>
  <c r="L113" i="47" s="1"/>
  <c r="K236" i="58"/>
  <c r="K251" i="58" s="1"/>
  <c r="H113" i="47" s="1"/>
  <c r="L223" i="58"/>
  <c r="L261" i="58" s="1"/>
  <c r="I122" i="47" s="1"/>
  <c r="O223" i="58"/>
  <c r="O261" i="58" s="1"/>
  <c r="L122" i="47" s="1"/>
  <c r="K223" i="58"/>
  <c r="K261" i="58" s="1"/>
  <c r="H122" i="47" s="1"/>
  <c r="S165" i="58"/>
  <c r="I84" i="58"/>
  <c r="M165" i="58"/>
  <c r="N165" i="58"/>
  <c r="R177" i="58"/>
  <c r="R189" i="58"/>
  <c r="R211" i="58"/>
  <c r="R200" i="58"/>
  <c r="P211" i="58"/>
  <c r="P200" i="58"/>
  <c r="P177" i="58"/>
  <c r="P189" i="58"/>
  <c r="M211" i="58"/>
  <c r="M189" i="58"/>
  <c r="M177" i="58"/>
  <c r="M200" i="58"/>
  <c r="AF67" i="47" l="1"/>
  <c r="AJ132" i="60"/>
  <c r="L154" i="58"/>
  <c r="L236" i="58" s="1"/>
  <c r="L251" i="58" s="1"/>
  <c r="I113" i="47" s="1"/>
  <c r="P154" i="58"/>
  <c r="AD73" i="58" a="1"/>
  <c r="AD73" i="58" s="1"/>
  <c r="AE73" i="58" s="1" a="1"/>
  <c r="AE73" i="58" s="1"/>
  <c r="AF73" i="58" s="1" a="1"/>
  <c r="AF73" i="58" s="1"/>
  <c r="AG73" i="58" s="1" a="1"/>
  <c r="AG73" i="58" s="1"/>
  <c r="AH73" i="58" s="1" a="1"/>
  <c r="AH73" i="58" s="1"/>
  <c r="AI73" i="58" s="1" a="1"/>
  <c r="AI73" i="58" s="1"/>
  <c r="AJ73" i="58" s="1" a="1"/>
  <c r="AJ73" i="58" s="1"/>
  <c r="AK73" i="58" s="1" a="1"/>
  <c r="AK73" i="58" s="1"/>
  <c r="AL73" i="58" s="1" a="1"/>
  <c r="AL73" i="58" s="1"/>
  <c r="AM73" i="58" s="1" a="1"/>
  <c r="AM73" i="58" s="1"/>
  <c r="AN73" i="58" s="1" a="1"/>
  <c r="AN73" i="58" s="1"/>
  <c r="AO73" i="58" s="1" a="1"/>
  <c r="AO73" i="58" s="1"/>
  <c r="AP73" i="58" s="1" a="1"/>
  <c r="AP73" i="58" s="1"/>
  <c r="AQ73" i="58" s="1" a="1"/>
  <c r="AQ73" i="58" s="1"/>
  <c r="AR73" i="58" s="1" a="1"/>
  <c r="AR73" i="58" s="1"/>
  <c r="AS73" i="58" s="1" a="1"/>
  <c r="AS73" i="58" s="1"/>
  <c r="AT73" i="58" s="1" a="1"/>
  <c r="AT73" i="58" s="1"/>
  <c r="AU73" i="58" s="1" a="1"/>
  <c r="AU73" i="58" s="1"/>
  <c r="S95" i="58" a="1"/>
  <c r="S95" i="58" s="1"/>
  <c r="T95" i="58" s="1" a="1"/>
  <c r="T95" i="58" s="1"/>
  <c r="U95" i="58" s="1" a="1"/>
  <c r="U95" i="58" s="1"/>
  <c r="V95" i="58" s="1" a="1"/>
  <c r="V95" i="58" s="1"/>
  <c r="W95" i="58" s="1" a="1"/>
  <c r="W95" i="58" s="1"/>
  <c r="X95" i="58" s="1" a="1"/>
  <c r="X95" i="58" s="1"/>
  <c r="Y95" i="58" s="1" a="1"/>
  <c r="Y95" i="58" s="1"/>
  <c r="Z95" i="58" s="1" a="1"/>
  <c r="Z95" i="58" s="1"/>
  <c r="AA95" i="58" s="1" a="1"/>
  <c r="AA95" i="58" s="1"/>
  <c r="AB95" i="58" a="1"/>
  <c r="AB95" i="58" s="1"/>
  <c r="AB154" i="58" s="1"/>
  <c r="AC84" i="58" a="1"/>
  <c r="AC84" i="58" s="1"/>
  <c r="AD84" i="58" s="1" a="1"/>
  <c r="AD84" i="58" s="1"/>
  <c r="AE84" i="58" s="1" a="1"/>
  <c r="AE84" i="58" s="1"/>
  <c r="AF84" i="58" s="1" a="1"/>
  <c r="AF84" i="58" s="1"/>
  <c r="AG84" i="58" s="1" a="1"/>
  <c r="AG84" i="58" s="1"/>
  <c r="AH84" i="58" s="1" a="1"/>
  <c r="AH84" i="58" s="1"/>
  <c r="AI84" i="58" s="1" a="1"/>
  <c r="AI84" i="58" s="1"/>
  <c r="AJ84" i="58" s="1" a="1"/>
  <c r="AJ84" i="58" s="1"/>
  <c r="AK84" i="58" s="1" a="1"/>
  <c r="AK84" i="58" s="1"/>
  <c r="AL84" i="58" s="1" a="1"/>
  <c r="AL84" i="58" s="1"/>
  <c r="AM84" i="58" s="1" a="1"/>
  <c r="AM84" i="58" s="1"/>
  <c r="AN84" i="58" s="1" a="1"/>
  <c r="AN84" i="58" s="1"/>
  <c r="AO84" i="58" s="1" a="1"/>
  <c r="AO84" i="58" s="1"/>
  <c r="AP84" i="58" s="1" a="1"/>
  <c r="AP84" i="58" s="1"/>
  <c r="AQ84" i="58" s="1" a="1"/>
  <c r="AQ84" i="58" s="1"/>
  <c r="AR84" i="58" s="1" a="1"/>
  <c r="AR84" i="58" s="1"/>
  <c r="AS84" i="58" s="1" a="1"/>
  <c r="AS84" i="58" s="1"/>
  <c r="AT84" i="58" s="1" a="1"/>
  <c r="AT84" i="58" s="1"/>
  <c r="AU84" i="58" s="1" a="1"/>
  <c r="AU84" i="58" s="1"/>
  <c r="AV84" i="58" a="1"/>
  <c r="AV84" i="58" s="1"/>
  <c r="K245" i="58"/>
  <c r="O245" i="58"/>
  <c r="R236" i="58"/>
  <c r="R251" i="58" s="1"/>
  <c r="O113" i="47" s="1"/>
  <c r="P236" i="58"/>
  <c r="P251" i="58" s="1"/>
  <c r="M113" i="47" s="1"/>
  <c r="P223" i="58"/>
  <c r="P261" i="58" s="1"/>
  <c r="M122" i="47" s="1"/>
  <c r="N154" i="58"/>
  <c r="Q154" i="58"/>
  <c r="M223" i="58"/>
  <c r="Q200" i="58"/>
  <c r="Q211" i="58"/>
  <c r="Q189" i="58"/>
  <c r="Q177" i="58"/>
  <c r="AB189" i="58"/>
  <c r="AB177" i="58"/>
  <c r="AB200" i="58"/>
  <c r="AB211" i="58"/>
  <c r="N200" i="58"/>
  <c r="N189" i="58"/>
  <c r="N177" i="58"/>
  <c r="N211" i="58"/>
  <c r="R223" i="58"/>
  <c r="S189" i="58"/>
  <c r="S200" i="58"/>
  <c r="S211" i="58"/>
  <c r="S177" i="58"/>
  <c r="I95" i="58"/>
  <c r="T165" i="58"/>
  <c r="AJ125" i="60" l="1"/>
  <c r="AJ124" i="60" s="1"/>
  <c r="S154" i="58"/>
  <c r="S236" i="58" s="1"/>
  <c r="S251" i="58" s="1"/>
  <c r="P113" i="47" s="1"/>
  <c r="L245" i="58"/>
  <c r="AC95" i="58" a="1"/>
  <c r="AC95" i="58" s="1"/>
  <c r="AD95" i="58" s="1" a="1"/>
  <c r="AD95" i="58" s="1"/>
  <c r="AV95" i="58" a="1"/>
  <c r="AV95" i="58" s="1"/>
  <c r="AV154" i="58" s="1"/>
  <c r="M154" i="58"/>
  <c r="M236" i="58" s="1"/>
  <c r="M251" i="58" s="1"/>
  <c r="J113" i="47" s="1"/>
  <c r="AD165" i="58"/>
  <c r="P245" i="58"/>
  <c r="N236" i="58"/>
  <c r="N251" i="58" s="1"/>
  <c r="K113" i="47" s="1"/>
  <c r="Q236" i="58"/>
  <c r="Q251" i="58" s="1"/>
  <c r="N113" i="47" s="1"/>
  <c r="T154" i="58"/>
  <c r="Q223" i="58"/>
  <c r="Q261" i="58" s="1"/>
  <c r="N122" i="47" s="1"/>
  <c r="U165" i="58"/>
  <c r="T200" i="58"/>
  <c r="T189" i="58"/>
  <c r="T177" i="58"/>
  <c r="T211" i="58"/>
  <c r="R261" i="58"/>
  <c r="O122" i="47" s="1"/>
  <c r="R245" i="58"/>
  <c r="AB223" i="58"/>
  <c r="AC200" i="58"/>
  <c r="AC211" i="58"/>
  <c r="AC177" i="58"/>
  <c r="AC189" i="58"/>
  <c r="AE165" i="58"/>
  <c r="AV200" i="58"/>
  <c r="AV211" i="58"/>
  <c r="AV177" i="58"/>
  <c r="AV189" i="58"/>
  <c r="S223" i="58"/>
  <c r="N223" i="58"/>
  <c r="AB236" i="58"/>
  <c r="AB251" i="58" s="1"/>
  <c r="Y113" i="47" s="1"/>
  <c r="M261" i="58"/>
  <c r="J122" i="47" s="1"/>
  <c r="AG67" i="47" l="1"/>
  <c r="AK132" i="60"/>
  <c r="AC154" i="58"/>
  <c r="AC236" i="58" s="1"/>
  <c r="AC251" i="58" s="1"/>
  <c r="Z113" i="47" s="1"/>
  <c r="AE95" i="58" a="1"/>
  <c r="AE95" i="58" s="1"/>
  <c r="AF95" i="58" s="1" a="1"/>
  <c r="AF95" i="58" s="1"/>
  <c r="AG95" i="58" s="1" a="1"/>
  <c r="AG95" i="58" s="1"/>
  <c r="AH95" i="58" s="1" a="1"/>
  <c r="AH95" i="58" s="1"/>
  <c r="AI95" i="58" s="1" a="1"/>
  <c r="AI95" i="58" s="1"/>
  <c r="AJ95" i="58" s="1" a="1"/>
  <c r="AJ95" i="58" s="1"/>
  <c r="AK95" i="58" s="1" a="1"/>
  <c r="AK95" i="58" s="1"/>
  <c r="AL95" i="58" s="1" a="1"/>
  <c r="AL95" i="58" s="1"/>
  <c r="AM95" i="58" s="1" a="1"/>
  <c r="AM95" i="58" s="1"/>
  <c r="AN95" i="58" s="1" a="1"/>
  <c r="AN95" i="58" s="1"/>
  <c r="AO95" i="58" s="1" a="1"/>
  <c r="AO95" i="58" s="1"/>
  <c r="AP95" i="58" s="1" a="1"/>
  <c r="AP95" i="58" s="1"/>
  <c r="AQ95" i="58" s="1" a="1"/>
  <c r="AQ95" i="58" s="1"/>
  <c r="AR95" i="58" s="1" a="1"/>
  <c r="AR95" i="58" s="1"/>
  <c r="AS95" i="58" s="1" a="1"/>
  <c r="AS95" i="58" s="1"/>
  <c r="AT95" i="58" s="1" a="1"/>
  <c r="AT95" i="58" s="1"/>
  <c r="AU95" i="58" s="1" a="1"/>
  <c r="AU95" i="58" s="1"/>
  <c r="AD154" i="58"/>
  <c r="M245" i="58"/>
  <c r="T236" i="58"/>
  <c r="T251" i="58" s="1"/>
  <c r="Q113" i="47" s="1"/>
  <c r="AV236" i="58"/>
  <c r="AN251" i="58" s="1"/>
  <c r="AK113" i="47" s="1"/>
  <c r="Q245" i="58"/>
  <c r="AV223" i="58"/>
  <c r="AC223" i="58"/>
  <c r="AC261" i="58" s="1"/>
  <c r="Z122" i="47" s="1"/>
  <c r="N261" i="58"/>
  <c r="K122" i="47" s="1"/>
  <c r="N245" i="58"/>
  <c r="S261" i="58"/>
  <c r="P122" i="47" s="1"/>
  <c r="S245" i="58"/>
  <c r="U154" i="58"/>
  <c r="AB261" i="58"/>
  <c r="Y122" i="47" s="1"/>
  <c r="AB245" i="58"/>
  <c r="V165" i="58"/>
  <c r="AF165" i="58"/>
  <c r="AD177" i="58"/>
  <c r="AD200" i="58"/>
  <c r="AD189" i="58"/>
  <c r="AD211" i="58"/>
  <c r="T223" i="58"/>
  <c r="U189" i="58"/>
  <c r="U211" i="58"/>
  <c r="U177" i="58"/>
  <c r="U200" i="58"/>
  <c r="AK125" i="60" l="1"/>
  <c r="AK124" i="60" s="1"/>
  <c r="AD236" i="58"/>
  <c r="AD251" i="58" s="1"/>
  <c r="AA113" i="47" s="1"/>
  <c r="AV245" i="58"/>
  <c r="AN261" i="58"/>
  <c r="AO261" i="58" s="1"/>
  <c r="AO251" i="58"/>
  <c r="AL113" i="47" s="1"/>
  <c r="AC245" i="58"/>
  <c r="U236" i="58"/>
  <c r="U251" i="58" s="1"/>
  <c r="R113" i="47" s="1"/>
  <c r="U223" i="58"/>
  <c r="T261" i="58"/>
  <c r="Q122" i="47" s="1"/>
  <c r="T245" i="58"/>
  <c r="AD223" i="58"/>
  <c r="AG165" i="58"/>
  <c r="W165" i="58"/>
  <c r="V154" i="58"/>
  <c r="V189" i="58"/>
  <c r="V200" i="58"/>
  <c r="V211" i="58"/>
  <c r="V177" i="58"/>
  <c r="AE177" i="58"/>
  <c r="AE200" i="58"/>
  <c r="AE189" i="58"/>
  <c r="AE211" i="58"/>
  <c r="AE154" i="58"/>
  <c r="AH67" i="47" l="1"/>
  <c r="AL132" i="60"/>
  <c r="AK122" i="47"/>
  <c r="V236" i="58"/>
  <c r="V251" i="58" s="1"/>
  <c r="S113" i="47" s="1"/>
  <c r="AP251" i="58"/>
  <c r="AM113" i="47" s="1"/>
  <c r="AE223" i="58"/>
  <c r="AE261" i="58" s="1"/>
  <c r="AB122" i="47" s="1"/>
  <c r="AE236" i="58"/>
  <c r="AE251" i="58" s="1"/>
  <c r="AB113" i="47" s="1"/>
  <c r="AF154" i="58"/>
  <c r="AF189" i="58"/>
  <c r="AF200" i="58"/>
  <c r="AF177" i="58"/>
  <c r="AF211" i="58"/>
  <c r="V223" i="58"/>
  <c r="W154" i="58"/>
  <c r="X165" i="58"/>
  <c r="AH165" i="58"/>
  <c r="AD261" i="58"/>
  <c r="AA122" i="47" s="1"/>
  <c r="AD245" i="58"/>
  <c r="AP261" i="58"/>
  <c r="AM122" i="47" s="1"/>
  <c r="AL122" i="47"/>
  <c r="W200" i="58"/>
  <c r="W211" i="58"/>
  <c r="W189" i="58"/>
  <c r="W177" i="58"/>
  <c r="U261" i="58"/>
  <c r="R122" i="47" s="1"/>
  <c r="U245" i="58"/>
  <c r="AL125" i="60" l="1"/>
  <c r="AL124" i="60"/>
  <c r="W236" i="58"/>
  <c r="W251" i="58" s="1"/>
  <c r="T113" i="47" s="1"/>
  <c r="AE245" i="58"/>
  <c r="AF236" i="58"/>
  <c r="AF251" i="58" s="1"/>
  <c r="AC113" i="47" s="1"/>
  <c r="W223" i="58"/>
  <c r="W261" i="58" s="1"/>
  <c r="T122" i="47" s="1"/>
  <c r="AI165" i="58"/>
  <c r="Y165" i="58"/>
  <c r="X154" i="58"/>
  <c r="V261" i="58"/>
  <c r="S122" i="47" s="1"/>
  <c r="V245" i="58"/>
  <c r="AF223" i="58"/>
  <c r="AG154" i="58"/>
  <c r="X211" i="58"/>
  <c r="X177" i="58"/>
  <c r="X200" i="58"/>
  <c r="X189" i="58"/>
  <c r="AG200" i="58"/>
  <c r="AG211" i="58"/>
  <c r="AG189" i="58"/>
  <c r="AG177" i="58"/>
  <c r="AI67" i="47" l="1"/>
  <c r="AM132" i="60"/>
  <c r="X236" i="58"/>
  <c r="X251" i="58" s="1"/>
  <c r="U113" i="47" s="1"/>
  <c r="W245" i="58"/>
  <c r="AG236" i="58"/>
  <c r="AG251" i="58" s="1"/>
  <c r="AD113" i="47" s="1"/>
  <c r="AG223" i="58"/>
  <c r="AG261" i="58" s="1"/>
  <c r="AD122" i="47" s="1"/>
  <c r="X223" i="58"/>
  <c r="X261" i="58" s="1"/>
  <c r="U122" i="47" s="1"/>
  <c r="Y177" i="58"/>
  <c r="Y200" i="58"/>
  <c r="Y189" i="58"/>
  <c r="Y211" i="58"/>
  <c r="Y154" i="58"/>
  <c r="Z165" i="58"/>
  <c r="AA165" i="58"/>
  <c r="AH211" i="58"/>
  <c r="AH189" i="58"/>
  <c r="AH200" i="58"/>
  <c r="AH177" i="58"/>
  <c r="AH154" i="58"/>
  <c r="AF261" i="58"/>
  <c r="AC122" i="47" s="1"/>
  <c r="AF245" i="58"/>
  <c r="AJ165" i="58"/>
  <c r="AM125" i="60" l="1"/>
  <c r="AM124" i="60" s="1"/>
  <c r="X245" i="58"/>
  <c r="AG245" i="58"/>
  <c r="AK165" i="58"/>
  <c r="AI154" i="58"/>
  <c r="AH236" i="58"/>
  <c r="AH251" i="58" s="1"/>
  <c r="AE113" i="47" s="1"/>
  <c r="AH223" i="58"/>
  <c r="AI211" i="58"/>
  <c r="AI189" i="58"/>
  <c r="AI177" i="58"/>
  <c r="AI200" i="58"/>
  <c r="Y223" i="58"/>
  <c r="Y236" i="58"/>
  <c r="Y251" i="58" s="1"/>
  <c r="V113" i="47" s="1"/>
  <c r="Z154" i="58"/>
  <c r="AA154" i="58"/>
  <c r="Z189" i="58"/>
  <c r="Z177" i="58"/>
  <c r="Z200" i="58"/>
  <c r="Z211" i="58"/>
  <c r="AJ67" i="47" l="1"/>
  <c r="AN132" i="60"/>
  <c r="Z236" i="58"/>
  <c r="Z251" i="58" s="1"/>
  <c r="W113" i="47" s="1"/>
  <c r="AI236" i="58"/>
  <c r="AI251" i="58" s="1"/>
  <c r="AF113" i="47" s="1"/>
  <c r="Z223" i="58"/>
  <c r="AA200" i="58"/>
  <c r="AA189" i="58"/>
  <c r="AA177" i="58"/>
  <c r="AA236" i="58" s="1"/>
  <c r="AA251" i="58" s="1"/>
  <c r="X113" i="47" s="1"/>
  <c r="AA211" i="58"/>
  <c r="Y261" i="58"/>
  <c r="V122" i="47" s="1"/>
  <c r="Y245" i="58"/>
  <c r="AH261" i="58"/>
  <c r="AE122" i="47" s="1"/>
  <c r="AH245" i="58"/>
  <c r="AJ154" i="58"/>
  <c r="AL165" i="58"/>
  <c r="AI223" i="58"/>
  <c r="AJ200" i="58"/>
  <c r="AJ177" i="58"/>
  <c r="AJ189" i="58"/>
  <c r="AJ211" i="58"/>
  <c r="AN125" i="60" l="1"/>
  <c r="AN124" i="60"/>
  <c r="AO125" i="60"/>
  <c r="AP125" i="60" s="1"/>
  <c r="AJ236" i="58"/>
  <c r="AJ251" i="58" s="1"/>
  <c r="AG113" i="47" s="1"/>
  <c r="AA223" i="58"/>
  <c r="AA261" i="58" s="1"/>
  <c r="X122" i="47" s="1"/>
  <c r="AK189" i="58"/>
  <c r="AK211" i="58"/>
  <c r="AK177" i="58"/>
  <c r="AK200" i="58"/>
  <c r="AM165" i="58"/>
  <c r="AJ223" i="58"/>
  <c r="AI261" i="58"/>
  <c r="AF122" i="47" s="1"/>
  <c r="AI245" i="58"/>
  <c r="AK154" i="58"/>
  <c r="Z261" i="58"/>
  <c r="W122" i="47" s="1"/>
  <c r="Z245" i="58"/>
  <c r="AO124" i="60" l="1"/>
  <c r="AK67" i="47"/>
  <c r="AA245" i="58"/>
  <c r="AL154" i="58"/>
  <c r="AJ261" i="58"/>
  <c r="AG122" i="47" s="1"/>
  <c r="AJ245" i="58"/>
  <c r="AN165" i="58"/>
  <c r="AK236" i="58"/>
  <c r="AK251" i="58" s="1"/>
  <c r="AH113" i="47" s="1"/>
  <c r="AK223" i="58"/>
  <c r="AL189" i="58"/>
  <c r="AL177" i="58"/>
  <c r="AL236" i="58" s="1"/>
  <c r="AL251" i="58" s="1"/>
  <c r="AI113" i="47" s="1"/>
  <c r="AL211" i="58"/>
  <c r="AL200" i="58"/>
  <c r="AL67" i="47" l="1"/>
  <c r="AP124" i="60"/>
  <c r="AM67" i="47" s="1"/>
  <c r="AM211" i="58"/>
  <c r="AM177" i="58"/>
  <c r="AM189" i="58"/>
  <c r="AM200" i="58"/>
  <c r="AL223" i="58"/>
  <c r="AK261" i="58"/>
  <c r="AH122" i="47" s="1"/>
  <c r="AK245" i="58"/>
  <c r="AM154" i="58"/>
  <c r="AO165" i="58"/>
  <c r="AN154" i="58" l="1"/>
  <c r="AL261" i="58"/>
  <c r="AI122" i="47" s="1"/>
  <c r="AL245" i="58"/>
  <c r="AM223" i="58"/>
  <c r="AP165" i="58"/>
  <c r="AM236" i="58"/>
  <c r="AN211" i="58"/>
  <c r="AN177" i="58"/>
  <c r="AN189" i="58"/>
  <c r="AN200" i="58"/>
  <c r="AN236" i="58" l="1"/>
  <c r="AM245" i="58"/>
  <c r="AN223" i="58"/>
  <c r="AN245" i="58" s="1"/>
  <c r="AQ165" i="58"/>
  <c r="AO154" i="58"/>
  <c r="AO200" i="58"/>
  <c r="AO177" i="58"/>
  <c r="AO236" i="58" s="1"/>
  <c r="AO211" i="58"/>
  <c r="AO189" i="58"/>
  <c r="AO223" i="58" l="1"/>
  <c r="AO245" i="58" s="1"/>
  <c r="AP200" i="58"/>
  <c r="AP177" i="58"/>
  <c r="AP211" i="58"/>
  <c r="AP189" i="58"/>
  <c r="AR165" i="58"/>
  <c r="AP154" i="58"/>
  <c r="AP223" i="58" l="1"/>
  <c r="AP236" i="58"/>
  <c r="AQ154" i="58"/>
  <c r="AS165" i="58"/>
  <c r="AQ211" i="58"/>
  <c r="AQ200" i="58"/>
  <c r="AQ177" i="58"/>
  <c r="AQ189" i="58"/>
  <c r="AP245" i="58" l="1"/>
  <c r="AQ223" i="58"/>
  <c r="AM261" i="58" s="1"/>
  <c r="AJ122" i="47" s="1"/>
  <c r="AR177" i="58"/>
  <c r="AR211" i="58"/>
  <c r="AR200" i="58"/>
  <c r="AR189" i="58"/>
  <c r="AU165" i="58"/>
  <c r="AT165" i="58"/>
  <c r="AQ236" i="58"/>
  <c r="AM251" i="58" s="1"/>
  <c r="AJ113" i="47" s="1"/>
  <c r="AR154" i="58"/>
  <c r="AR223" i="58" l="1"/>
  <c r="AS211" i="58"/>
  <c r="AS200" i="58"/>
  <c r="AS189" i="58"/>
  <c r="AS177" i="58"/>
  <c r="AS154" i="58"/>
  <c r="AR236" i="58"/>
  <c r="AQ245" i="58"/>
  <c r="AR245" i="58" l="1"/>
  <c r="AS223" i="58"/>
  <c r="AT154" i="58"/>
  <c r="AU154" i="58"/>
  <c r="AS236" i="58"/>
  <c r="AT211" i="58"/>
  <c r="AT200" i="58"/>
  <c r="AT189" i="58"/>
  <c r="AT177" i="58"/>
  <c r="AT236" i="58" l="1"/>
  <c r="AS245" i="58"/>
  <c r="AT223" i="58"/>
  <c r="AU189" i="58"/>
  <c r="AU211" i="58"/>
  <c r="AU200" i="58"/>
  <c r="AU177" i="58"/>
  <c r="AU236" i="58" s="1"/>
  <c r="AT245" i="58" l="1"/>
  <c r="AU223" i="58"/>
  <c r="AU245" i="58" s="1"/>
  <c r="AN50" i="29" l="1" a="1"/>
  <c r="AN50" i="29" s="1"/>
  <c r="AN47" i="29" a="1"/>
  <c r="AN47" i="29" s="1"/>
  <c r="AN48" i="29" a="1"/>
  <c r="AN48" i="29" s="1"/>
  <c r="AN49" i="29" a="1"/>
  <c r="AN49" i="29" s="1"/>
  <c r="AN51" i="29" a="1"/>
  <c r="AN51" i="29" s="1"/>
  <c r="AO51" i="29" l="1" a="1"/>
  <c r="AO51" i="29" s="1"/>
  <c r="AM51" i="29"/>
  <c r="AJ108" i="47" s="1"/>
  <c r="AK108" i="47"/>
  <c r="AM49" i="29"/>
  <c r="AJ85" i="47" s="1"/>
  <c r="AK85" i="47"/>
  <c r="AO49" i="29" a="1"/>
  <c r="AO49" i="29" s="1"/>
  <c r="AK84" i="47"/>
  <c r="AM48" i="29"/>
  <c r="AJ84" i="47" s="1"/>
  <c r="AO48" i="29" a="1"/>
  <c r="AO48" i="29" s="1"/>
  <c r="AO47" i="29" a="1"/>
  <c r="AO47" i="29" s="1"/>
  <c r="AM47" i="29"/>
  <c r="AJ83" i="47" s="1"/>
  <c r="AK83" i="47"/>
  <c r="AK86" i="47"/>
  <c r="AM50" i="29"/>
  <c r="AJ86" i="47" s="1"/>
  <c r="AO50" i="29" a="1"/>
  <c r="AO50" i="29" s="1"/>
  <c r="AL85" i="47" l="1"/>
  <c r="AP49" i="29" a="1"/>
  <c r="AP49" i="29" s="1"/>
  <c r="AM85" i="47" s="1"/>
  <c r="AP48" i="29" a="1"/>
  <c r="AP48" i="29" s="1"/>
  <c r="AM84" i="47" s="1"/>
  <c r="AL84" i="47"/>
  <c r="AL83" i="47"/>
  <c r="AP47" i="29" a="1"/>
  <c r="AP47" i="29" s="1"/>
  <c r="AM83" i="47" s="1"/>
  <c r="AL86" i="47"/>
  <c r="AP50" i="29" a="1"/>
  <c r="AP50" i="29" s="1"/>
  <c r="AM86" i="47" s="1"/>
  <c r="AP51" i="29" a="1"/>
  <c r="AP51" i="29" s="1"/>
  <c r="AM108" i="47" s="1"/>
  <c r="AL108" i="4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tc={0509BF8D-DB77-4E5F-B7DB-F332DDF88FE0}</author>
    <author>tc={685A3A45-54DC-4C42-A683-FA896CBBDEC9}</author>
  </authors>
  <commentList>
    <comment ref="C7" authorId="0" shapeId="0" xr:uid="{0509BF8D-DB77-4E5F-B7DB-F332DDF88FE0}">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 ref="C42" authorId="1" shapeId="0" xr:uid="{685A3A45-54DC-4C42-A683-FA896CBBDEC9}">
      <text>
        <t>[Threaded comment]
Your version of Excel allows you to read this threaded comment; however, any edits to it will get removed if the file is opened in a newer version of Excel. Learn more: https://go.microsoft.com/fwlink/?linkid=870924
Comment:
    Cells in Blue have been fixed and are not moving to avoid infeasabilities between runs.</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bryce</author>
    <author>Bruno Merven</author>
    <author>tc={D319C864-44FA-4593-900B-F72E63D02616}</author>
  </authors>
  <commentList>
    <comment ref="G11" authorId="0" shapeId="0" xr:uid="{5BF6C685-79E0-4FDC-9D79-C3359D0C9091}">
      <text>
        <r>
          <rPr>
            <b/>
            <sz val="9"/>
            <color indexed="81"/>
            <rFont val="Tahoma"/>
            <family val="2"/>
          </rPr>
          <t>bruno:</t>
        </r>
        <r>
          <rPr>
            <sz val="9"/>
            <color indexed="81"/>
            <rFont val="Tahoma"/>
            <family val="2"/>
          </rPr>
          <t xml:space="preserve">
Made this equal to mining to be consistent with statsSA. This could be reviewed in the future.</t>
        </r>
      </text>
    </comment>
    <comment ref="E41" authorId="1" shapeId="0" xr:uid="{E8478D76-DA85-460E-AE18-F88D6C571A6C}">
      <text>
        <r>
          <rPr>
            <b/>
            <sz val="8"/>
            <color indexed="81"/>
            <rFont val="Tahoma"/>
            <family val="2"/>
          </rPr>
          <t>Bruno Merven:</t>
        </r>
        <r>
          <rPr>
            <sz val="8"/>
            <color indexed="81"/>
            <rFont val="Tahoma"/>
            <family val="2"/>
          </rPr>
          <t xml:space="preserve">
Taken from Leap Inputs sheet of Industry workbook.</t>
        </r>
      </text>
    </comment>
    <comment ref="F41" authorId="1" shapeId="0" xr:uid="{F2CB8C35-A578-46E2-A537-E103E4EE0351}">
      <text>
        <r>
          <rPr>
            <b/>
            <sz val="8"/>
            <color indexed="81"/>
            <rFont val="Tahoma"/>
            <family val="2"/>
          </rPr>
          <t>Bruno Merven:</t>
        </r>
        <r>
          <rPr>
            <sz val="8"/>
            <color indexed="81"/>
            <rFont val="Tahoma"/>
            <family val="2"/>
          </rPr>
          <t xml:space="preserve">
Taken from Leap Inputs sheet of Industry workbook (interpolated).</t>
        </r>
      </text>
    </comment>
    <comment ref="G41" authorId="1" shapeId="0" xr:uid="{D657ADCE-0F86-41BC-9AA7-7D20BAFA6361}">
      <text>
        <r>
          <rPr>
            <b/>
            <sz val="8"/>
            <color indexed="81"/>
            <rFont val="Tahoma"/>
            <family val="2"/>
          </rPr>
          <t>Bruno Merven:</t>
        </r>
        <r>
          <rPr>
            <sz val="8"/>
            <color indexed="81"/>
            <rFont val="Tahoma"/>
            <family val="2"/>
          </rPr>
          <t xml:space="preserve">
guessed for now</t>
        </r>
      </text>
    </comment>
    <comment ref="S41" authorId="2" shapeId="0" xr:uid="{D319C864-44FA-4593-900B-F72E63D02616}">
      <text>
        <t>[Threaded comment]
Your version of Excel allows you to read this threaded comment; however, any edits to it will get removed if the file is opened in a newer version of Excel. Learn more: https://go.microsoft.com/fwlink/?linkid=870924
Comment:
    adjusted to get back to 2019 value in 2021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Bruno Merven</author>
  </authors>
  <commentList>
    <comment ref="E29" authorId="0" shapeId="0" xr:uid="{00000000-0006-0000-1000-000001000000}">
      <text>
        <r>
          <rPr>
            <b/>
            <sz val="8"/>
            <color indexed="81"/>
            <rFont val="Tahoma"/>
            <family val="2"/>
          </rPr>
          <t>Bruno Merven:</t>
        </r>
        <r>
          <rPr>
            <sz val="8"/>
            <color indexed="81"/>
            <rFont val="Tahoma"/>
            <family val="2"/>
          </rPr>
          <t xml:space="preserve">
From MyCS2007</t>
        </r>
      </text>
    </comment>
    <comment ref="F54" authorId="0" shapeId="0" xr:uid="{00000000-0006-0000-1000-000002000000}">
      <text>
        <r>
          <rPr>
            <b/>
            <sz val="8"/>
            <color indexed="81"/>
            <rFont val="Tahoma"/>
            <family val="2"/>
          </rPr>
          <t>Bruno Merven:</t>
        </r>
        <r>
          <rPr>
            <sz val="8"/>
            <color indexed="81"/>
            <rFont val="Tahoma"/>
            <family val="2"/>
          </rPr>
          <t xml:space="preserve">
This needs more work</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bruno merven</author>
    <author>Bryce McCall</author>
    <author>ERC</author>
  </authors>
  <commentList>
    <comment ref="B20" authorId="0" shapeId="0" xr:uid="{D656C3F6-CF1C-4A63-AD04-6438EC1837A4}">
      <text>
        <r>
          <rPr>
            <b/>
            <sz val="9"/>
            <color indexed="81"/>
            <rFont val="Tahoma"/>
            <family val="2"/>
          </rPr>
          <t>bruno merven:</t>
        </r>
        <r>
          <rPr>
            <sz val="9"/>
            <color indexed="81"/>
            <rFont val="Tahoma"/>
            <family val="2"/>
          </rPr>
          <t xml:space="preserve">
historical average</t>
        </r>
      </text>
    </comment>
    <comment ref="M23" authorId="0" shapeId="0" xr:uid="{59A0E19D-30DA-41B4-AF79-8601570C1996}">
      <text>
        <r>
          <rPr>
            <b/>
            <sz val="9"/>
            <color indexed="81"/>
            <rFont val="Tahoma"/>
            <family val="2"/>
          </rPr>
          <t>bruno merven:</t>
        </r>
        <r>
          <rPr>
            <sz val="9"/>
            <color indexed="81"/>
            <rFont val="Tahoma"/>
            <family val="2"/>
          </rPr>
          <t xml:space="preserve">
historical</t>
        </r>
      </text>
    </comment>
    <comment ref="N23" authorId="0" shapeId="0" xr:uid="{3C9AE639-A90E-4698-A71F-B81447E13025}">
      <text>
        <r>
          <rPr>
            <b/>
            <sz val="9"/>
            <color indexed="81"/>
            <rFont val="Tahoma"/>
            <family val="2"/>
          </rPr>
          <t>bruno merven:</t>
        </r>
        <r>
          <rPr>
            <sz val="9"/>
            <color indexed="81"/>
            <rFont val="Tahoma"/>
            <family val="2"/>
          </rPr>
          <t xml:space="preserve">
2 year lag</t>
        </r>
      </text>
    </comment>
    <comment ref="C27" authorId="1" shapeId="0" xr:uid="{31407D39-8A95-4840-AAC8-E0537CBC5432}">
      <text>
        <r>
          <rPr>
            <b/>
            <sz val="9"/>
            <color indexed="81"/>
            <rFont val="Tahoma"/>
            <family val="2"/>
          </rPr>
          <t>Bryce McCall:</t>
        </r>
        <r>
          <rPr>
            <sz val="9"/>
            <color indexed="81"/>
            <rFont val="Tahoma"/>
            <family val="2"/>
          </rPr>
          <t xml:space="preserve">
Adrian is using 20-22% in the commerce EE study with DoE</t>
        </r>
      </text>
    </comment>
    <comment ref="L57" authorId="2" shapeId="0" xr:uid="{9E8A773D-F1A7-41AC-99C9-A0428C6E91C5}">
      <text>
        <r>
          <rPr>
            <b/>
            <sz val="9"/>
            <color indexed="81"/>
            <rFont val="Calibri"/>
            <family val="2"/>
          </rPr>
          <t>ERC:</t>
        </r>
        <r>
          <rPr>
            <sz val="9"/>
            <color indexed="81"/>
            <rFont val="Calibri"/>
            <family val="2"/>
          </rPr>
          <t xml:space="preserve">
Check that this is the right link</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tc={4FE577A9-4244-4BEC-812D-80F0E9CC77F9}</author>
  </authors>
  <commentList>
    <comment ref="F92" authorId="0" shapeId="0" xr:uid="{4FE577A9-4244-4BEC-812D-80F0E9CC77F9}">
      <text>
        <t>[Threaded comment]
Your version of Excel allows you to read this threaded comment; however, any edits to it will get removed if the file is opened in a newer version of Excel. Learn more: https://go.microsoft.com/fwlink/?linkid=870924
Comment:
    Get From Analytica Model</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fadiel</author>
    <author>tc={CA0601F7-21A0-4498-876C-54A2DA111A30}</author>
    <author>tc={D83F73A4-4026-4CA1-8B74-47F3F994A01F}</author>
    <author>Fadiel</author>
    <author>Bruno Merven</author>
  </authors>
  <commentList>
    <comment ref="O10" authorId="0" shapeId="0" xr:uid="{745D0731-7A88-4699-89C7-B4A1D8E2B318}">
      <text>
        <r>
          <rPr>
            <b/>
            <sz val="9"/>
            <color indexed="81"/>
            <rFont val="Tahoma"/>
            <family val="2"/>
          </rPr>
          <t>fadiel:</t>
        </r>
        <r>
          <rPr>
            <sz val="9"/>
            <color indexed="81"/>
            <rFont val="Tahoma"/>
            <family val="2"/>
          </rPr>
          <t xml:space="preserve">
check  NHTS (2013); GHS (2019)</t>
        </r>
      </text>
    </comment>
    <comment ref="G19" authorId="1" shapeId="0" xr:uid="{CA0601F7-21A0-4498-876C-54A2DA111A30}">
      <text>
        <t>[Threaded comment]
Your version of Excel allows you to read this threaded comment; however, any edits to it will get removed if the file is opened in a newer version of Excel. Learn more: https://go.microsoft.com/fwlink/?linkid=870924
Comment:
    needs a proper mapping to RES</t>
      </text>
    </comment>
    <comment ref="E27" authorId="2" shapeId="0" xr:uid="{D83F73A4-4026-4CA1-8B74-47F3F994A01F}">
      <text>
        <t>[Threaded comment]
Your version of Excel allows you to read this threaded comment; however, any edits to it will get removed if the file is opened in a newer version of Excel. Learn more: https://go.microsoft.com/fwlink/?linkid=870924
Comment:
    Added a 2% adjustment factor in order to hit vehicle parc otherwise get infes in 2017 (after population was upated)</t>
      </text>
    </comment>
    <comment ref="D34" authorId="3" shapeId="0" xr:uid="{B57420B9-1EEA-45E6-9D80-D44679E108E2}">
      <text>
        <r>
          <rPr>
            <b/>
            <sz val="9"/>
            <color indexed="81"/>
            <rFont val="Tahoma"/>
            <family val="2"/>
          </rPr>
          <t xml:space="preserve">Fadiel:
</t>
        </r>
        <r>
          <rPr>
            <sz val="9"/>
            <color indexed="81"/>
            <rFont val="Tahoma"/>
            <family val="2"/>
          </rPr>
          <t xml:space="preserve">decadal growth in priv vehicle occupancy
</t>
        </r>
      </text>
    </comment>
    <comment ref="B53" authorId="4" shapeId="0" xr:uid="{8DBA06B5-128D-455B-9F19-5D56055135FD}">
      <text>
        <r>
          <rPr>
            <b/>
            <sz val="8"/>
            <color indexed="81"/>
            <rFont val="Tahoma"/>
            <family val="2"/>
          </rPr>
          <t>Bruno Merven:</t>
        </r>
        <r>
          <rPr>
            <sz val="8"/>
            <color indexed="81"/>
            <rFont val="Tahoma"/>
            <family val="2"/>
          </rPr>
          <t xml:space="preserve">
priv veh cover cars, SUV's and motorbikes that arent used for public transport (owned either by hh or by company/gov)</t>
        </r>
      </text>
    </comment>
    <comment ref="E64" authorId="4" shapeId="0" xr:uid="{C2E08F00-C8D0-4F5D-ADEE-C03037903F63}">
      <text>
        <r>
          <rPr>
            <b/>
            <sz val="8"/>
            <color indexed="81"/>
            <rFont val="Tahoma"/>
            <family val="2"/>
          </rPr>
          <t>Bruno Merven:</t>
        </r>
        <r>
          <rPr>
            <sz val="8"/>
            <color indexed="81"/>
            <rFont val="Tahoma"/>
            <family val="2"/>
          </rPr>
          <t xml:space="preserve">
this could be different for each income group if needed.  This is purely an estimate that balances the other measured variables - see TCH_TRA for details.</t>
        </r>
      </text>
    </comment>
    <comment ref="C71" authorId="3" shapeId="0" xr:uid="{23ED4679-E7ED-47BC-A526-E2E01A3BD1BC}">
      <text>
        <r>
          <rPr>
            <b/>
            <sz val="9"/>
            <color indexed="81"/>
            <rFont val="Tahoma"/>
            <family val="2"/>
          </rPr>
          <t xml:space="preserve">Fadiel:pkm check for passenger rail
</t>
        </r>
        <r>
          <rPr>
            <sz val="9"/>
            <color indexed="81"/>
            <rFont val="Tahoma"/>
            <family val="2"/>
          </rPr>
          <t>old data though</t>
        </r>
      </text>
    </comment>
    <comment ref="E77" authorId="4" shapeId="0" xr:uid="{FDA9B5D0-50CF-4CC7-A664-9EB4E93B9E46}">
      <text>
        <r>
          <rPr>
            <b/>
            <sz val="8"/>
            <color indexed="81"/>
            <rFont val="Tahoma"/>
            <family val="2"/>
          </rPr>
          <t>Bruno Merven:</t>
        </r>
        <r>
          <rPr>
            <sz val="8"/>
            <color indexed="81"/>
            <rFont val="Tahoma"/>
            <family val="2"/>
          </rPr>
          <t xml:space="preserve">
This is the share of total travel time done in prov. Veh, assuming that car owners also travel by public transport and the rest of their travel time budget is spent on public transport.</t>
        </r>
      </text>
    </comment>
    <comment ref="C138" authorId="3" shapeId="0" xr:uid="{48CF8539-165E-4953-9802-A2266282C685}">
      <text/>
    </comment>
    <comment ref="P139" authorId="3" shapeId="0" xr:uid="{5B21F091-F42F-4A99-AC82-622C1F4A6D30}">
      <text>
        <r>
          <rPr>
            <b/>
            <sz val="9"/>
            <color indexed="81"/>
            <rFont val="Tahoma"/>
            <family val="2"/>
          </rPr>
          <t>Fadiel:</t>
        </r>
        <r>
          <rPr>
            <sz val="9"/>
            <color indexed="81"/>
            <rFont val="Tahoma"/>
            <family val="2"/>
          </rPr>
          <t xml:space="preserve">
from GHS 2018 statssa (2019)</t>
        </r>
      </text>
    </comment>
    <comment ref="D141" authorId="3" shapeId="0" xr:uid="{5E8D7E90-B9E7-4FED-BA44-0755A9096DFE}">
      <text>
        <r>
          <rPr>
            <b/>
            <sz val="9"/>
            <color indexed="81"/>
            <rFont val="Tahoma"/>
            <family val="2"/>
          </rPr>
          <t>Fadiel:</t>
        </r>
        <r>
          <rPr>
            <sz val="9"/>
            <color indexed="81"/>
            <rFont val="Tahoma"/>
            <family val="2"/>
          </rPr>
          <t xml:space="preserve">
Occupancy growth</t>
        </r>
      </text>
    </comment>
    <comment ref="E143" authorId="3" shapeId="0" xr:uid="{B4E6BB96-02F2-4CF1-922A-F78825FA79EC}">
      <text>
        <r>
          <rPr>
            <b/>
            <sz val="9"/>
            <color indexed="81"/>
            <rFont val="Tahoma"/>
            <family val="2"/>
          </rPr>
          <t>Fadiel:</t>
        </r>
        <r>
          <rPr>
            <sz val="9"/>
            <color indexed="81"/>
            <rFont val="Tahoma"/>
            <family val="2"/>
          </rPr>
          <t xml:space="preserve">
Fadiel:
Assume max occupancy of 14  https://businesstech.co.za/news/motoring/300268/south-africas-favourite-minibus-taxi-brand-is-getting-a-new-design-and-better-safety-features/</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Fadiel</author>
    <author>Bruno Merven</author>
    <author>bruno merven</author>
  </authors>
  <commentList>
    <comment ref="B3" authorId="0" shapeId="0" xr:uid="{BA0738AA-E911-4453-A759-2A397F913FE2}">
      <text>
        <r>
          <rPr>
            <b/>
            <sz val="9"/>
            <color indexed="81"/>
            <rFont val="Tahoma"/>
            <family val="2"/>
          </rPr>
          <t>Fadiel:</t>
        </r>
        <r>
          <rPr>
            <sz val="9"/>
            <color indexed="81"/>
            <rFont val="Tahoma"/>
            <family val="2"/>
          </rPr>
          <t xml:space="preserve">
tonkm by air data (old)
1.06b-tkm in 2014</t>
        </r>
      </text>
    </comment>
    <comment ref="B16" authorId="1" shapeId="0" xr:uid="{00000000-0006-0000-1600-000001000000}">
      <text>
        <r>
          <rPr>
            <b/>
            <sz val="8"/>
            <color indexed="81"/>
            <rFont val="Tahoma"/>
            <family val="2"/>
          </rPr>
          <t>Bruno Merven:</t>
        </r>
        <r>
          <rPr>
            <sz val="8"/>
            <color indexed="81"/>
            <rFont val="Tahoma"/>
            <family val="2"/>
          </rPr>
          <t xml:space="preserve">
We could link this to tourism industry at a later stage.</t>
        </r>
      </text>
    </comment>
    <comment ref="J16" authorId="1" shapeId="0" xr:uid="{00000000-0006-0000-1600-000002000000}">
      <text>
        <r>
          <rPr>
            <b/>
            <sz val="8"/>
            <color indexed="81"/>
            <rFont val="Tahoma"/>
            <family val="2"/>
          </rPr>
          <t>Bruno Merven:</t>
        </r>
        <r>
          <rPr>
            <sz val="8"/>
            <color indexed="81"/>
            <rFont val="Tahoma"/>
            <family val="2"/>
          </rPr>
          <t xml:space="preserve">
From 2006 Energy Balance</t>
        </r>
      </text>
    </comment>
    <comment ref="K22" authorId="2" shapeId="0" xr:uid="{00000000-0006-0000-1600-000003000000}">
      <text>
        <r>
          <rPr>
            <b/>
            <sz val="9"/>
            <color indexed="81"/>
            <rFont val="Tahoma"/>
            <family val="2"/>
          </rPr>
          <t>bruno merven:</t>
        </r>
        <r>
          <rPr>
            <sz val="9"/>
            <color indexed="81"/>
            <rFont val="Tahoma"/>
            <family val="2"/>
          </rPr>
          <t xml:space="preserve">
2013 EB
</t>
        </r>
      </text>
    </comment>
    <comment ref="L22" authorId="0" shapeId="0" xr:uid="{E3163AC2-3C5B-42D1-A2FF-C25D9C6AE974}">
      <text>
        <r>
          <rPr>
            <b/>
            <sz val="9"/>
            <color indexed="81"/>
            <rFont val="Tahoma"/>
            <family val="2"/>
          </rPr>
          <t>Fadiel:</t>
        </r>
        <r>
          <rPr>
            <sz val="9"/>
            <color indexed="81"/>
            <rFont val="Tahoma"/>
            <family val="2"/>
          </rPr>
          <t xml:space="preserve">
NDC2020 data from EB2017</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<sst xmlns="http://schemas.openxmlformats.org/spreadsheetml/2006/main" count="4338" uniqueCount="694">
  <si>
    <t>Other</t>
  </si>
  <si>
    <t>Agriculture</t>
  </si>
  <si>
    <t>Transport</t>
  </si>
  <si>
    <t>Commercial</t>
  </si>
  <si>
    <t>COM</t>
  </si>
  <si>
    <t>Total</t>
  </si>
  <si>
    <t>Average</t>
  </si>
  <si>
    <t>Low Income</t>
  </si>
  <si>
    <t>Middle Income</t>
  </si>
  <si>
    <t>Sector code</t>
  </si>
  <si>
    <t>Sector description</t>
  </si>
  <si>
    <t>Sectoral Value Added</t>
  </si>
  <si>
    <t>Intensity Projections</t>
  </si>
  <si>
    <t>GDP</t>
  </si>
  <si>
    <t>End-Uses</t>
  </si>
  <si>
    <t>Base year demand value</t>
  </si>
  <si>
    <t>*</t>
  </si>
  <si>
    <t>REGION1</t>
  </si>
  <si>
    <t>Parameter</t>
  </si>
  <si>
    <t>Arg1</t>
  </si>
  <si>
    <t>Arg2</t>
  </si>
  <si>
    <t>Arg3</t>
  </si>
  <si>
    <t>Arg4</t>
  </si>
  <si>
    <t>Arg5</t>
  </si>
  <si>
    <t>Arg6</t>
  </si>
  <si>
    <t>I/E Opt
or Value</t>
  </si>
  <si>
    <t>REGIONS</t>
  </si>
  <si>
    <t>_GLOBAL,REGION1</t>
  </si>
  <si>
    <t>ITEMS</t>
  </si>
  <si>
    <t>* Entry #</t>
  </si>
  <si>
    <t>Comp</t>
  </si>
  <si>
    <t>Name</t>
  </si>
  <si>
    <t>Description</t>
  </si>
  <si>
    <t>Unit(s)</t>
  </si>
  <si>
    <t>Set Memberships</t>
  </si>
  <si>
    <t>Comment</t>
  </si>
  <si>
    <t>Demand Commodities</t>
  </si>
  <si>
    <t>E</t>
  </si>
  <si>
    <t>PJ</t>
  </si>
  <si>
    <t>COM,DEM,DAYNITE,RES</t>
  </si>
  <si>
    <t>Household Population</t>
  </si>
  <si>
    <t>Reference</t>
  </si>
  <si>
    <t>Low</t>
  </si>
  <si>
    <t>High</t>
  </si>
  <si>
    <t>Total Population</t>
  </si>
  <si>
    <t>Electrification Rates</t>
  </si>
  <si>
    <t>Total Households</t>
  </si>
  <si>
    <t>million</t>
  </si>
  <si>
    <t>%</t>
  </si>
  <si>
    <t>Low Income (0 - 19,200)</t>
  </si>
  <si>
    <t>High Income (76,801 - )</t>
  </si>
  <si>
    <t>Middle Income (19,201 - 76,800)</t>
  </si>
  <si>
    <t>Income</t>
  </si>
  <si>
    <t>share</t>
  </si>
  <si>
    <t>Overall Electrification</t>
  </si>
  <si>
    <t>'000R/year</t>
  </si>
  <si>
    <t>Household Income Group - Population</t>
  </si>
  <si>
    <t>Household Income Group - Shares</t>
  </si>
  <si>
    <t>Household Income Group - Average Income</t>
  </si>
  <si>
    <t>Household Model-Group - Population</t>
  </si>
  <si>
    <t>Household Income</t>
  </si>
  <si>
    <t>Minibus</t>
  </si>
  <si>
    <t>Bus</t>
  </si>
  <si>
    <t>BRT</t>
  </si>
  <si>
    <t>Total Priv.Veh.</t>
  </si>
  <si>
    <t>Persons/Priv. Veh.</t>
  </si>
  <si>
    <t>per/veh</t>
  </si>
  <si>
    <t>veh mill</t>
  </si>
  <si>
    <t>Mining SIC2</t>
  </si>
  <si>
    <t>Iron  &amp; Steel  - 351</t>
  </si>
  <si>
    <t>Floor Area (million square meters)</t>
  </si>
  <si>
    <t>mill.m2</t>
  </si>
  <si>
    <t>Cooling</t>
  </si>
  <si>
    <t>Lighting</t>
  </si>
  <si>
    <t>Existing Buildings</t>
  </si>
  <si>
    <t>MJ/m2</t>
  </si>
  <si>
    <t>Efficiency gain for new buildings</t>
  </si>
  <si>
    <t>New Buildings</t>
  </si>
  <si>
    <t>* Fuel #</t>
  </si>
  <si>
    <t>Demand Techs</t>
  </si>
  <si>
    <t>Time budget for travelling</t>
  </si>
  <si>
    <t>Bus, minibus, metro rail</t>
  </si>
  <si>
    <t>Gautrain</t>
  </si>
  <si>
    <t>Priv.veh.</t>
  </si>
  <si>
    <t>Total Priv.veh. Check</t>
  </si>
  <si>
    <t>Metro Rail</t>
  </si>
  <si>
    <t>billion</t>
  </si>
  <si>
    <t>Bus vehicle km</t>
  </si>
  <si>
    <t>Minibus vehicle km</t>
  </si>
  <si>
    <t>BRT vehicle km</t>
  </si>
  <si>
    <t>Metro Rail pkm</t>
  </si>
  <si>
    <t>Gautrain pkm</t>
  </si>
  <si>
    <t>Jet Kerosene</t>
  </si>
  <si>
    <t>International</t>
  </si>
  <si>
    <t>Domestic</t>
  </si>
  <si>
    <t>Aviation gasoline (domestic)</t>
  </si>
  <si>
    <t>pers/veh</t>
  </si>
  <si>
    <t>Demand TIMES</t>
  </si>
  <si>
    <t>COM,DEM,ANNUAL,RES</t>
  </si>
  <si>
    <t>SUV</t>
  </si>
  <si>
    <t>Car</t>
  </si>
  <si>
    <t>SUV Priv.Veh. Vehicle km</t>
  </si>
  <si>
    <t>Car Priv.Veh. Vehicle km</t>
  </si>
  <si>
    <t>Default Elasticity</t>
  </si>
  <si>
    <t>Pipeline Demand</t>
  </si>
  <si>
    <t>Intensity (Efficiency Improvement)</t>
  </si>
  <si>
    <t xml:space="preserve">Domestic </t>
  </si>
  <si>
    <t>K</t>
  </si>
  <si>
    <t>Elec Heating</t>
  </si>
  <si>
    <t>A</t>
  </si>
  <si>
    <t>Compressed air</t>
  </si>
  <si>
    <t>L</t>
  </si>
  <si>
    <t>C</t>
  </si>
  <si>
    <t>H</t>
  </si>
  <si>
    <t>HVAC</t>
  </si>
  <si>
    <t>P</t>
  </si>
  <si>
    <t>Pumping</t>
  </si>
  <si>
    <t>F</t>
  </si>
  <si>
    <t>Fans</t>
  </si>
  <si>
    <t>O</t>
  </si>
  <si>
    <t>Other motive</t>
  </si>
  <si>
    <t>Electrochemical</t>
  </si>
  <si>
    <t>S</t>
  </si>
  <si>
    <t>boiler/process heating</t>
  </si>
  <si>
    <t>R</t>
  </si>
  <si>
    <t/>
  </si>
  <si>
    <t>eps</t>
  </si>
  <si>
    <t>TPPRSUV</t>
  </si>
  <si>
    <t>TPPRCAR</t>
  </si>
  <si>
    <t>TPPUBUS</t>
  </si>
  <si>
    <t>TPPUMBT</t>
  </si>
  <si>
    <t>TPPUBRT</t>
  </si>
  <si>
    <t>TPPUMER</t>
  </si>
  <si>
    <t>TPPUGAT</t>
  </si>
  <si>
    <t>TFPIP</t>
  </si>
  <si>
    <t>Units</t>
  </si>
  <si>
    <t>billion pkm</t>
  </si>
  <si>
    <t>-</t>
  </si>
  <si>
    <t>AGR</t>
  </si>
  <si>
    <t>Industry</t>
  </si>
  <si>
    <t>Residential</t>
  </si>
  <si>
    <t>Passenger Transport Demand - pass.km</t>
  </si>
  <si>
    <t>Passenger Transport Demand - Veh.km</t>
  </si>
  <si>
    <t>Passenger Transport Demand - pass.km share</t>
  </si>
  <si>
    <t>veh '000 people</t>
  </si>
  <si>
    <t>private</t>
  </si>
  <si>
    <t>public</t>
  </si>
  <si>
    <t>ton</t>
  </si>
  <si>
    <t>Average Loading</t>
  </si>
  <si>
    <t>b tonkm</t>
  </si>
  <si>
    <t>b vehkm</t>
  </si>
  <si>
    <t>TFLCV</t>
  </si>
  <si>
    <t>Freight LCV</t>
  </si>
  <si>
    <t>Ton km Share of Rail Corridor vs Road Corridor</t>
  </si>
  <si>
    <t>Household Useful Demand</t>
  </si>
  <si>
    <t>Pipeline Demand Projection</t>
  </si>
  <si>
    <t>Air Travel</t>
  </si>
  <si>
    <t>HFO</t>
  </si>
  <si>
    <t>TSHFO</t>
  </si>
  <si>
    <t>Total HFO Projection</t>
  </si>
  <si>
    <t>Household Income Group - Private Veh Ownership</t>
  </si>
  <si>
    <t>Other priv. veh (gov/companies/car rentals)</t>
  </si>
  <si>
    <t>Number of Veh</t>
  </si>
  <si>
    <t>Elasticity to GDP</t>
  </si>
  <si>
    <t>veh million</t>
  </si>
  <si>
    <t>Other (gov/company/car rental)</t>
  </si>
  <si>
    <t>Priv veh per '000 people</t>
  </si>
  <si>
    <t>Share of (gov/company/car rental)</t>
  </si>
  <si>
    <t>Total travel time per household</t>
  </si>
  <si>
    <t>hours/year</t>
  </si>
  <si>
    <t>km/hr</t>
  </si>
  <si>
    <t>'000 km/yr</t>
  </si>
  <si>
    <t>Total veh-km</t>
  </si>
  <si>
    <t>billion veh-km</t>
  </si>
  <si>
    <t>Total p-km</t>
  </si>
  <si>
    <t>Split between priv pkm</t>
  </si>
  <si>
    <t>Motorbikes</t>
  </si>
  <si>
    <t>Time budget split by Mode and Income group</t>
  </si>
  <si>
    <t>Average Speed by Mode</t>
  </si>
  <si>
    <t>Priv veh</t>
  </si>
  <si>
    <t>MBT/Bus/metrorail</t>
  </si>
  <si>
    <t>Walking/waiting time for public transport of total travel time by public</t>
  </si>
  <si>
    <t>Public Transport Check</t>
  </si>
  <si>
    <t>TPPRMOT</t>
  </si>
  <si>
    <t>MBT</t>
  </si>
  <si>
    <t>Split between Bus,minibus, metro rail pkm</t>
  </si>
  <si>
    <t>Metro rail</t>
  </si>
  <si>
    <t>Motorbikes Priv.Veh. Vehicle km</t>
  </si>
  <si>
    <t>Veh/pers for pers with priv.veh.</t>
  </si>
  <si>
    <t>Priv.veh.Occupancy for pers with priv.veh</t>
  </si>
  <si>
    <t>Priv.veh.mileage per veh for pers with priv.veh</t>
  </si>
  <si>
    <t>million pers</t>
  </si>
  <si>
    <r>
      <t xml:space="preserve">pers </t>
    </r>
    <r>
      <rPr>
        <b/>
        <u/>
        <sz val="11"/>
        <color indexed="56"/>
        <rFont val="Calibri"/>
        <family val="2"/>
      </rPr>
      <t>with</t>
    </r>
    <r>
      <rPr>
        <b/>
        <sz val="11"/>
        <color indexed="56"/>
        <rFont val="Calibri"/>
        <family val="2"/>
      </rPr>
      <t xml:space="preserve"> a priv. veh</t>
    </r>
  </si>
  <si>
    <r>
      <t xml:space="preserve">pers </t>
    </r>
    <r>
      <rPr>
        <b/>
        <u/>
        <sz val="11"/>
        <color indexed="56"/>
        <rFont val="Calibri"/>
        <family val="2"/>
      </rPr>
      <t>without</t>
    </r>
    <r>
      <rPr>
        <b/>
        <sz val="11"/>
        <color indexed="56"/>
        <rFont val="Calibri"/>
        <family val="2"/>
      </rPr>
      <t xml:space="preserve"> a priv. veh</t>
    </r>
  </si>
  <si>
    <t>Total Priv veh-km Check</t>
  </si>
  <si>
    <t>Other priv.veh(gov, rental, company)</t>
  </si>
  <si>
    <t>Public Road Veh. Occpancy</t>
  </si>
  <si>
    <t>Scenario</t>
  </si>
  <si>
    <t>Load (0 = Reference, 1 = Scenario)</t>
  </si>
  <si>
    <t>Story: Public transport encouraged through taxing of private veh or further subsidy of public transport or both results in lower car ownership</t>
  </si>
  <si>
    <t>Story: same as above</t>
  </si>
  <si>
    <t>Story: special lanes for higher occupancy vehicles increases average occupancy</t>
  </si>
  <si>
    <t>Story: higher fuel taxes/prices gets people to drive less</t>
  </si>
  <si>
    <t>Story: more BRT lanes setup and more Gautrain type trains implemented</t>
  </si>
  <si>
    <t>Road Transport Veh-km to Model for Loaded Scenario</t>
  </si>
  <si>
    <t>Story: SUV's get taxed harder and gives way to cars</t>
  </si>
  <si>
    <t>Story: routes improved to improve occupance + other incentives on public transport</t>
  </si>
  <si>
    <t>Ton km for LCV's</t>
  </si>
  <si>
    <t>Ton km of Rail vs Road for HCV's</t>
  </si>
  <si>
    <t>Freight Demand for Model</t>
  </si>
  <si>
    <t>Summary tkm</t>
  </si>
  <si>
    <t>Sum</t>
  </si>
  <si>
    <t>Motorbike</t>
  </si>
  <si>
    <t>Household Income Group - Average Income Growth</t>
  </si>
  <si>
    <t>Editor</t>
  </si>
  <si>
    <t>Fadiel</t>
  </si>
  <si>
    <t>Date of change</t>
  </si>
  <si>
    <t>Added process commodities for industry( i.e. I&amp;S  coking coal - 'T')</t>
  </si>
  <si>
    <t>Sheets edited</t>
  </si>
  <si>
    <t>IND, IND_PROJ</t>
  </si>
  <si>
    <t>Chemical</t>
  </si>
  <si>
    <t>T</t>
  </si>
  <si>
    <t>Linked to TCH_SUP for selecting sectors</t>
  </si>
  <si>
    <t>Index</t>
  </si>
  <si>
    <t>Added name references for migration to centralised control workbook</t>
  </si>
  <si>
    <t>Bryce</t>
  </si>
  <si>
    <t>Commercial sector stock model added</t>
  </si>
  <si>
    <t>Designate building code period</t>
  </si>
  <si>
    <t>Code</t>
  </si>
  <si>
    <t>period start</t>
  </si>
  <si>
    <t>end</t>
  </si>
  <si>
    <t>B</t>
  </si>
  <si>
    <t>D</t>
  </si>
  <si>
    <t>Existing area change</t>
  </si>
  <si>
    <t>Added per year</t>
  </si>
  <si>
    <t>mill m2</t>
  </si>
  <si>
    <t>by code:</t>
  </si>
  <si>
    <t>Cummulative total new buildings by code</t>
  </si>
  <si>
    <t xml:space="preserve">total </t>
  </si>
  <si>
    <t>CEC</t>
  </si>
  <si>
    <t>CEH</t>
  </si>
  <si>
    <t>CEK</t>
  </si>
  <si>
    <t>CEL</t>
  </si>
  <si>
    <t>CER</t>
  </si>
  <si>
    <t>CEW</t>
  </si>
  <si>
    <t>CEG</t>
  </si>
  <si>
    <t>CET</t>
  </si>
  <si>
    <t>CEO</t>
  </si>
  <si>
    <t>CNC</t>
  </si>
  <si>
    <t>CNH</t>
  </si>
  <si>
    <t>CNK</t>
  </si>
  <si>
    <t>CNL</t>
  </si>
  <si>
    <t>CNR</t>
  </si>
  <si>
    <t>CNW</t>
  </si>
  <si>
    <t>CNG</t>
  </si>
  <si>
    <t>CNT</t>
  </si>
  <si>
    <t>CNO</t>
  </si>
  <si>
    <t>Code A</t>
  </si>
  <si>
    <t>Code B</t>
  </si>
  <si>
    <t>Code C</t>
  </si>
  <si>
    <t>Code D</t>
  </si>
  <si>
    <t>COM, COM_PRJ, Items COM</t>
  </si>
  <si>
    <t>Space Heating</t>
  </si>
  <si>
    <t>Cooking</t>
  </si>
  <si>
    <t>Refrigeration</t>
  </si>
  <si>
    <t>Water Heating</t>
  </si>
  <si>
    <t>W</t>
  </si>
  <si>
    <t xml:space="preserve">Fixed links to private sheets on my pc. </t>
  </si>
  <si>
    <t>Public Water</t>
  </si>
  <si>
    <t>Public lights</t>
  </si>
  <si>
    <t>G</t>
  </si>
  <si>
    <t>Greenshoots</t>
  </si>
  <si>
    <t>SO Moderate</t>
  </si>
  <si>
    <t>Weathering the Storm</t>
  </si>
  <si>
    <t>SO Low</t>
  </si>
  <si>
    <t>hhd-le</t>
  </si>
  <si>
    <t>hhd-me</t>
  </si>
  <si>
    <t>hhd-he</t>
  </si>
  <si>
    <t>Scenarios</t>
  </si>
  <si>
    <t>Growth</t>
  </si>
  <si>
    <t>Raw Data Row Number</t>
  </si>
  <si>
    <t>Model</t>
  </si>
  <si>
    <t>Generic</t>
  </si>
  <si>
    <t>Sub-Sector Model Types</t>
  </si>
  <si>
    <t>Taylored</t>
  </si>
  <si>
    <t>Demands</t>
  </si>
  <si>
    <t>Selected Scenario</t>
  </si>
  <si>
    <t>Selected Sector Demand Projections</t>
  </si>
  <si>
    <t>COM_PROJ</t>
  </si>
  <si>
    <t>End-Uses for (Generic sub-Sectors)</t>
  </si>
  <si>
    <t>Intensity Projections (Generic sub-Sectors)</t>
  </si>
  <si>
    <t>Taylored Demand</t>
  </si>
  <si>
    <t>IISCRS</t>
  </si>
  <si>
    <t>INMCEM</t>
  </si>
  <si>
    <t>High Income Household Elasticities</t>
  </si>
  <si>
    <t>subsector</t>
  </si>
  <si>
    <t>Growth Scenario</t>
  </si>
  <si>
    <t>INMLIM</t>
  </si>
  <si>
    <t>INMGLA</t>
  </si>
  <si>
    <t>INMBRI</t>
  </si>
  <si>
    <t>IPPPAP</t>
  </si>
  <si>
    <t>IPPPULPD</t>
  </si>
  <si>
    <t>par</t>
  </si>
  <si>
    <t>rdim</t>
  </si>
  <si>
    <t>cdim</t>
  </si>
  <si>
    <t>AH</t>
  </si>
  <si>
    <t>AI</t>
  </si>
  <si>
    <t>AO</t>
  </si>
  <si>
    <t>AP</t>
  </si>
  <si>
    <t>AT</t>
  </si>
  <si>
    <t>ICPA</t>
  </si>
  <si>
    <t>ICPC</t>
  </si>
  <si>
    <t>ICPE</t>
  </si>
  <si>
    <t>ICPF</t>
  </si>
  <si>
    <t>ICPH</t>
  </si>
  <si>
    <t>ICPK</t>
  </si>
  <si>
    <t>ICPL</t>
  </si>
  <si>
    <t>ICPO</t>
  </si>
  <si>
    <t>ICPP</t>
  </si>
  <si>
    <t>ICPS</t>
  </si>
  <si>
    <t>ICPT</t>
  </si>
  <si>
    <t>IFBA</t>
  </si>
  <si>
    <t>IFBC</t>
  </si>
  <si>
    <t>IFBE</t>
  </si>
  <si>
    <t>IFBF</t>
  </si>
  <si>
    <t>IFBH</t>
  </si>
  <si>
    <t>IFBK</t>
  </si>
  <si>
    <t>IFBL</t>
  </si>
  <si>
    <t>IFBO</t>
  </si>
  <si>
    <t>IFBP</t>
  </si>
  <si>
    <t>IFBS</t>
  </si>
  <si>
    <t>IMIA</t>
  </si>
  <si>
    <t>IMIC</t>
  </si>
  <si>
    <t>IMIE</t>
  </si>
  <si>
    <t>IMIF</t>
  </si>
  <si>
    <t>IMIH</t>
  </si>
  <si>
    <t>IMIK</t>
  </si>
  <si>
    <t>IMIL</t>
  </si>
  <si>
    <t>IMIO</t>
  </si>
  <si>
    <t>IMIP</t>
  </si>
  <si>
    <t>IMIR</t>
  </si>
  <si>
    <t>IMIS</t>
  </si>
  <si>
    <t>INFA</t>
  </si>
  <si>
    <t>INFC</t>
  </si>
  <si>
    <t>INFE</t>
  </si>
  <si>
    <t>INFF</t>
  </si>
  <si>
    <t>INFH</t>
  </si>
  <si>
    <t>INFK</t>
  </si>
  <si>
    <t>INFL</t>
  </si>
  <si>
    <t>INFO</t>
  </si>
  <si>
    <t>INFP</t>
  </si>
  <si>
    <t>INFS</t>
  </si>
  <si>
    <t>IOTA</t>
  </si>
  <si>
    <t>IOTC</t>
  </si>
  <si>
    <t>IOTE</t>
  </si>
  <si>
    <t>IOTF</t>
  </si>
  <si>
    <t>IOTH</t>
  </si>
  <si>
    <t>IOTK</t>
  </si>
  <si>
    <t>IOTL</t>
  </si>
  <si>
    <t>IOTO</t>
  </si>
  <si>
    <t>IOTP</t>
  </si>
  <si>
    <t>IOTS</t>
  </si>
  <si>
    <t>RHEH</t>
  </si>
  <si>
    <t>RHEK</t>
  </si>
  <si>
    <t>RHEL</t>
  </si>
  <si>
    <t>RHEO</t>
  </si>
  <si>
    <t>RHER</t>
  </si>
  <si>
    <t>RLEH</t>
  </si>
  <si>
    <t>RLEK</t>
  </si>
  <si>
    <t>RLEL</t>
  </si>
  <si>
    <t>RLEO</t>
  </si>
  <si>
    <t>RLER</t>
  </si>
  <si>
    <t>RLEW</t>
  </si>
  <si>
    <t>RLNL</t>
  </si>
  <si>
    <t>RMEH</t>
  </si>
  <si>
    <t>RMEK</t>
  </si>
  <si>
    <t>RMEL</t>
  </si>
  <si>
    <t>RMEO</t>
  </si>
  <si>
    <t>RMER</t>
  </si>
  <si>
    <t>RMEW</t>
  </si>
  <si>
    <t>RMNL</t>
  </si>
  <si>
    <t>TAOAG</t>
  </si>
  <si>
    <t>TFRCO</t>
  </si>
  <si>
    <t>TFREX</t>
  </si>
  <si>
    <t>TFROT</t>
  </si>
  <si>
    <t>IOTR</t>
  </si>
  <si>
    <t>Eps</t>
  </si>
  <si>
    <t>mi</t>
  </si>
  <si>
    <t>is</t>
  </si>
  <si>
    <t>DMD!F4</t>
  </si>
  <si>
    <t>SIM_DEMX</t>
  </si>
  <si>
    <t>Int.Flag gt</t>
  </si>
  <si>
    <t>Int.Flag lt</t>
  </si>
  <si>
    <t>Int.Flag eq</t>
  </si>
  <si>
    <t>Int.Flag cm</t>
  </si>
  <si>
    <t>Y</t>
  </si>
  <si>
    <t>hhd-le frac</t>
  </si>
  <si>
    <t>hhd-me frac</t>
  </si>
  <si>
    <t>hhd-he frac</t>
  </si>
  <si>
    <t>hhd-le pop</t>
  </si>
  <si>
    <t>hhd-me pop</t>
  </si>
  <si>
    <t>hhd-he pop</t>
  </si>
  <si>
    <t>hhd-he income</t>
  </si>
  <si>
    <t>MC row number</t>
  </si>
  <si>
    <t>Demand Switch</t>
  </si>
  <si>
    <t>total</t>
  </si>
  <si>
    <t>High Income</t>
  </si>
  <si>
    <t>2015-Jan-April</t>
  </si>
  <si>
    <t>Added a whole lot of links to CGE and also and Monte Carlo Link</t>
  </si>
  <si>
    <t>Bruno</t>
  </si>
  <si>
    <t>dim</t>
  </si>
  <si>
    <t>Ton km of Rail vs Road for HCV1</t>
  </si>
  <si>
    <t>TFHCV1</t>
  </si>
  <si>
    <t>TFHCV2</t>
  </si>
  <si>
    <t>TFHCV3</t>
  </si>
  <si>
    <t>TFHCV4</t>
  </si>
  <si>
    <t>TFHCV5</t>
  </si>
  <si>
    <t>TFHCV6</t>
  </si>
  <si>
    <t>TFHCV7</t>
  </si>
  <si>
    <t>TFHCV8</t>
  </si>
  <si>
    <t>TFHCV9</t>
  </si>
  <si>
    <t>Freight HCV1</t>
  </si>
  <si>
    <t>Freight HCV2</t>
  </si>
  <si>
    <t>Freight HCV3</t>
  </si>
  <si>
    <t>Freight HCV4</t>
  </si>
  <si>
    <t>Freight HCV5</t>
  </si>
  <si>
    <t>Freight HCV6</t>
  </si>
  <si>
    <t>Freight HCV7</t>
  </si>
  <si>
    <t>Freight HCV8</t>
  </si>
  <si>
    <t>Freight HCV9</t>
  </si>
  <si>
    <t>Disaggreated Freight into 9 weight classes</t>
  </si>
  <si>
    <t>ITEMS_TRA, FTRA</t>
  </si>
  <si>
    <t>Tiisetso</t>
  </si>
  <si>
    <t>Ton km Share of Rail Urban/Rural vs Road Urban/Rural</t>
  </si>
  <si>
    <t>Passenger Km</t>
  </si>
  <si>
    <t>low income</t>
  </si>
  <si>
    <t>medium income</t>
  </si>
  <si>
    <t>high income</t>
  </si>
  <si>
    <t>Pkm by income by mode</t>
  </si>
  <si>
    <t>TPPU</t>
  </si>
  <si>
    <t>TPPR</t>
  </si>
  <si>
    <t>Private</t>
  </si>
  <si>
    <t>Public</t>
  </si>
  <si>
    <t>Commerce</t>
  </si>
  <si>
    <t>Default Elasticities</t>
  </si>
  <si>
    <t>base year offset</t>
  </si>
  <si>
    <t>IND</t>
  </si>
  <si>
    <t>Added Ferro-Alloys demand projections</t>
  </si>
  <si>
    <t xml:space="preserve">Also automated industry sheet a bit more - now auto look up com proj name  from TCH_IND </t>
  </si>
  <si>
    <t xml:space="preserve">Added formatting colour to COMPROJ rows to easily see what the model will be importing. </t>
  </si>
  <si>
    <t>Male</t>
  </si>
  <si>
    <t>0-4</t>
  </si>
  <si>
    <t>5-9</t>
  </si>
  <si>
    <t>10-14</t>
  </si>
  <si>
    <t>15-19</t>
  </si>
  <si>
    <t>20-24</t>
  </si>
  <si>
    <t>25-29</t>
  </si>
  <si>
    <t>30-34</t>
  </si>
  <si>
    <t>35-39</t>
  </si>
  <si>
    <t>40-44</t>
  </si>
  <si>
    <t>45-49</t>
  </si>
  <si>
    <t>50-54</t>
  </si>
  <si>
    <t>55-59</t>
  </si>
  <si>
    <t>60-64</t>
  </si>
  <si>
    <t>65-69</t>
  </si>
  <si>
    <t>70-74</t>
  </si>
  <si>
    <t>75-79</t>
  </si>
  <si>
    <t>80+</t>
  </si>
  <si>
    <t>Female</t>
  </si>
  <si>
    <t>Mid-year population estimates for 2017</t>
  </si>
  <si>
    <t>Commerce building EE level</t>
  </si>
  <si>
    <t>Level</t>
  </si>
  <si>
    <t>Commerce sector EE gains</t>
  </si>
  <si>
    <t>Gain</t>
  </si>
  <si>
    <t>Rail</t>
  </si>
  <si>
    <t>btkm</t>
  </si>
  <si>
    <t xml:space="preserve">Corridor Freight </t>
  </si>
  <si>
    <t xml:space="preserve">Default Efficiency gain </t>
  </si>
  <si>
    <t>of successive building codes</t>
  </si>
  <si>
    <t xml:space="preserve">Existing </t>
  </si>
  <si>
    <t>Demand - PJ</t>
  </si>
  <si>
    <t>Total all buildings - PJ</t>
  </si>
  <si>
    <t>Total New Buildings code B+C+D</t>
  </si>
  <si>
    <t>New buildings OLD codes</t>
  </si>
  <si>
    <t>New buildings with new codes</t>
  </si>
  <si>
    <t>Public buildings and services</t>
  </si>
  <si>
    <t>Public buildings floorspace share</t>
  </si>
  <si>
    <t>Existing</t>
  </si>
  <si>
    <t>New</t>
  </si>
  <si>
    <t>Public/gov</t>
  </si>
  <si>
    <t>Floorspace totals</t>
  </si>
  <si>
    <t>Commerce - Existing</t>
  </si>
  <si>
    <t>Commerce - New</t>
  </si>
  <si>
    <t>Floorspace by codes</t>
  </si>
  <si>
    <t>Public services and buildings</t>
  </si>
  <si>
    <t>Floorspace splits</t>
  </si>
  <si>
    <t>Demand TJ</t>
  </si>
  <si>
    <t>BY demand</t>
  </si>
  <si>
    <t>code</t>
  </si>
  <si>
    <t>New buildings</t>
  </si>
  <si>
    <t>Total Existing + public buildings and services + code A buildings</t>
  </si>
  <si>
    <t>Cleaned up com sheet with floorspace categories and efficiency gains</t>
  </si>
  <si>
    <t>Added in public buildings and public services (for PAMS project)</t>
  </si>
  <si>
    <t>set</t>
  </si>
  <si>
    <t>MFHHT</t>
  </si>
  <si>
    <t>To do:</t>
  </si>
  <si>
    <t>Fix years in MCEcon</t>
  </si>
  <si>
    <t>Add flag for regression function to parameter that gets written by MCSIM</t>
  </si>
  <si>
    <t>Separate flags for passenger and freight</t>
  </si>
  <si>
    <t>Cleanup MCEcon</t>
  </si>
  <si>
    <t>YHE</t>
  </si>
  <si>
    <t>Floor Area Elasticity to Commerce GDP</t>
  </si>
  <si>
    <t>2015 '000R/year/pp</t>
  </si>
  <si>
    <t>For PAMS</t>
  </si>
  <si>
    <t>Option</t>
  </si>
  <si>
    <t>Reference case</t>
  </si>
  <si>
    <t>Scenario status</t>
  </si>
  <si>
    <t>Included new parameter in Index_SATIM for PAMS - line 14</t>
  </si>
  <si>
    <t>Index_G2E</t>
  </si>
  <si>
    <t>Faaiqa</t>
  </si>
  <si>
    <t>Adjustments for Commerce PAMS completed</t>
  </si>
  <si>
    <t>RHEWG</t>
  </si>
  <si>
    <t>fb</t>
  </si>
  <si>
    <t>ot</t>
  </si>
  <si>
    <t>pp</t>
  </si>
  <si>
    <t>cp</t>
  </si>
  <si>
    <t>nm</t>
  </si>
  <si>
    <t>nf</t>
  </si>
  <si>
    <t>elec</t>
  </si>
  <si>
    <t>petr</t>
  </si>
  <si>
    <t>hhd-0</t>
  </si>
  <si>
    <t>hhd-1</t>
  </si>
  <si>
    <t>hhd-2</t>
  </si>
  <si>
    <t>hhd-3</t>
  </si>
  <si>
    <t>hhd-4</t>
  </si>
  <si>
    <t>hhd-5</t>
  </si>
  <si>
    <t>hhd-6</t>
  </si>
  <si>
    <t>hhd-7</t>
  </si>
  <si>
    <t>hhd-8</t>
  </si>
  <si>
    <t>Set</t>
  </si>
  <si>
    <t>PTRA</t>
  </si>
  <si>
    <t>Household Income Group - Private Veh Ownership - High Income</t>
  </si>
  <si>
    <t>Household Income Group - Private Veh Ownership - Middle Income</t>
  </si>
  <si>
    <t>sheet</t>
  </si>
  <si>
    <t>RMEWG</t>
  </si>
  <si>
    <t>growth</t>
  </si>
  <si>
    <t>PAM 2</t>
  </si>
  <si>
    <t>20% improvement in average energy performance of residential building stock by 2030 relative to a 2015 baseline.</t>
  </si>
  <si>
    <t>Total Useful Energy Demand for Space Heating</t>
  </si>
  <si>
    <t>Improvement in thermal energy perfomance</t>
  </si>
  <si>
    <t>Adjusted useful energy</t>
  </si>
  <si>
    <t>PAM2</t>
  </si>
  <si>
    <t>0 Reference</t>
  </si>
  <si>
    <t>2012</t>
  </si>
  <si>
    <t>2015</t>
  </si>
  <si>
    <t>2020</t>
  </si>
  <si>
    <t>2025</t>
  </si>
  <si>
    <t>2030</t>
  </si>
  <si>
    <t>2035</t>
  </si>
  <si>
    <t>2040</t>
  </si>
  <si>
    <t>2045</t>
  </si>
  <si>
    <t>2050</t>
  </si>
  <si>
    <t>2013</t>
  </si>
  <si>
    <t>2014</t>
  </si>
  <si>
    <t>2016</t>
  </si>
  <si>
    <t>2017</t>
  </si>
  <si>
    <t>2018</t>
  </si>
  <si>
    <t>2019</t>
  </si>
  <si>
    <t>2021</t>
  </si>
  <si>
    <t>2022</t>
  </si>
  <si>
    <t>2023</t>
  </si>
  <si>
    <t>2024</t>
  </si>
  <si>
    <t>2026</t>
  </si>
  <si>
    <t>2027</t>
  </si>
  <si>
    <t>2028</t>
  </si>
  <si>
    <t>2029</t>
  </si>
  <si>
    <t>2031</t>
  </si>
  <si>
    <t>2032</t>
  </si>
  <si>
    <t>2033</t>
  </si>
  <si>
    <t>2034</t>
  </si>
  <si>
    <t>2036</t>
  </si>
  <si>
    <t>2037</t>
  </si>
  <si>
    <t>2038</t>
  </si>
  <si>
    <t>2039</t>
  </si>
  <si>
    <t>2041</t>
  </si>
  <si>
    <t>2042</t>
  </si>
  <si>
    <t>2043</t>
  </si>
  <si>
    <t>2044</t>
  </si>
  <si>
    <t>2046</t>
  </si>
  <si>
    <t>2047</t>
  </si>
  <si>
    <t>2048</t>
  </si>
  <si>
    <t>2049</t>
  </si>
  <si>
    <t>Road (HCV2-9)</t>
  </si>
  <si>
    <t>tranlp</t>
  </si>
  <si>
    <t>tranlf</t>
  </si>
  <si>
    <t>trana</t>
  </si>
  <si>
    <t>trano</t>
  </si>
  <si>
    <t>Air Transport</t>
  </si>
  <si>
    <t>Transport Other</t>
  </si>
  <si>
    <t>hydr</t>
  </si>
  <si>
    <t>coal</t>
  </si>
  <si>
    <t>hhd-9</t>
  </si>
  <si>
    <t>Split OtherTRA into International and Domestic Jet Fuel demand; Add new appropriate items</t>
  </si>
  <si>
    <t>OtherTRA</t>
  </si>
  <si>
    <t>fadiel</t>
  </si>
  <si>
    <t>TAIJET</t>
  </si>
  <si>
    <t>TADJET</t>
  </si>
  <si>
    <t>TS DATA</t>
  </si>
  <si>
    <t>Sectoral GDP/Activity, we can interchange them. Activity is slightly more smooth over time. Activity cannot be summed as units are different for different sectors. GVA can be summed.</t>
  </si>
  <si>
    <t>Model Years</t>
  </si>
  <si>
    <t>GVA (m2012R)</t>
  </si>
  <si>
    <t>Population (m)</t>
  </si>
  <si>
    <t>IFAM</t>
  </si>
  <si>
    <t>POP</t>
  </si>
  <si>
    <t>Arg7</t>
  </si>
  <si>
    <t>NDC-PAMS-lo</t>
  </si>
  <si>
    <t>central</t>
  </si>
  <si>
    <t>public road - transport occupancy</t>
  </si>
  <si>
    <t>private road transport</t>
  </si>
  <si>
    <t>metro rail pkm growth</t>
  </si>
  <si>
    <t>decadal grwoth</t>
  </si>
  <si>
    <t>low</t>
  </si>
  <si>
    <t>high</t>
  </si>
  <si>
    <t>NDC-PAMS-reference</t>
  </si>
  <si>
    <t>NDC-PAMS-central</t>
  </si>
  <si>
    <t>NDC-PAMS-hi</t>
  </si>
  <si>
    <t>GTS modal shift</t>
  </si>
  <si>
    <t>rail</t>
  </si>
  <si>
    <t>2014 calib</t>
  </si>
  <si>
    <t>Loaded scenario</t>
  </si>
  <si>
    <t>https://dataportal.opendataforafrica.org/nbyenxf/afdb-socio-economic-database-1960-2021</t>
  </si>
  <si>
    <t>savings</t>
  </si>
  <si>
    <t>All H</t>
  </si>
  <si>
    <t>Standards distinguish between new and old buildings so ideally this should recognise new/old split</t>
  </si>
  <si>
    <t>ratio</t>
  </si>
  <si>
    <t>existing to new buildings</t>
  </si>
  <si>
    <t>All L</t>
  </si>
  <si>
    <t>GVA_FS</t>
  </si>
  <si>
    <t>TFHPOP</t>
  </si>
  <si>
    <t>agr</t>
  </si>
  <si>
    <t>PAMS_RUN</t>
  </si>
  <si>
    <t>RES</t>
  </si>
  <si>
    <t>TRA</t>
  </si>
  <si>
    <t>WASTE</t>
  </si>
  <si>
    <t>Arg8</t>
  </si>
  <si>
    <t>Arg9</t>
  </si>
  <si>
    <t>Household Income Group - Private Veh Ownership - Low Income</t>
  </si>
  <si>
    <t>covid19</t>
  </si>
  <si>
    <t>all income groups</t>
  </si>
  <si>
    <t>lighting, space heating, cooling</t>
  </si>
  <si>
    <t>Changed shares in TPPRMOT to get demand to fall below capacity in 2017</t>
  </si>
  <si>
    <t>Slowed down MBT's slightly to get demand to fall below capacity in 2017</t>
  </si>
  <si>
    <t>Changed annual mileage for high income to fall below capacity in 2017</t>
  </si>
  <si>
    <t xml:space="preserve">Standards say from 2015 level </t>
  </si>
  <si>
    <t>-1</t>
  </si>
  <si>
    <t>REF</t>
  </si>
  <si>
    <t>1,2,3 PAM</t>
  </si>
  <si>
    <t>hhd-le frac gr</t>
  </si>
  <si>
    <t>hhd-me frac gr</t>
  </si>
  <si>
    <t>hhd-he frac gr</t>
  </si>
  <si>
    <t>The reason for adding the step below is that the CGE sometimes jumps around in years 2012-2020, which ends up causing infeas on the demand side (from being sometimes slightly too high). Taking values directly from 2021 may sometimes result in slight drop despite growth occuring. In the near future we'll be running the CGE from the recalibrated 2017 base year and previous years will be frozen. We should also be freezing the energy model up to 2020, and only solving from 2021 onward.</t>
  </si>
  <si>
    <t>Energy intensity moderated to capture temporary decoupling of GVA to physical output for some sectors during recovery from COVID</t>
  </si>
  <si>
    <t>Year in which Normality resumes</t>
  </si>
  <si>
    <t>AFOLU</t>
  </si>
  <si>
    <t xml:space="preserve"> </t>
  </si>
  <si>
    <t>BusDiesel</t>
  </si>
  <si>
    <t>CarDiesel</t>
  </si>
  <si>
    <t>CarGasoline</t>
  </si>
  <si>
    <t>CarHybridDiesel</t>
  </si>
  <si>
    <t>CarHybridGasoline</t>
  </si>
  <si>
    <t>CarElectric</t>
  </si>
  <si>
    <t>HCV1Diesel</t>
  </si>
  <si>
    <t>HCV1Gasoline</t>
  </si>
  <si>
    <t>HCV2Diesel</t>
  </si>
  <si>
    <t>HCV3Diesel</t>
  </si>
  <si>
    <t>HCV4Diesel</t>
  </si>
  <si>
    <t>HCV5Diesel</t>
  </si>
  <si>
    <t>HCV6Diesel</t>
  </si>
  <si>
    <t>HCV7Diesel</t>
  </si>
  <si>
    <t>HCV8Diesel</t>
  </si>
  <si>
    <t>HCV9Diesel</t>
  </si>
  <si>
    <t>LCVDiesel</t>
  </si>
  <si>
    <t>LCVGasoline</t>
  </si>
  <si>
    <t>MBTDiesel</t>
  </si>
  <si>
    <t>MBTGasoline</t>
  </si>
  <si>
    <t>SUVDiesel</t>
  </si>
  <si>
    <t>SUVHybridGasoline</t>
  </si>
  <si>
    <t>SUVGasoline</t>
  </si>
  <si>
    <t>SUVElectric</t>
  </si>
  <si>
    <t>MotoGasoline</t>
  </si>
  <si>
    <t>Mid Value of Total Mileage Summary (Analytica)</t>
  </si>
  <si>
    <t>RHEW</t>
  </si>
  <si>
    <t>Original series without fuel switch</t>
  </si>
  <si>
    <t>Share of LPG (RHEW) - User specified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</si>
</sst>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6">
    <numFmt numFmtId="43" formatCode="_-* #,##0.00_-;\-* #,##0.00_-;_-* &quot;-&quot;??_-;_-@_-"/>
    <numFmt numFmtId="164" formatCode="_(* #,##0_);_(* \(#,##0\);_(* &quot;-&quot;_);_(@_)"/>
    <numFmt numFmtId="165" formatCode="_(* #,##0.00_);_(* \(#,##0.00\);_(* &quot;-&quot;??_);_(@_)"/>
    <numFmt numFmtId="166" formatCode="_ * #,##0_ ;_ * \-#,##0_ ;_ * &quot;-&quot;_ ;_ @_ "/>
    <numFmt numFmtId="167" formatCode="_ * #,##0.00_ ;_ * \-#,##0.00_ ;_ * &quot;-&quot;??_ ;_ @_ "/>
    <numFmt numFmtId="168" formatCode="#,##0.00\ ;&quot; -&quot;#,##0.00\ ;&quot; -&quot;#\ ;@\ "/>
    <numFmt numFmtId="169" formatCode="[$-809]General"/>
    <numFmt numFmtId="170" formatCode="#,##0.00&quot; &quot;;&quot; -&quot;#,##0.00&quot; &quot;;&quot; -&quot;#&quot; &quot;;@&quot; &quot;"/>
    <numFmt numFmtId="171" formatCode="[$£-809]#,##0.00;[Red]&quot;-&quot;[$£-809]#,##0.00"/>
    <numFmt numFmtId="172" formatCode="0.0%"/>
    <numFmt numFmtId="173" formatCode="0.0"/>
    <numFmt numFmtId="174" formatCode="0.000"/>
    <numFmt numFmtId="175" formatCode="#,##0.0"/>
    <numFmt numFmtId="176" formatCode="_ * #,##0.0_ ;_ * \-#,##0.0_ ;_ * &quot;-&quot;??_ ;_ @_ "/>
    <numFmt numFmtId="177" formatCode="0.0000"/>
    <numFmt numFmtId="178" formatCode="0.00000"/>
    <numFmt numFmtId="179" formatCode="0.00_)"/>
    <numFmt numFmtId="180" formatCode="0%;\ \(0%\);\ \-"/>
    <numFmt numFmtId="181" formatCode="[$£-809]#,##0.000;[Red]&quot;-&quot;[$£-809]#,##0.000"/>
    <numFmt numFmtId="182" formatCode="0.000_)"/>
    <numFmt numFmtId="183" formatCode="#,##0.0_);\(#,##0.0\);&quot;-&quot;_);@"/>
    <numFmt numFmtId="184" formatCode="_-&quot;£&quot;* #,##0.00_-;\-&quot;£&quot;* #,##0.00_-;_-&quot;£&quot;* &quot;-&quot;??_-;_-@_-"/>
    <numFmt numFmtId="185" formatCode="0_(&quot;$&quot;* #,##0;_)_(&quot;$&quot;* \(#,##0;\)_(&quot;$&quot;* &quot;-&quot;;_)_(@"/>
    <numFmt numFmtId="186" formatCode="#,##0_);\(#,##0\);&quot;-&quot;"/>
    <numFmt numFmtId="187" formatCode="#,##0.0_);\(#,##0.0\);&quot;-&quot;;@"/>
    <numFmt numFmtId="188" formatCode="#,##0.000"/>
  </numFmts>
  <fonts count="170">
    <font>
      <sz val="11"/>
      <color theme="1"/>
      <name val="Calibri"/>
      <family val="2"/>
      <scheme val="minor"/>
    </font>
    <font>
      <sz val="10"/>
      <name val="Verdana"/>
      <family val="2"/>
    </font>
    <font>
      <sz val="10"/>
      <name val="Arial"/>
      <family val="2"/>
    </font>
    <font>
      <b/>
      <sz val="12"/>
      <name val="Times New Roman"/>
      <family val="1"/>
    </font>
    <font>
      <sz val="10"/>
      <name val="Arial Unicode MS"/>
      <family val="2"/>
    </font>
    <font>
      <sz val="9"/>
      <color indexed="8"/>
      <name val="Times New Roman"/>
      <family val="1"/>
    </font>
    <font>
      <sz val="9"/>
      <name val="Times New Roman"/>
      <family val="1"/>
    </font>
    <font>
      <sz val="8"/>
      <color indexed="81"/>
      <name val="Tahoma"/>
      <family val="2"/>
    </font>
    <font>
      <b/>
      <sz val="8"/>
      <color indexed="81"/>
      <name val="Tahoma"/>
      <family val="2"/>
    </font>
    <font>
      <b/>
      <sz val="8"/>
      <name val="Arial"/>
      <family val="2"/>
    </font>
    <font>
      <sz val="8"/>
      <name val="Arial"/>
      <family val="2"/>
    </font>
    <font>
      <b/>
      <sz val="8"/>
      <color indexed="8"/>
      <name val="Arial"/>
      <family val="2"/>
    </font>
    <font>
      <b/>
      <sz val="11"/>
      <color indexed="56"/>
      <name val="Calibri"/>
      <family val="2"/>
    </font>
    <font>
      <b/>
      <u/>
      <sz val="11"/>
      <color indexed="56"/>
      <name val="Calibri"/>
      <family val="2"/>
    </font>
    <font>
      <b/>
      <sz val="9"/>
      <color indexed="81"/>
      <name val="Tahoma"/>
      <family val="2"/>
    </font>
    <font>
      <sz val="9"/>
      <color indexed="81"/>
      <name val="Tahoma"/>
      <family val="2"/>
    </font>
    <font>
      <sz val="11"/>
      <color theme="1"/>
      <name val="Calibri"/>
      <family val="2"/>
      <scheme val="minor"/>
    </font>
    <font>
      <sz val="11"/>
      <color rgb="FF9C0006"/>
      <name val="Calibri"/>
      <family val="2"/>
      <scheme val="minor"/>
    </font>
    <font>
      <sz val="10"/>
      <color theme="4"/>
      <name val="Arial"/>
      <family val="2"/>
    </font>
    <font>
      <b/>
      <sz val="11"/>
      <color rgb="FFFA7D00"/>
      <name val="Calibri"/>
      <family val="2"/>
      <scheme val="minor"/>
    </font>
    <font>
      <sz val="10"/>
      <color theme="1"/>
      <name val="Verdana1"/>
    </font>
    <font>
      <sz val="10"/>
      <color theme="1"/>
      <name val="Arial Unicode MS"/>
      <family val="2"/>
    </font>
    <font>
      <sz val="10"/>
      <color theme="6" tint="-0.24994659260841701"/>
      <name val="Arial"/>
      <family val="2"/>
    </font>
    <font>
      <sz val="10"/>
      <color theme="6" tint="-0.24994659260841701"/>
      <name val="Arial"/>
      <family val="2"/>
      <charset val="238"/>
    </font>
    <font>
      <b/>
      <i/>
      <sz val="16"/>
      <color theme="1"/>
      <name val="Arial1"/>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0"/>
      <color theme="9" tint="-0.24994659260841701"/>
      <name val="Arial"/>
      <family val="2"/>
    </font>
    <font>
      <sz val="11"/>
      <color rgb="FF9C6500"/>
      <name val="Calibri"/>
      <family val="2"/>
      <scheme val="minor"/>
    </font>
    <font>
      <sz val="11"/>
      <color theme="1"/>
      <name val="Arial1"/>
    </font>
    <font>
      <sz val="12"/>
      <color theme="1"/>
      <name val="Calibri"/>
      <family val="2"/>
      <scheme val="minor"/>
    </font>
    <font>
      <b/>
      <i/>
      <u/>
      <sz val="11"/>
      <color theme="1"/>
      <name val="Arial1"/>
    </font>
    <font>
      <b/>
      <sz val="11"/>
      <color theme="1"/>
      <name val="Calibri"/>
      <family val="2"/>
      <scheme val="minor"/>
    </font>
    <font>
      <sz val="11"/>
      <color rgb="FFFF0000"/>
      <name val="Calibri"/>
      <family val="2"/>
      <scheme val="minor"/>
    </font>
    <font>
      <i/>
      <sz val="11"/>
      <color theme="1"/>
      <name val="Calibri"/>
      <family val="2"/>
      <scheme val="minor"/>
    </font>
    <font>
      <sz val="11"/>
      <name val="Calibri"/>
      <family val="2"/>
      <scheme val="minor"/>
    </font>
    <font>
      <b/>
      <sz val="8"/>
      <color rgb="FF800080"/>
      <name val="Arial"/>
      <family val="2"/>
    </font>
    <font>
      <b/>
      <sz val="8"/>
      <color theme="1"/>
      <name val="Arial"/>
      <family val="2"/>
    </font>
    <font>
      <b/>
      <sz val="11"/>
      <color rgb="FF9C6500"/>
      <name val="Calibri"/>
      <family val="2"/>
      <scheme val="minor"/>
    </font>
    <font>
      <b/>
      <sz val="11"/>
      <color rgb="FF3F3F76"/>
      <name val="Calibri"/>
      <family val="2"/>
      <scheme val="minor"/>
    </font>
    <font>
      <sz val="11"/>
      <color theme="3"/>
      <name val="Calibri"/>
      <family val="2"/>
      <scheme val="minor"/>
    </font>
    <font>
      <b/>
      <sz val="11"/>
      <color rgb="FF9C0006"/>
      <name val="Calibri"/>
      <family val="2"/>
      <scheme val="minor"/>
    </font>
    <font>
      <b/>
      <sz val="15"/>
      <color theme="3"/>
      <name val="Calibri"/>
      <family val="2"/>
      <scheme val="minor"/>
    </font>
    <font>
      <sz val="11"/>
      <color rgb="FF006100"/>
      <name val="Calibri"/>
      <family val="2"/>
      <scheme val="minor"/>
    </font>
    <font>
      <b/>
      <sz val="11"/>
      <color rgb="FF3F3F3F"/>
      <name val="Calibri"/>
      <family val="2"/>
      <scheme val="minor"/>
    </font>
    <font>
      <sz val="11"/>
      <color theme="0"/>
      <name val="Calibri"/>
      <family val="2"/>
      <scheme val="minor"/>
    </font>
    <font>
      <sz val="10"/>
      <color theme="1"/>
      <name val="Calibri"/>
      <family val="1"/>
      <scheme val="minor"/>
    </font>
    <font>
      <b/>
      <sz val="10"/>
      <color theme="1"/>
      <name val="Calibri"/>
      <family val="1"/>
      <scheme val="minor"/>
    </font>
    <font>
      <b/>
      <sz val="15"/>
      <color theme="3"/>
      <name val="Arial"/>
      <family val="2"/>
    </font>
    <font>
      <sz val="12"/>
      <color theme="1"/>
      <name val="Arial"/>
      <family val="2"/>
    </font>
    <font>
      <sz val="10"/>
      <color theme="1"/>
      <name val="Arial"/>
      <family val="2"/>
    </font>
    <font>
      <sz val="10"/>
      <color indexed="8"/>
      <name val="Arial"/>
      <family val="2"/>
    </font>
    <font>
      <sz val="11"/>
      <color indexed="8"/>
      <name val="Cambria"/>
      <family val="2"/>
    </font>
    <font>
      <sz val="10"/>
      <color indexed="8"/>
      <name val="Arial"/>
      <family val="2"/>
      <charset val="134"/>
    </font>
    <font>
      <sz val="10"/>
      <color theme="0"/>
      <name val="Arial"/>
      <family val="2"/>
    </font>
    <font>
      <sz val="10"/>
      <color indexed="9"/>
      <name val="Arial"/>
      <family val="2"/>
    </font>
    <font>
      <sz val="11"/>
      <color indexed="9"/>
      <name val="Calibri"/>
      <family val="2"/>
    </font>
    <font>
      <sz val="11"/>
      <color indexed="9"/>
      <name val="Cambria"/>
      <family val="2"/>
    </font>
    <font>
      <sz val="11"/>
      <color indexed="20"/>
      <name val="Calibri"/>
      <family val="2"/>
    </font>
    <font>
      <sz val="11"/>
      <color indexed="20"/>
      <name val="Cambria"/>
      <family val="2"/>
    </font>
    <font>
      <sz val="10"/>
      <color rgb="FF9C0006"/>
      <name val="Arial"/>
      <family val="2"/>
    </font>
    <font>
      <sz val="10"/>
      <color indexed="20"/>
      <name val="Arial"/>
      <family val="2"/>
    </font>
    <font>
      <sz val="10"/>
      <color rgb="FF4F81BD"/>
      <name val="Arial"/>
      <family val="2"/>
    </font>
    <font>
      <sz val="10"/>
      <color indexed="62"/>
      <name val="Arial"/>
      <family val="2"/>
    </font>
    <font>
      <b/>
      <sz val="11"/>
      <color indexed="52"/>
      <name val="Calibri"/>
      <family val="2"/>
    </font>
    <font>
      <b/>
      <sz val="11"/>
      <color indexed="52"/>
      <name val="Cambria"/>
      <family val="2"/>
    </font>
    <font>
      <b/>
      <sz val="10"/>
      <color rgb="FFFA7D00"/>
      <name val="Arial"/>
      <family val="2"/>
    </font>
    <font>
      <b/>
      <sz val="10"/>
      <color indexed="52"/>
      <name val="Arial"/>
      <family val="2"/>
    </font>
    <font>
      <b/>
      <sz val="10"/>
      <color theme="0"/>
      <name val="Arial"/>
      <family val="2"/>
    </font>
    <font>
      <b/>
      <sz val="10"/>
      <color indexed="9"/>
      <name val="Arial"/>
      <family val="2"/>
    </font>
    <font>
      <sz val="11"/>
      <name val="Tms Rmn"/>
    </font>
    <font>
      <sz val="10"/>
      <color indexed="8"/>
      <name val="Calibri"/>
      <family val="1"/>
    </font>
    <font>
      <sz val="10"/>
      <color indexed="8"/>
      <name val="Cambria"/>
      <family val="1"/>
      <charset val="134"/>
    </font>
    <font>
      <sz val="11"/>
      <color indexed="8"/>
      <name val="Calibri"/>
      <family val="2"/>
    </font>
    <font>
      <sz val="12"/>
      <color indexed="24"/>
      <name val="Arial"/>
      <family val="2"/>
    </font>
    <font>
      <sz val="10"/>
      <color indexed="8"/>
      <name val="Verdana1"/>
    </font>
    <font>
      <i/>
      <sz val="10"/>
      <color rgb="FF7F7F7F"/>
      <name val="Arial"/>
      <family val="2"/>
    </font>
    <font>
      <i/>
      <sz val="10"/>
      <color indexed="23"/>
      <name val="Arial"/>
      <family val="2"/>
    </font>
    <font>
      <sz val="10"/>
      <color indexed="57"/>
      <name val="Arial"/>
      <family val="2"/>
      <charset val="238"/>
    </font>
    <font>
      <sz val="10"/>
      <color rgb="FF76933C"/>
      <name val="Arial"/>
      <family val="2"/>
    </font>
    <font>
      <sz val="10"/>
      <color indexed="57"/>
      <name val="Arial"/>
      <family val="2"/>
    </font>
    <font>
      <sz val="1"/>
      <color indexed="8"/>
      <name val="Courier"/>
      <family val="3"/>
    </font>
    <font>
      <i/>
      <sz val="1"/>
      <color indexed="8"/>
      <name val="Courier"/>
      <family val="3"/>
    </font>
    <font>
      <u/>
      <sz val="10"/>
      <color theme="11"/>
      <name val="Verdana"/>
      <family val="2"/>
    </font>
    <font>
      <sz val="11"/>
      <color indexed="17"/>
      <name val="Calibri"/>
      <family val="2"/>
    </font>
    <font>
      <sz val="11"/>
      <color indexed="17"/>
      <name val="Cambria"/>
      <family val="2"/>
    </font>
    <font>
      <sz val="10"/>
      <color rgb="FF006100"/>
      <name val="Arial"/>
      <family val="2"/>
    </font>
    <font>
      <sz val="10"/>
      <color indexed="17"/>
      <name val="Arial"/>
      <family val="2"/>
    </font>
    <font>
      <b/>
      <sz val="12"/>
      <name val="Arial"/>
      <family val="2"/>
    </font>
    <font>
      <b/>
      <sz val="15"/>
      <color indexed="56"/>
      <name val="Calibri"/>
      <family val="2"/>
      <scheme val="minor"/>
    </font>
    <font>
      <b/>
      <sz val="15"/>
      <color indexed="56"/>
      <name val="Calibri"/>
      <family val="2"/>
    </font>
    <font>
      <b/>
      <sz val="15"/>
      <color indexed="56"/>
      <name val="Cambria"/>
      <family val="2"/>
    </font>
    <font>
      <b/>
      <sz val="15"/>
      <color indexed="56"/>
      <name val="Arial"/>
      <family val="2"/>
    </font>
    <font>
      <b/>
      <sz val="13"/>
      <color indexed="56"/>
      <name val="Calibri"/>
      <family val="2"/>
      <scheme val="minor"/>
    </font>
    <font>
      <b/>
      <sz val="13"/>
      <color indexed="56"/>
      <name val="Calibri"/>
      <family val="2"/>
    </font>
    <font>
      <b/>
      <sz val="13"/>
      <color indexed="56"/>
      <name val="Cambria"/>
      <family val="2"/>
    </font>
    <font>
      <b/>
      <sz val="13"/>
      <color theme="3"/>
      <name val="Arial"/>
      <family val="2"/>
    </font>
    <font>
      <b/>
      <sz val="13"/>
      <color indexed="56"/>
      <name val="Arial"/>
      <family val="2"/>
    </font>
    <font>
      <b/>
      <sz val="11"/>
      <color indexed="56"/>
      <name val="Cambria"/>
      <family val="2"/>
    </font>
    <font>
      <b/>
      <sz val="11"/>
      <color theme="3"/>
      <name val="Arial"/>
      <family val="2"/>
    </font>
    <font>
      <b/>
      <sz val="11"/>
      <color indexed="56"/>
      <name val="Arial"/>
      <family val="2"/>
    </font>
    <font>
      <b/>
      <sz val="11"/>
      <color indexed="56"/>
      <name val="Calibri"/>
      <family val="2"/>
      <scheme val="minor"/>
    </font>
    <font>
      <b/>
      <i/>
      <sz val="16"/>
      <color indexed="8"/>
      <name val="Arial1"/>
    </font>
    <font>
      <u/>
      <sz val="10"/>
      <color theme="10"/>
      <name val="Calibri"/>
      <family val="1"/>
      <scheme val="minor"/>
    </font>
    <font>
      <u/>
      <sz val="10"/>
      <color indexed="12"/>
      <name val="Calibri"/>
      <family val="1"/>
      <charset val="134"/>
    </font>
    <font>
      <u/>
      <sz val="10"/>
      <color indexed="12"/>
      <name val="Calibri"/>
      <family val="1"/>
    </font>
    <font>
      <u/>
      <sz val="10"/>
      <color indexed="12"/>
      <name val="Cambria"/>
      <family val="1"/>
    </font>
    <font>
      <u/>
      <sz val="10"/>
      <color indexed="12"/>
      <name val="Arial"/>
      <family val="2"/>
    </font>
    <font>
      <u/>
      <sz val="8.5"/>
      <color indexed="12"/>
      <name val="Cambria"/>
      <family val="1"/>
      <charset val="134"/>
    </font>
    <font>
      <u/>
      <sz val="8.5"/>
      <color indexed="12"/>
      <name val="Cambria"/>
      <family val="1"/>
    </font>
    <font>
      <u/>
      <sz val="8.5"/>
      <color theme="10"/>
      <name val="Cambria"/>
      <family val="1"/>
    </font>
    <font>
      <sz val="11"/>
      <color indexed="62"/>
      <name val="Calibri"/>
      <family val="2"/>
    </font>
    <font>
      <sz val="11"/>
      <color indexed="62"/>
      <name val="Cambria"/>
      <family val="2"/>
    </font>
    <font>
      <sz val="10"/>
      <color rgb="FF3F3F76"/>
      <name val="Arial"/>
      <family val="2"/>
    </font>
    <font>
      <sz val="10"/>
      <color rgb="FFE26B0A"/>
      <name val="Arial"/>
      <family val="2"/>
    </font>
    <font>
      <sz val="10"/>
      <color indexed="53"/>
      <name val="Arial"/>
      <family val="2"/>
    </font>
    <font>
      <sz val="10"/>
      <color rgb="FFFA7D00"/>
      <name val="Arial"/>
      <family val="2"/>
    </font>
    <font>
      <sz val="10"/>
      <color indexed="52"/>
      <name val="Arial"/>
      <family val="2"/>
    </font>
    <font>
      <sz val="11"/>
      <color indexed="60"/>
      <name val="Calibri"/>
      <family val="2"/>
    </font>
    <font>
      <sz val="11"/>
      <color indexed="60"/>
      <name val="Cambria"/>
      <family val="2"/>
    </font>
    <font>
      <sz val="10"/>
      <color rgb="FF9C6500"/>
      <name val="Arial"/>
      <family val="2"/>
    </font>
    <font>
      <sz val="10"/>
      <color indexed="60"/>
      <name val="Arial"/>
      <family val="2"/>
    </font>
    <font>
      <b/>
      <i/>
      <sz val="16"/>
      <name val="Helv"/>
    </font>
    <font>
      <sz val="10"/>
      <color indexed="8"/>
      <name val="Cambria"/>
      <family val="1"/>
    </font>
    <font>
      <sz val="11"/>
      <color indexed="8"/>
      <name val="Arial1"/>
    </font>
    <font>
      <sz val="10"/>
      <name val="Arial"/>
      <family val="2"/>
      <charset val="134"/>
    </font>
    <font>
      <sz val="12"/>
      <color indexed="8"/>
      <name val="Calibri"/>
      <family val="2"/>
    </font>
    <font>
      <sz val="12"/>
      <color indexed="8"/>
      <name val="Cambria"/>
      <family val="2"/>
    </font>
    <font>
      <sz val="10"/>
      <color indexed="8"/>
      <name val="Calibri"/>
      <family val="1"/>
      <charset val="134"/>
    </font>
    <font>
      <sz val="8"/>
      <name val="Calibri"/>
      <family val="1"/>
      <scheme val="minor"/>
    </font>
    <font>
      <sz val="8"/>
      <name val="Cambria"/>
      <family val="1"/>
      <charset val="134"/>
    </font>
    <font>
      <sz val="8"/>
      <name val="Calibri"/>
      <family val="1"/>
    </font>
    <font>
      <sz val="8"/>
      <name val="Cambria"/>
      <family val="1"/>
    </font>
    <font>
      <b/>
      <sz val="11"/>
      <color indexed="63"/>
      <name val="Calibri"/>
      <family val="2"/>
    </font>
    <font>
      <b/>
      <sz val="11"/>
      <color indexed="63"/>
      <name val="Cambria"/>
      <family val="2"/>
    </font>
    <font>
      <b/>
      <sz val="10"/>
      <color rgb="FF3F3F3F"/>
      <name val="Arial"/>
      <family val="2"/>
    </font>
    <font>
      <b/>
      <sz val="10"/>
      <color indexed="63"/>
      <name val="Arial"/>
      <family val="2"/>
    </font>
    <font>
      <sz val="12"/>
      <color indexed="8"/>
      <name val="Arial"/>
      <family val="2"/>
    </font>
    <font>
      <b/>
      <i/>
      <u/>
      <sz val="11"/>
      <color indexed="8"/>
      <name val="Arial1"/>
    </font>
    <font>
      <u/>
      <sz val="10"/>
      <color theme="5" tint="0.79998168889431442"/>
      <name val="Calibri"/>
      <family val="1"/>
      <scheme val="minor"/>
    </font>
    <font>
      <u/>
      <sz val="10"/>
      <color indexed="45"/>
      <name val="Calibri"/>
      <family val="1"/>
    </font>
    <font>
      <u/>
      <sz val="10"/>
      <color indexed="45"/>
      <name val="Cambria"/>
      <family val="1"/>
    </font>
    <font>
      <b/>
      <sz val="18"/>
      <color indexed="62"/>
      <name val="Cambria"/>
      <family val="2"/>
      <charset val="134"/>
    </font>
    <font>
      <b/>
      <sz val="10"/>
      <color theme="1"/>
      <name val="Arial"/>
      <family val="2"/>
    </font>
    <font>
      <b/>
      <sz val="10"/>
      <color indexed="8"/>
      <name val="Arial"/>
      <family val="2"/>
    </font>
    <font>
      <sz val="8"/>
      <color indexed="10"/>
      <name val="Arial Narrow"/>
      <family val="2"/>
    </font>
    <font>
      <sz val="10"/>
      <color rgb="FFFF0000"/>
      <name val="Arial"/>
      <family val="2"/>
    </font>
    <font>
      <sz val="10"/>
      <color indexed="10"/>
      <name val="Arial"/>
      <family val="2"/>
    </font>
    <font>
      <sz val="11"/>
      <name val="ＭＳ Ｐゴシック"/>
      <family val="3"/>
      <charset val="128"/>
    </font>
    <font>
      <sz val="11"/>
      <color indexed="8"/>
      <name val="ＭＳ Ｐゴシック"/>
      <family val="3"/>
      <charset val="128"/>
    </font>
    <font>
      <b/>
      <i/>
      <sz val="11"/>
      <color theme="3"/>
      <name val="Calibri"/>
      <family val="2"/>
      <scheme val="minor"/>
    </font>
    <font>
      <b/>
      <sz val="14"/>
      <color theme="3"/>
      <name val="Calibri"/>
      <family val="2"/>
      <scheme val="minor"/>
    </font>
    <font>
      <b/>
      <sz val="9"/>
      <name val="Arial"/>
      <family val="2"/>
    </font>
    <font>
      <b/>
      <sz val="10"/>
      <name val="Arial"/>
      <family val="2"/>
    </font>
    <font>
      <u/>
      <sz val="11"/>
      <color theme="10"/>
      <name val="Calibri"/>
      <family val="2"/>
      <scheme val="minor"/>
    </font>
    <font>
      <u/>
      <sz val="11"/>
      <color theme="11"/>
      <name val="Calibri"/>
      <family val="2"/>
      <scheme val="minor"/>
    </font>
    <font>
      <sz val="9"/>
      <color indexed="81"/>
      <name val="Calibri"/>
      <family val="2"/>
    </font>
    <font>
      <b/>
      <sz val="9"/>
      <color indexed="81"/>
      <name val="Calibri"/>
      <family val="2"/>
    </font>
    <font>
      <sz val="11"/>
      <color rgb="FFC00000"/>
      <name val="Calibri"/>
      <family val="2"/>
      <scheme val="minor"/>
    </font>
    <font>
      <b/>
      <sz val="11"/>
      <color theme="0" tint="-0.499984740745262"/>
      <name val="Calibri"/>
      <family val="2"/>
      <scheme val="minor"/>
    </font>
    <font>
      <b/>
      <sz val="11"/>
      <name val="Calibri"/>
      <family val="2"/>
      <scheme val="minor"/>
    </font>
    <font>
      <b/>
      <sz val="11"/>
      <color theme="0"/>
      <name val="Calibri"/>
      <family val="2"/>
      <scheme val="minor"/>
    </font>
    <font>
      <sz val="10"/>
      <color rgb="FF000000"/>
      <name val="Times New Roman"/>
      <family val="1"/>
    </font>
    <font>
      <sz val="11"/>
      <color theme="5"/>
      <name val="Calibri"/>
      <family val="2"/>
      <scheme val="minor"/>
    </font>
    <font>
      <b/>
      <sz val="8"/>
      <color theme="5"/>
      <name val="Arial"/>
      <family val="2"/>
    </font>
    <font>
      <sz val="8"/>
      <name val="Calibri"/>
      <family val="2"/>
      <scheme val="minor"/>
    </font>
    <font>
      <b/>
      <sz val="11"/>
      <color rgb="FFFF0000"/>
      <name val="Calibri"/>
      <family val="2"/>
      <scheme val="minor"/>
    </font>
    <font>
      <b/>
      <i/>
      <sz val="11"/>
      <color theme="1"/>
      <name val="Calibri"/>
      <family val="2"/>
      <scheme val="minor"/>
    </font>
  </fonts>
  <fills count="82">
    <fill>
      <patternFill patternType="none"/>
    </fill>
    <fill>
      <patternFill patternType="gray125"/>
    </fill>
    <fill>
      <patternFill patternType="solid">
        <fgColor indexed="27"/>
        <bgColor indexed="64"/>
      </patternFill>
    </fill>
    <fill>
      <patternFill patternType="solid">
        <fgColor indexed="55"/>
        <bgColor indexed="64"/>
      </patternFill>
    </fill>
    <fill>
      <patternFill patternType="solid">
        <fgColor rgb="FFFFC7CE"/>
      </patternFill>
    </fill>
    <fill>
      <patternFill patternType="solid">
        <fgColor rgb="FFF2F2F2"/>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00"/>
        <bgColor indexed="64"/>
      </patternFill>
    </fill>
    <fill>
      <patternFill patternType="solid">
        <fgColor rgb="FFFFC000"/>
        <bgColor indexed="64"/>
      </patternFill>
    </fill>
    <fill>
      <patternFill patternType="solid">
        <fgColor rgb="FFC6EFCE"/>
      </patternFill>
    </fill>
    <fill>
      <patternFill patternType="solid">
        <fgColor rgb="FFA5A5A5"/>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59999389629810485"/>
        <bgColor indexed="64"/>
      </patternFill>
    </fill>
    <fill>
      <patternFill patternType="solid">
        <fgColor theme="6" tint="0.39994506668294322"/>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7"/>
        <bgColor indexed="64"/>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theme="7" tint="0.39994506668294322"/>
        <bgColor indexed="64"/>
      </patternFill>
    </fill>
    <fill>
      <patternFill patternType="solid">
        <fgColor indexed="36"/>
        <bgColor indexed="64"/>
      </patternFill>
    </fill>
    <fill>
      <patternFill patternType="solid">
        <fgColor rgb="FFFFC7CE"/>
        <bgColor indexed="64"/>
      </patternFill>
    </fill>
    <fill>
      <patternFill patternType="solid">
        <fgColor indexed="45"/>
        <bgColor indexed="64"/>
      </patternFill>
    </fill>
    <fill>
      <patternFill patternType="solid">
        <fgColor indexed="11"/>
        <bgColor indexed="64"/>
      </patternFill>
    </fill>
    <fill>
      <patternFill patternType="solid">
        <fgColor theme="6" tint="0.59996337778862885"/>
        <bgColor indexed="64"/>
      </patternFill>
    </fill>
    <fill>
      <patternFill patternType="solid">
        <fgColor indexed="22"/>
      </patternFill>
    </fill>
    <fill>
      <patternFill patternType="solid">
        <fgColor indexed="55"/>
      </patternFill>
    </fill>
    <fill>
      <patternFill patternType="solid">
        <fgColor rgb="FFC6EFCE"/>
        <bgColor indexed="64"/>
      </patternFill>
    </fill>
    <fill>
      <patternFill patternType="solid">
        <fgColor indexed="42"/>
        <bgColor indexed="64"/>
      </patternFill>
    </fill>
    <fill>
      <patternFill patternType="solid">
        <fgColor rgb="FFFFCC99"/>
        <bgColor indexed="64"/>
      </patternFill>
    </fill>
    <fill>
      <patternFill patternType="solid">
        <fgColor theme="8" tint="0.59996337778862885"/>
        <bgColor indexed="64"/>
      </patternFill>
    </fill>
    <fill>
      <patternFill patternType="solid">
        <fgColor theme="8" tint="0.39994506668294322"/>
        <bgColor indexed="64"/>
      </patternFill>
    </fill>
    <fill>
      <patternFill patternType="solid">
        <fgColor indexed="49"/>
        <bgColor indexed="64"/>
      </patternFill>
    </fill>
    <fill>
      <patternFill patternType="solid">
        <fgColor indexed="43"/>
      </patternFill>
    </fill>
    <fill>
      <patternFill patternType="solid">
        <fgColor indexed="26"/>
      </patternFill>
    </fill>
    <fill>
      <patternFill patternType="solid">
        <fgColor theme="0" tint="-0.34998626667073579"/>
        <bgColor indexed="64"/>
      </patternFill>
    </fill>
    <fill>
      <patternFill patternType="solid">
        <fgColor theme="0" tint="-0.149998474074526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rgb="FFAADC9B"/>
        <bgColor indexed="64"/>
      </patternFill>
    </fill>
    <fill>
      <patternFill patternType="solid">
        <fgColor theme="5" tint="0.79998168889431442"/>
        <bgColor indexed="64"/>
      </patternFill>
    </fill>
    <fill>
      <patternFill patternType="solid">
        <fgColor theme="7" tint="0.79998168889431442"/>
        <bgColor indexed="64"/>
      </patternFill>
    </fill>
  </fills>
  <borders count="60">
    <border>
      <left/>
      <right/>
      <top/>
      <bottom/>
      <diagonal/>
    </border>
    <border>
      <left style="thin">
        <color auto="1"/>
      </left>
      <right style="thin">
        <color auto="1"/>
      </right>
      <top style="thin">
        <color auto="1"/>
      </top>
      <bottom style="thin">
        <color auto="1"/>
      </bottom>
      <diagonal/>
    </border>
    <border>
      <left/>
      <right/>
      <top/>
      <bottom style="medium">
        <color auto="1"/>
      </bottom>
      <diagonal/>
    </border>
    <border>
      <left/>
      <right/>
      <top/>
      <bottom style="thin">
        <color auto="1"/>
      </bottom>
      <diagonal/>
    </border>
    <border>
      <left style="thin">
        <color auto="1"/>
      </left>
      <right/>
      <top/>
      <bottom/>
      <diagonal/>
    </border>
    <border>
      <left style="thin">
        <color rgb="FF7F7F7F"/>
      </left>
      <right style="thin">
        <color rgb="FF7F7F7F"/>
      </right>
      <top style="thin">
        <color rgb="FF7F7F7F"/>
      </top>
      <bottom style="thin">
        <color rgb="FF7F7F7F"/>
      </bottom>
      <diagonal/>
    </border>
    <border>
      <left/>
      <right/>
      <top/>
      <bottom style="thick">
        <color theme="4" tint="0.499984740745262"/>
      </bottom>
      <diagonal/>
    </border>
    <border>
      <left/>
      <right/>
      <top/>
      <bottom style="medium">
        <color theme="4" tint="0.39997558519241921"/>
      </bottom>
      <diagonal/>
    </border>
    <border>
      <left style="thin">
        <color rgb="FFB2B2B2"/>
      </left>
      <right style="thin">
        <color rgb="FFB2B2B2"/>
      </right>
      <top style="thin">
        <color rgb="FFB2B2B2"/>
      </top>
      <bottom style="thin">
        <color rgb="FFB2B2B2"/>
      </bottom>
      <diagonal/>
    </border>
    <border>
      <left/>
      <right/>
      <top/>
      <bottom style="medium">
        <color theme="3" tint="0.59999389629810485"/>
      </bottom>
      <diagonal/>
    </border>
    <border>
      <left style="thin">
        <color rgb="FF7F7F7F"/>
      </left>
      <right/>
      <top style="thin">
        <color rgb="FF7F7F7F"/>
      </top>
      <bottom style="thin">
        <color rgb="FF7F7F7F"/>
      </bottom>
      <diagonal/>
    </border>
    <border>
      <left style="thin">
        <color auto="1"/>
      </left>
      <right/>
      <top style="thin">
        <color auto="1"/>
      </top>
      <bottom/>
      <diagonal/>
    </border>
    <border>
      <left/>
      <right/>
      <top style="thin">
        <color auto="1"/>
      </top>
      <bottom/>
      <diagonal/>
    </border>
    <border>
      <left style="thin">
        <color auto="1"/>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ck">
        <color theme="4"/>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style="thin">
        <color theme="6" tint="-0.499984740745262"/>
      </left>
      <right style="thin">
        <color theme="6" tint="-0.499984740745262"/>
      </right>
      <top style="thin">
        <color theme="6" tint="-0.499984740745262"/>
      </top>
      <bottom style="thin">
        <color theme="6" tint="-0.499984740745262"/>
      </bottom>
      <diagonal/>
    </border>
    <border>
      <left style="thin">
        <color theme="7" tint="-0.24994659260841701"/>
      </left>
      <right style="thin">
        <color theme="7" tint="-0.24994659260841701"/>
      </right>
      <top style="thin">
        <color theme="7" tint="-0.24994659260841701"/>
      </top>
      <bottom style="thin">
        <color theme="7" tint="-0.24994659260841701"/>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medium">
        <color auto="1"/>
      </top>
      <bottom style="medium">
        <color auto="1"/>
      </bottom>
      <diagonal/>
    </border>
    <border>
      <left/>
      <right/>
      <top style="thin">
        <color auto="1"/>
      </top>
      <bottom style="thin">
        <color auto="1"/>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21"/>
      </left>
      <right style="thin">
        <color indexed="21"/>
      </right>
      <top style="thin">
        <color indexed="21"/>
      </top>
      <bottom style="thin">
        <color indexed="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auto="1"/>
      </top>
      <bottom style="thin">
        <color theme="0" tint="-0.24994659260841701"/>
      </bottom>
      <diagonal/>
    </border>
    <border>
      <left/>
      <right/>
      <top style="thin">
        <color indexed="62"/>
      </top>
      <bottom style="double">
        <color indexed="62"/>
      </bottom>
      <diagonal/>
    </border>
    <border>
      <left/>
      <right style="thin">
        <color auto="1"/>
      </right>
      <top/>
      <bottom style="medium">
        <color theme="4" tint="0.39997558519241921"/>
      </bottom>
      <diagonal/>
    </border>
    <border>
      <left style="thin">
        <color rgb="FF7F7F7F"/>
      </left>
      <right style="thin">
        <color auto="1"/>
      </right>
      <top style="thin">
        <color rgb="FF7F7F7F"/>
      </top>
      <bottom style="thin">
        <color rgb="FF7F7F7F"/>
      </bottom>
      <diagonal/>
    </border>
    <border>
      <left/>
      <right style="thin">
        <color auto="1"/>
      </right>
      <top/>
      <bottom style="medium">
        <color theme="3" tint="0.59999389629810485"/>
      </bottom>
      <diagonal/>
    </border>
    <border>
      <left/>
      <right style="thin">
        <color rgb="FF7F7F7F"/>
      </right>
      <top style="thin">
        <color rgb="FF7F7F7F"/>
      </top>
      <bottom style="thin">
        <color rgb="FF7F7F7F"/>
      </bottom>
      <diagonal/>
    </border>
    <border>
      <left/>
      <right style="thin">
        <color auto="1"/>
      </right>
      <top style="thin">
        <color rgb="FF7F7F7F"/>
      </top>
      <bottom/>
      <diagonal/>
    </border>
    <border>
      <left/>
      <right/>
      <top style="thin">
        <color indexed="64"/>
      </top>
      <bottom style="thin">
        <color indexed="64"/>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36"/>
      </left>
      <right style="thin">
        <color indexed="36"/>
      </right>
      <top style="thin">
        <color indexed="36"/>
      </top>
      <bottom style="thin">
        <color indexed="36"/>
      </bottom>
      <diagonal/>
    </border>
    <border>
      <left style="thin">
        <color indexed="17"/>
      </left>
      <right style="thin">
        <color indexed="17"/>
      </right>
      <top style="thin">
        <color indexed="17"/>
      </top>
      <bottom style="thin">
        <color indexed="17"/>
      </bottom>
      <diagonal/>
    </border>
    <border>
      <left style="thin">
        <color indexed="23"/>
      </left>
      <right style="thin">
        <color indexed="23"/>
      </right>
      <top style="thin">
        <color indexed="23"/>
      </top>
      <bottom style="thin">
        <color indexed="23"/>
      </bottom>
      <diagonal/>
    </border>
    <border>
      <left style="thin">
        <color indexed="21"/>
      </left>
      <right style="thin">
        <color indexed="21"/>
      </right>
      <top style="thin">
        <color indexed="21"/>
      </top>
      <bottom style="thin">
        <color indexed="21"/>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
      <left style="thin">
        <color indexed="64"/>
      </left>
      <right/>
      <top style="thin">
        <color indexed="64"/>
      </top>
      <bottom style="thin">
        <color indexed="64"/>
      </bottom>
      <diagonal/>
    </border>
  </borders>
  <cellStyleXfs count="4433">
    <xf numFmtId="0" fontId="0" fillId="0" borderId="0"/>
    <xf numFmtId="0" fontId="2" fillId="0" borderId="0" applyNumberFormat="0" applyFont="0" applyFill="0" applyBorder="0" applyProtection="0">
      <alignment horizontal="left" vertical="center" indent="5"/>
    </xf>
    <xf numFmtId="4" fontId="6" fillId="2" borderId="1">
      <alignment horizontal="right" vertical="center"/>
    </xf>
    <xf numFmtId="0" fontId="17" fillId="4" borderId="0" applyNumberFormat="0" applyBorder="0" applyAlignment="0" applyProtection="0"/>
    <xf numFmtId="0" fontId="17" fillId="4" borderId="0" applyNumberFormat="0" applyBorder="0" applyAlignment="0" applyProtection="0"/>
    <xf numFmtId="0" fontId="18" fillId="0" borderId="0" applyNumberFormat="0" applyFill="0" applyBorder="0" applyAlignment="0" applyProtection="0"/>
    <xf numFmtId="0" fontId="19" fillId="5" borderId="5" applyNumberFormat="0" applyAlignment="0" applyProtection="0"/>
    <xf numFmtId="168" fontId="4" fillId="0" borderId="0" applyFill="0" applyBorder="0" applyAlignment="0" applyProtection="0"/>
    <xf numFmtId="168" fontId="4" fillId="0" borderId="0" applyFill="0" applyBorder="0" applyAlignment="0" applyProtection="0"/>
    <xf numFmtId="165" fontId="2" fillId="0" borderId="0" applyFont="0" applyFill="0" applyBorder="0" applyAlignment="0" applyProtection="0"/>
    <xf numFmtId="167" fontId="2" fillId="0" borderId="0" applyFont="0" applyFill="0" applyBorder="0" applyAlignment="0" applyProtection="0"/>
    <xf numFmtId="165" fontId="2" fillId="0" borderId="0" applyFont="0" applyFill="0" applyBorder="0" applyAlignment="0" applyProtection="0"/>
    <xf numFmtId="0" fontId="5" fillId="0" borderId="0" applyNumberFormat="0">
      <alignment horizontal="right"/>
    </xf>
    <xf numFmtId="0" fontId="2" fillId="0" borderId="2"/>
    <xf numFmtId="169" fontId="20" fillId="0" borderId="0"/>
    <xf numFmtId="0" fontId="1" fillId="0" borderId="0"/>
    <xf numFmtId="170" fontId="21" fillId="0" borderId="0"/>
    <xf numFmtId="4" fontId="22" fillId="0" borderId="0" applyNumberFormat="0" applyFill="0" applyBorder="0" applyAlignment="0" applyProtection="0">
      <alignment horizontal="center"/>
    </xf>
    <xf numFmtId="4" fontId="23" fillId="0" borderId="0" applyNumberFormat="0" applyFill="0" applyBorder="0" applyAlignment="0" applyProtection="0">
      <alignment horizontal="center"/>
    </xf>
    <xf numFmtId="0" fontId="24" fillId="0" borderId="0">
      <alignment horizontal="center"/>
    </xf>
    <xf numFmtId="0" fontId="25" fillId="0" borderId="6" applyNumberFormat="0" applyFill="0" applyAlignment="0" applyProtection="0"/>
    <xf numFmtId="0" fontId="26" fillId="0" borderId="7" applyNumberFormat="0" applyFill="0" applyAlignment="0" applyProtection="0"/>
    <xf numFmtId="0" fontId="26" fillId="0" borderId="7" applyNumberFormat="0" applyFill="0" applyAlignment="0" applyProtection="0"/>
    <xf numFmtId="0" fontId="26" fillId="0" borderId="0" applyNumberFormat="0" applyFill="0" applyBorder="0" applyAlignment="0" applyProtection="0"/>
    <xf numFmtId="0" fontId="24" fillId="0" borderId="0">
      <alignment horizontal="center" textRotation="90"/>
    </xf>
    <xf numFmtId="0" fontId="3" fillId="0" borderId="0" applyNumberFormat="0" applyFill="0" applyBorder="0" applyAlignment="0" applyProtection="0"/>
    <xf numFmtId="0" fontId="27" fillId="0" borderId="0" applyNumberFormat="0" applyFill="0" applyBorder="0" applyAlignment="0" applyProtection="0">
      <alignment vertical="top"/>
      <protection locked="0"/>
    </xf>
    <xf numFmtId="0" fontId="28" fillId="6" borderId="5" applyNumberFormat="0" applyAlignment="0" applyProtection="0"/>
    <xf numFmtId="0" fontId="28" fillId="6" borderId="5" applyNumberFormat="0" applyAlignment="0" applyProtection="0"/>
    <xf numFmtId="0" fontId="29" fillId="0" borderId="0" applyNumberFormat="0" applyFill="0" applyBorder="0" applyAlignment="0" applyProtection="0"/>
    <xf numFmtId="0" fontId="30" fillId="7" borderId="0" applyNumberFormat="0" applyBorder="0" applyAlignment="0" applyProtection="0"/>
    <xf numFmtId="0" fontId="16" fillId="0" borderId="0"/>
    <xf numFmtId="0" fontId="1" fillId="0" borderId="0"/>
    <xf numFmtId="0" fontId="2" fillId="0" borderId="0"/>
    <xf numFmtId="0" fontId="2" fillId="0" borderId="0"/>
    <xf numFmtId="0" fontId="31" fillId="0" borderId="0"/>
    <xf numFmtId="0" fontId="2" fillId="0" borderId="0"/>
    <xf numFmtId="0" fontId="16" fillId="0" borderId="0"/>
    <xf numFmtId="0" fontId="2" fillId="0" borderId="0"/>
    <xf numFmtId="0" fontId="16" fillId="0" borderId="0"/>
    <xf numFmtId="0" fontId="32" fillId="0" borderId="0"/>
    <xf numFmtId="0" fontId="2" fillId="0" borderId="0"/>
    <xf numFmtId="0" fontId="2" fillId="3" borderId="0" applyNumberFormat="0" applyFont="0" applyBorder="0" applyAlignment="0" applyProtection="0"/>
    <xf numFmtId="0" fontId="2" fillId="0" borderId="0"/>
    <xf numFmtId="0" fontId="16" fillId="8" borderId="8" applyNumberFormat="0" applyFont="0" applyAlignment="0" applyProtection="0"/>
    <xf numFmtId="9" fontId="16" fillId="0" borderId="0" applyFont="0" applyFill="0" applyBorder="0" applyAlignment="0" applyProtection="0"/>
    <xf numFmtId="9" fontId="1" fillId="0" borderId="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32" fillId="0" borderId="0" applyFont="0" applyFill="0" applyBorder="0" applyAlignment="0" applyProtection="0"/>
    <xf numFmtId="0" fontId="33" fillId="0" borderId="0"/>
    <xf numFmtId="171" fontId="33" fillId="0" borderId="0"/>
    <xf numFmtId="0" fontId="6" fillId="0" borderId="0"/>
    <xf numFmtId="0" fontId="16" fillId="0" borderId="0"/>
    <xf numFmtId="0" fontId="44" fillId="0" borderId="20" applyNumberFormat="0" applyFill="0" applyAlignment="0" applyProtection="0"/>
    <xf numFmtId="0" fontId="48" fillId="0" borderId="0"/>
    <xf numFmtId="0" fontId="50" fillId="0" borderId="20" applyNumberFormat="0" applyFill="0" applyAlignment="0" applyProtection="0"/>
    <xf numFmtId="180" fontId="51" fillId="0" borderId="0" applyFont="0" applyFill="0" applyBorder="0" applyAlignment="0" applyProtection="0"/>
    <xf numFmtId="0" fontId="16" fillId="0" borderId="0"/>
    <xf numFmtId="0" fontId="48" fillId="0" borderId="0"/>
    <xf numFmtId="0" fontId="2" fillId="39" borderId="25" applyNumberFormat="0" applyFont="0" applyAlignment="0"/>
    <xf numFmtId="9" fontId="16" fillId="0" borderId="0" applyFont="0" applyFill="0" applyBorder="0" applyAlignment="0" applyProtection="0"/>
    <xf numFmtId="0" fontId="16" fillId="0" borderId="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5"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3" fillId="40"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19"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2" fillId="19"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16" fillId="19" borderId="0" applyNumberFormat="0" applyBorder="0" applyAlignment="0" applyProtection="0"/>
    <xf numFmtId="171" fontId="54" fillId="41" borderId="0" applyNumberFormat="0" applyBorder="0" applyAlignment="0" applyProtection="0"/>
    <xf numFmtId="0" fontId="53" fillId="41" borderId="0" applyNumberFormat="0" applyBorder="0" applyAlignment="0" applyProtection="0"/>
    <xf numFmtId="0" fontId="53" fillId="41"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3"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3" fillId="42"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7"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2" fillId="31"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4"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5" fillId="46" borderId="0" applyNumberFormat="0" applyBorder="0" applyAlignment="0" applyProtection="0">
      <alignment vertical="center"/>
    </xf>
    <xf numFmtId="171" fontId="55" fillId="46" borderId="0" applyNumberFormat="0" applyBorder="0" applyAlignment="0" applyProtection="0">
      <alignment vertical="center"/>
    </xf>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3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3" fillId="45"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16"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0"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3" fillId="48"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4"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3" fillId="49"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28"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3" fillId="43"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2"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3" fillId="47"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2" fillId="36"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3" fillId="50" borderId="0" applyNumberFormat="0" applyBorder="0" applyAlignment="0" applyProtection="0"/>
    <xf numFmtId="0" fontId="56" fillId="17"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7" fillId="51" borderId="0" applyNumberFormat="0" applyBorder="0" applyAlignment="0" applyProtection="0"/>
    <xf numFmtId="0" fontId="56" fillId="21"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7" fillId="48" borderId="0" applyNumberFormat="0" applyBorder="0" applyAlignment="0" applyProtection="0"/>
    <xf numFmtId="0" fontId="56" fillId="25"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7" fillId="49" borderId="0" applyNumberFormat="0" applyBorder="0" applyAlignment="0" applyProtection="0"/>
    <xf numFmtId="0" fontId="56" fillId="29"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6" fillId="37"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7" fillId="54" borderId="0" applyNumberFormat="0" applyBorder="0" applyAlignment="0" applyProtection="0"/>
    <xf numFmtId="0" fontId="56" fillId="14"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7" fillId="55" borderId="0" applyNumberFormat="0" applyBorder="0" applyAlignment="0" applyProtection="0"/>
    <xf numFmtId="0" fontId="56" fillId="18"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7" fillId="56" borderId="0" applyNumberFormat="0" applyBorder="0" applyAlignment="0" applyProtection="0"/>
    <xf numFmtId="0" fontId="56" fillId="22"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57" fillId="57" borderId="0" applyNumberFormat="0" applyBorder="0" applyAlignment="0" applyProtection="0"/>
    <xf numFmtId="0" fontId="47" fillId="26" borderId="0" applyNumberFormat="0" applyBorder="0" applyAlignment="0" applyProtection="0"/>
    <xf numFmtId="0" fontId="58" fillId="52" borderId="0" applyNumberFormat="0" applyBorder="0" applyAlignment="0" applyProtection="0"/>
    <xf numFmtId="0" fontId="58" fillId="52" borderId="0" applyNumberFormat="0" applyBorder="0" applyAlignment="0" applyProtection="0"/>
    <xf numFmtId="0" fontId="59" fillId="52" borderId="0" applyNumberFormat="0" applyBorder="0" applyAlignment="0" applyProtection="0"/>
    <xf numFmtId="0" fontId="56" fillId="26"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7" fillId="52" borderId="0" applyNumberFormat="0" applyBorder="0" applyAlignment="0" applyProtection="0"/>
    <xf numFmtId="0" fontId="56" fillId="30"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57" fillId="53" borderId="0" applyNumberFormat="0" applyBorder="0" applyAlignment="0" applyProtection="0"/>
    <xf numFmtId="0" fontId="47" fillId="34" borderId="0" applyNumberFormat="0" applyBorder="0" applyAlignment="0" applyProtection="0"/>
    <xf numFmtId="0" fontId="58" fillId="58" borderId="0" applyNumberFormat="0" applyBorder="0" applyAlignment="0" applyProtection="0"/>
    <xf numFmtId="0" fontId="58" fillId="58" borderId="0" applyNumberFormat="0" applyBorder="0" applyAlignment="0" applyProtection="0"/>
    <xf numFmtId="0" fontId="59" fillId="58" borderId="0" applyNumberFormat="0" applyBorder="0" applyAlignment="0" applyProtection="0"/>
    <xf numFmtId="0" fontId="56" fillId="34"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0" fontId="57" fillId="58" borderId="0" applyNumberFormat="0" applyBorder="0" applyAlignment="0" applyProtection="0"/>
    <xf numFmtId="178" fontId="2" fillId="59" borderId="26"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78" fontId="2" fillId="60" borderId="27" applyNumberFormat="0" applyFont="0" applyAlignment="0"/>
    <xf numFmtId="181" fontId="17" fillId="4" borderId="0" applyNumberFormat="0" applyBorder="0" applyAlignment="0" applyProtection="0"/>
    <xf numFmtId="171" fontId="17" fillId="61" borderId="0" applyNumberFormat="0" applyBorder="0" applyAlignment="0" applyProtection="0"/>
    <xf numFmtId="171" fontId="60" fillId="62" borderId="0" applyNumberFormat="0" applyBorder="0" applyAlignment="0" applyProtection="0"/>
    <xf numFmtId="171" fontId="60" fillId="62" borderId="0" applyNumberFormat="0" applyBorder="0" applyAlignment="0" applyProtection="0"/>
    <xf numFmtId="171" fontId="61" fillId="62"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181" fontId="17" fillId="4" borderId="0" applyNumberFormat="0" applyBorder="0" applyAlignment="0" applyProtection="0"/>
    <xf numFmtId="0" fontId="61" fillId="41" borderId="0" applyNumberFormat="0" applyBorder="0" applyAlignment="0" applyProtection="0"/>
    <xf numFmtId="0" fontId="17" fillId="4" borderId="0" applyNumberFormat="0" applyBorder="0" applyAlignment="0" applyProtection="0"/>
    <xf numFmtId="171" fontId="17" fillId="4" borderId="0" applyNumberFormat="0" applyBorder="0" applyAlignment="0" applyProtection="0"/>
    <xf numFmtId="171" fontId="60" fillId="41" borderId="0" applyNumberFormat="0" applyBorder="0" applyAlignment="0" applyProtection="0"/>
    <xf numFmtId="171" fontId="60" fillId="41" borderId="0" applyNumberFormat="0" applyBorder="0" applyAlignment="0" applyProtection="0"/>
    <xf numFmtId="171" fontId="61" fillId="41" borderId="0" applyNumberFormat="0" applyBorder="0" applyAlignment="0" applyProtection="0"/>
    <xf numFmtId="0" fontId="60" fillId="41" borderId="0" applyNumberFormat="0" applyBorder="0" applyAlignment="0" applyProtection="0"/>
    <xf numFmtId="0" fontId="60" fillId="41" borderId="0" applyNumberFormat="0" applyBorder="0" applyAlignment="0" applyProtection="0"/>
    <xf numFmtId="0" fontId="61" fillId="41" borderId="0" applyNumberFormat="0" applyBorder="0" applyAlignment="0" applyProtection="0"/>
    <xf numFmtId="0" fontId="62" fillId="4"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63" fillId="41" borderId="0" applyNumberFormat="0" applyBorder="0" applyAlignment="0" applyProtection="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2" fillId="63" borderId="28" applyNumberFormat="0" applyFont="0" applyAlignment="0"/>
    <xf numFmtId="0" fontId="10" fillId="64" borderId="25"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0" fontId="10" fillId="63" borderId="28" applyNumberFormat="0" applyFont="0" applyAlignment="0"/>
    <xf numFmtId="171" fontId="18" fillId="0" borderId="0" applyNumberFormat="0" applyFill="0" applyBorder="0" applyAlignment="0" applyProtection="0"/>
    <xf numFmtId="0" fontId="64"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171"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65" fillId="0" borderId="0" applyNumberFormat="0" applyFill="0" applyBorder="0" applyAlignment="0" applyProtection="0"/>
    <xf numFmtId="0" fontId="19" fillId="5" borderId="5"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6" fillId="65" borderId="29" applyNumberFormat="0" applyAlignment="0" applyProtection="0"/>
    <xf numFmtId="0" fontId="67" fillId="65" borderId="29" applyNumberFormat="0" applyAlignment="0" applyProtection="0"/>
    <xf numFmtId="171" fontId="19" fillId="5" borderId="5"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6" fillId="65" borderId="29" applyNumberFormat="0" applyAlignment="0" applyProtection="0"/>
    <xf numFmtId="171" fontId="67" fillId="65" borderId="29" applyNumberFormat="0" applyAlignment="0" applyProtection="0"/>
    <xf numFmtId="0" fontId="68" fillId="5" borderId="5"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69" fillId="65" borderId="29" applyNumberFormat="0" applyAlignment="0" applyProtection="0"/>
    <xf numFmtId="0" fontId="70" fillId="13" borderId="23"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0" fontId="71" fillId="66" borderId="30" applyNumberFormat="0" applyAlignment="0" applyProtection="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82" fontId="72" fillId="0" borderId="0"/>
    <xf numFmtId="164" fontId="48" fillId="0" borderId="0" applyFont="0" applyFill="0" applyBorder="0" applyAlignment="0" applyProtection="0"/>
    <xf numFmtId="164" fontId="73" fillId="0" borderId="0" applyFont="0" applyFill="0" applyBorder="0" applyAlignment="0" applyProtection="0"/>
    <xf numFmtId="164"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83" fontId="48"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2" fillId="0" borderId="0" applyFont="0" applyFill="0" applyBorder="0" applyAlignment="0" applyProtection="0"/>
    <xf numFmtId="168" fontId="4" fillId="0" borderId="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43" fontId="2" fillId="0" borderId="0" applyFont="0" applyFill="0" applyBorder="0" applyAlignment="0" applyProtection="0"/>
    <xf numFmtId="43" fontId="52"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83" fontId="48"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43" fontId="53" fillId="0" borderId="0" applyFont="0" applyFill="0" applyBorder="0" applyAlignment="0" applyProtection="0"/>
    <xf numFmtId="43" fontId="53"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83" fontId="74" fillId="0" borderId="0" applyFont="0" applyFill="0" applyBorder="0" applyAlignment="0" applyProtection="0">
      <alignment vertical="center"/>
    </xf>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75" fillId="0" borderId="0" applyFont="0" applyFill="0" applyBorder="0" applyAlignment="0" applyProtection="0"/>
    <xf numFmtId="165" fontId="2" fillId="0" borderId="0" applyFont="0" applyFill="0" applyBorder="0" applyAlignment="0" applyProtection="0"/>
    <xf numFmtId="165" fontId="75" fillId="0" borderId="0" applyFont="0" applyFill="0" applyBorder="0" applyAlignment="0" applyProtection="0"/>
    <xf numFmtId="183" fontId="73" fillId="0" borderId="0" applyFont="0" applyFill="0" applyBorder="0" applyAlignment="0" applyProtection="0"/>
    <xf numFmtId="183" fontId="73" fillId="0" borderId="0" applyFont="0" applyFill="0" applyBorder="0" applyAlignment="0" applyProtection="0"/>
    <xf numFmtId="165" fontId="1"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5"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43" fontId="2"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165" fontId="16" fillId="0" borderId="0" applyFont="0" applyFill="0" applyBorder="0" applyAlignment="0" applyProtection="0"/>
    <xf numFmtId="3" fontId="76" fillId="0" borderId="0" applyFont="0" applyFill="0" applyBorder="0" applyAlignment="0" applyProtection="0"/>
    <xf numFmtId="184" fontId="48"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4" fontId="73" fillId="0" borderId="0" applyFont="0" applyFill="0" applyBorder="0" applyAlignment="0" applyProtection="0"/>
    <xf numFmtId="185" fontId="2" fillId="0" borderId="0" applyFont="0" applyFill="0" applyBorder="0" applyAlignment="0" applyProtection="0"/>
    <xf numFmtId="171" fontId="76" fillId="0" borderId="0" applyFont="0" applyFill="0" applyBorder="0" applyAlignment="0" applyProtection="0"/>
    <xf numFmtId="0" fontId="1" fillId="0" borderId="0"/>
    <xf numFmtId="169" fontId="20" fillId="0" borderId="0"/>
    <xf numFmtId="169" fontId="77" fillId="0" borderId="0"/>
    <xf numFmtId="169" fontId="77" fillId="0" borderId="0"/>
    <xf numFmtId="169" fontId="77" fillId="0" borderId="0"/>
    <xf numFmtId="0" fontId="78"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0" fontId="79" fillId="0" borderId="0" applyNumberFormat="0" applyFill="0" applyBorder="0" applyAlignment="0" applyProtection="0"/>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0" fillId="0" borderId="0" applyNumberFormat="0" applyFill="0" applyBorder="0" applyAlignment="0" applyProtection="0">
      <alignment horizontal="center"/>
    </xf>
    <xf numFmtId="4" fontId="81"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4" fontId="82" fillId="0" borderId="0" applyNumberFormat="0" applyFill="0" applyBorder="0" applyAlignment="0" applyProtection="0">
      <alignment horizontal="center"/>
    </xf>
    <xf numFmtId="171" fontId="83" fillId="0" borderId="0">
      <protection locked="0"/>
    </xf>
    <xf numFmtId="171" fontId="83" fillId="0" borderId="0">
      <protection locked="0"/>
    </xf>
    <xf numFmtId="171" fontId="84" fillId="0" borderId="0">
      <protection locked="0"/>
    </xf>
    <xf numFmtId="171" fontId="83" fillId="0" borderId="0">
      <protection locked="0"/>
    </xf>
    <xf numFmtId="171" fontId="83" fillId="0" borderId="0">
      <protection locked="0"/>
    </xf>
    <xf numFmtId="171" fontId="83" fillId="0" borderId="0">
      <protection locked="0"/>
    </xf>
    <xf numFmtId="171" fontId="84" fillId="0" borderId="0">
      <protection locked="0"/>
    </xf>
    <xf numFmtId="2" fontId="76" fillId="0" borderId="0" applyFon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1" fontId="45" fillId="67" borderId="0" applyNumberFormat="0" applyBorder="0" applyAlignment="0" applyProtection="0"/>
    <xf numFmtId="0" fontId="45" fillId="12" borderId="0" applyNumberFormat="0" applyBorder="0" applyAlignment="0" applyProtection="0"/>
    <xf numFmtId="0" fontId="86" fillId="42" borderId="0" applyNumberFormat="0" applyBorder="0" applyAlignment="0" applyProtection="0"/>
    <xf numFmtId="0" fontId="86" fillId="42" borderId="0" applyNumberFormat="0" applyBorder="0" applyAlignment="0" applyProtection="0"/>
    <xf numFmtId="0" fontId="87" fillId="42" borderId="0" applyNumberFormat="0" applyBorder="0" applyAlignment="0" applyProtection="0"/>
    <xf numFmtId="171" fontId="86" fillId="68" borderId="0" applyNumberFormat="0" applyBorder="0" applyAlignment="0" applyProtection="0"/>
    <xf numFmtId="171" fontId="86" fillId="68" borderId="0" applyNumberFormat="0" applyBorder="0" applyAlignment="0" applyProtection="0"/>
    <xf numFmtId="171" fontId="87" fillId="68" borderId="0" applyNumberFormat="0" applyBorder="0" applyAlignment="0" applyProtection="0"/>
    <xf numFmtId="0" fontId="88" fillId="1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0" fontId="89" fillId="42" borderId="0" applyNumberFormat="0" applyBorder="0" applyAlignment="0" applyProtection="0"/>
    <xf numFmtId="171" fontId="90" fillId="0" borderId="31" applyNumberFormat="0" applyAlignment="0" applyProtection="0">
      <alignment horizontal="left" vertical="center"/>
    </xf>
    <xf numFmtId="171" fontId="90" fillId="0" borderId="31" applyNumberFormat="0" applyAlignment="0" applyProtection="0">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171" fontId="90" fillId="0" borderId="32">
      <alignment horizontal="left" vertical="center"/>
    </xf>
    <xf numFmtId="0" fontId="44" fillId="0" borderId="20" applyNumberFormat="0" applyFill="0" applyAlignment="0" applyProtection="0"/>
    <xf numFmtId="171" fontId="91" fillId="0" borderId="33" applyNumberFormat="0" applyFill="0" applyAlignment="0" applyProtection="0"/>
    <xf numFmtId="0" fontId="91" fillId="0" borderId="33"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81" fontId="91" fillId="0" borderId="33" applyNumberFormat="0" applyFill="0" applyAlignment="0" applyProtection="0"/>
    <xf numFmtId="171" fontId="93" fillId="0" borderId="33" applyNumberFormat="0" applyFill="0" applyAlignment="0" applyProtection="0"/>
    <xf numFmtId="171" fontId="44" fillId="0" borderId="20" applyNumberFormat="0" applyFill="0" applyAlignment="0" applyProtection="0"/>
    <xf numFmtId="0" fontId="92" fillId="0" borderId="33" applyNumberFormat="0" applyFill="0" applyAlignment="0" applyProtection="0"/>
    <xf numFmtId="0" fontId="92" fillId="0" borderId="33" applyNumberFormat="0" applyFill="0" applyAlignment="0" applyProtection="0"/>
    <xf numFmtId="0" fontId="93" fillId="0" borderId="33" applyNumberFormat="0" applyFill="0" applyAlignment="0" applyProtection="0"/>
    <xf numFmtId="171" fontId="92" fillId="0" borderId="33" applyNumberFormat="0" applyFill="0" applyAlignment="0" applyProtection="0"/>
    <xf numFmtId="171" fontId="92" fillId="0" borderId="33" applyNumberFormat="0" applyFill="0" applyAlignment="0" applyProtection="0"/>
    <xf numFmtId="171" fontId="93"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94" fillId="0" borderId="33"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44" fillId="0" borderId="20" applyNumberFormat="0" applyFill="0" applyAlignment="0" applyProtection="0"/>
    <xf numFmtId="0" fontId="25" fillId="0" borderId="6" applyNumberFormat="0" applyFill="0" applyAlignment="0" applyProtection="0"/>
    <xf numFmtId="0" fontId="95" fillId="0" borderId="6"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0" fontId="97" fillId="0" borderId="34" applyNumberFormat="0" applyFill="0" applyAlignment="0" applyProtection="0"/>
    <xf numFmtId="0" fontId="96" fillId="0" borderId="34" applyNumberFormat="0" applyFill="0" applyAlignment="0" applyProtection="0"/>
    <xf numFmtId="0" fontId="96" fillId="0" borderId="34"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181" fontId="95" fillId="0" borderId="6" applyNumberFormat="0" applyFill="0" applyAlignment="0" applyProtection="0"/>
    <xf numFmtId="0" fontId="97" fillId="0" borderId="34" applyNumberFormat="0" applyFill="0" applyAlignment="0" applyProtection="0"/>
    <xf numFmtId="171" fontId="25" fillId="0" borderId="6" applyNumberFormat="0" applyFill="0" applyAlignment="0" applyProtection="0"/>
    <xf numFmtId="171" fontId="96" fillId="0" borderId="34" applyNumberFormat="0" applyFill="0" applyAlignment="0" applyProtection="0"/>
    <xf numFmtId="171" fontId="96" fillId="0" borderId="34" applyNumberFormat="0" applyFill="0" applyAlignment="0" applyProtection="0"/>
    <xf numFmtId="171" fontId="97" fillId="0" borderId="34" applyNumberFormat="0" applyFill="0" applyAlignment="0" applyProtection="0"/>
    <xf numFmtId="0" fontId="98" fillId="0" borderId="6"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99" fillId="0" borderId="34" applyNumberFormat="0" applyFill="0" applyAlignment="0" applyProtection="0"/>
    <xf numFmtId="0" fontId="12" fillId="0" borderId="35" applyNumberFormat="0" applyFill="0" applyAlignment="0" applyProtection="0"/>
    <xf numFmtId="0" fontId="12" fillId="0" borderId="35" applyNumberFormat="0" applyFill="0" applyAlignment="0" applyProtection="0"/>
    <xf numFmtId="0" fontId="100" fillId="0" borderId="35" applyNumberFormat="0" applyFill="0" applyAlignment="0" applyProtection="0"/>
    <xf numFmtId="171" fontId="26" fillId="0" borderId="7" applyNumberFormat="0" applyFill="0" applyAlignment="0" applyProtection="0"/>
    <xf numFmtId="171" fontId="12" fillId="0" borderId="35" applyNumberFormat="0" applyFill="0" applyAlignment="0" applyProtection="0"/>
    <xf numFmtId="171" fontId="12" fillId="0" borderId="35" applyNumberFormat="0" applyFill="0" applyAlignment="0" applyProtection="0"/>
    <xf numFmtId="171" fontId="100" fillId="0" borderId="35" applyNumberFormat="0" applyFill="0" applyAlignment="0" applyProtection="0"/>
    <xf numFmtId="0" fontId="101" fillId="0" borderId="7"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102" fillId="0" borderId="35" applyNumberFormat="0" applyFill="0" applyAlignment="0" applyProtection="0"/>
    <xf numFmtId="0" fontId="26" fillId="0" borderId="0" applyNumberFormat="0" applyFill="0" applyBorder="0" applyAlignment="0" applyProtection="0"/>
    <xf numFmtId="0" fontId="103"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0" fontId="100" fillId="0" borderId="0" applyNumberFormat="0" applyFill="0" applyBorder="0" applyAlignment="0" applyProtection="0"/>
    <xf numFmtId="0" fontId="12" fillId="0" borderId="0" applyNumberFormat="0" applyFill="0" applyBorder="0" applyAlignment="0" applyProtection="0"/>
    <xf numFmtId="0" fontId="12"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181" fontId="103" fillId="0" borderId="0" applyNumberFormat="0" applyFill="0" applyBorder="0" applyAlignment="0" applyProtection="0"/>
    <xf numFmtId="0" fontId="100" fillId="0" borderId="0" applyNumberFormat="0" applyFill="0" applyBorder="0" applyAlignment="0" applyProtection="0"/>
    <xf numFmtId="0" fontId="101"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102" fillId="0" borderId="0" applyNumberFormat="0" applyFill="0" applyBorder="0" applyAlignment="0" applyProtection="0"/>
    <xf numFmtId="0" fontId="24" fillId="0" borderId="0">
      <alignment horizontal="center"/>
    </xf>
    <xf numFmtId="0" fontId="104" fillId="0" borderId="0">
      <alignment horizontal="center"/>
    </xf>
    <xf numFmtId="0" fontId="24" fillId="0" borderId="0">
      <alignment horizontal="center" textRotation="90"/>
    </xf>
    <xf numFmtId="0" fontId="104" fillId="0" borderId="0">
      <alignment horizontal="center" textRotation="90"/>
    </xf>
    <xf numFmtId="0" fontId="104" fillId="0" borderId="0">
      <alignment horizontal="center" textRotation="90"/>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9" fillId="0" borderId="0" applyNumberFormat="0" applyFill="0" applyBorder="0" applyAlignment="0" applyProtection="0">
      <alignment vertical="top"/>
      <protection locked="0"/>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181" fontId="27" fillId="0" borderId="0" applyNumberFormat="0" applyFill="0" applyBorder="0" applyAlignment="0" applyProtection="0">
      <alignment vertical="top"/>
      <protection locked="0"/>
    </xf>
    <xf numFmtId="0" fontId="109" fillId="0" borderId="0" applyNumberFormat="0" applyFill="0" applyBorder="0" applyAlignment="0" applyProtection="0">
      <alignment vertical="top"/>
      <protection locked="0"/>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10"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0" fontId="111" fillId="0" borderId="0" applyNumberFormat="0" applyFill="0" applyBorder="0" applyAlignment="0" applyProtection="0">
      <alignment vertical="top"/>
      <protection locked="0"/>
    </xf>
    <xf numFmtId="171" fontId="112" fillId="0" borderId="0" applyNumberFormat="0" applyFill="0" applyBorder="0" applyAlignment="0" applyProtection="0">
      <alignment vertical="top"/>
      <protection locked="0"/>
    </xf>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27"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0" fontId="105" fillId="0" borderId="0" applyNumberFormat="0" applyFill="0" applyBorder="0" applyAlignment="0" applyProtection="0"/>
    <xf numFmtId="0" fontId="106" fillId="0" borderId="0" applyNumberFormat="0" applyFill="0" applyBorder="0" applyAlignment="0" applyProtection="0">
      <alignment vertical="center"/>
    </xf>
    <xf numFmtId="0" fontId="106" fillId="0" borderId="0" applyNumberFormat="0" applyFill="0" applyBorder="0" applyAlignment="0" applyProtection="0">
      <alignment vertical="center"/>
    </xf>
    <xf numFmtId="0" fontId="107" fillId="0" borderId="0" applyNumberFormat="0" applyFill="0" applyBorder="0" applyAlignment="0" applyProtection="0"/>
    <xf numFmtId="0" fontId="108" fillId="0" borderId="0" applyNumberFormat="0" applyFill="0" applyBorder="0" applyAlignment="0" applyProtection="0"/>
    <xf numFmtId="181" fontId="28" fillId="6" borderId="5" applyNumberFormat="0" applyAlignment="0" applyProtection="0"/>
    <xf numFmtId="171" fontId="28" fillId="69" borderId="5"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3" fillId="46" borderId="29" applyNumberFormat="0" applyAlignment="0" applyProtection="0"/>
    <xf numFmtId="171" fontId="114" fillId="46" borderId="29" applyNumberFormat="0" applyAlignment="0" applyProtection="0"/>
    <xf numFmtId="0" fontId="28" fillId="6" borderId="5"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4"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0" fontId="113" fillId="45" borderId="29"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181" fontId="28" fillId="6" borderId="5" applyNumberFormat="0" applyAlignment="0" applyProtection="0"/>
    <xf numFmtId="0" fontId="114" fillId="45" borderId="29" applyNumberFormat="0" applyAlignment="0" applyProtection="0"/>
    <xf numFmtId="171" fontId="28" fillId="6" borderId="5" applyNumberFormat="0" applyAlignment="0" applyProtection="0"/>
    <xf numFmtId="0" fontId="28" fillId="6" borderId="5"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171" fontId="113" fillId="45" borderId="29"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0" fontId="28" fillId="6" borderId="5" applyNumberFormat="0" applyAlignment="0" applyProtection="0"/>
    <xf numFmtId="171" fontId="114" fillId="45" borderId="29" applyNumberFormat="0" applyAlignment="0" applyProtection="0"/>
    <xf numFmtId="0" fontId="115" fillId="6" borderId="5"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65" fillId="45" borderId="29" applyNumberFormat="0" applyAlignment="0" applyProtection="0"/>
    <xf numFmtId="0" fontId="2" fillId="70" borderId="36" applyNumberFormat="0" applyFont="0" applyAlignment="0"/>
    <xf numFmtId="0" fontId="2" fillId="71" borderId="36"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0" fontId="2" fillId="72" borderId="37" applyNumberFormat="0" applyFont="0" applyAlignment="0"/>
    <xf numFmtId="186" fontId="2" fillId="49" borderId="0" applyNumberFormat="0" applyFont="0" applyBorder="0" applyAlignment="0" applyProtection="0"/>
    <xf numFmtId="171" fontId="29" fillId="0" borderId="0" applyNumberFormat="0" applyFill="0" applyBorder="0" applyAlignment="0" applyProtection="0"/>
    <xf numFmtId="0" fontId="116"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171" fontId="117" fillId="0" borderId="0" applyNumberFormat="0" applyFill="0" applyBorder="0" applyAlignment="0" applyProtection="0"/>
    <xf numFmtId="0" fontId="117" fillId="0" borderId="0" applyNumberFormat="0" applyFill="0" applyBorder="0" applyAlignment="0" applyProtection="0"/>
    <xf numFmtId="0" fontId="117" fillId="0" borderId="0" applyNumberFormat="0" applyFill="0" applyBorder="0" applyAlignment="0" applyProtection="0"/>
    <xf numFmtId="0" fontId="118" fillId="0" borderId="22"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119" fillId="0" borderId="38" applyNumberFormat="0" applyFill="0" applyAlignment="0" applyProtection="0"/>
    <xf numFmtId="0" fontId="30" fillId="7" borderId="0" applyNumberFormat="0" applyBorder="0" applyAlignment="0" applyProtection="0"/>
    <xf numFmtId="0" fontId="120" fillId="73" borderId="0" applyNumberFormat="0" applyBorder="0" applyAlignment="0" applyProtection="0"/>
    <xf numFmtId="0" fontId="120" fillId="73" borderId="0" applyNumberFormat="0" applyBorder="0" applyAlignment="0" applyProtection="0"/>
    <xf numFmtId="0" fontId="121" fillId="73" borderId="0" applyNumberFormat="0" applyBorder="0" applyAlignment="0" applyProtection="0"/>
    <xf numFmtId="171" fontId="30" fillId="7" borderId="0" applyNumberFormat="0" applyBorder="0" applyAlignment="0" applyProtection="0"/>
    <xf numFmtId="171" fontId="120" fillId="73" borderId="0" applyNumberFormat="0" applyBorder="0" applyAlignment="0" applyProtection="0"/>
    <xf numFmtId="171" fontId="120" fillId="73" borderId="0" applyNumberFormat="0" applyBorder="0" applyAlignment="0" applyProtection="0"/>
    <xf numFmtId="171" fontId="121" fillId="73" borderId="0" applyNumberFormat="0" applyBorder="0" applyAlignment="0" applyProtection="0"/>
    <xf numFmtId="0" fontId="122" fillId="7"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0" fontId="123" fillId="73" borderId="0" applyNumberFormat="0" applyBorder="0" applyAlignment="0" applyProtection="0"/>
    <xf numFmtId="179" fontId="12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2"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48"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3" fillId="0" borderId="0"/>
    <xf numFmtId="0" fontId="73" fillId="0" borderId="0"/>
    <xf numFmtId="0" fontId="125"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31" fillId="0" borderId="0"/>
    <xf numFmtId="0" fontId="52" fillId="0" borderId="0"/>
    <xf numFmtId="181" fontId="2"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181" fontId="2" fillId="0" borderId="0"/>
    <xf numFmtId="181" fontId="2" fillId="0" borderId="0"/>
    <xf numFmtId="181" fontId="2" fillId="0" borderId="0"/>
    <xf numFmtId="181" fontId="2"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53" fillId="0" borderId="0"/>
    <xf numFmtId="181" fontId="2" fillId="0" borderId="0"/>
    <xf numFmtId="0" fontId="126" fillId="0" borderId="0"/>
    <xf numFmtId="0" fontId="126" fillId="0" borderId="0"/>
    <xf numFmtId="0" fontId="126" fillId="0" borderId="0"/>
    <xf numFmtId="0" fontId="1" fillId="0" borderId="0"/>
    <xf numFmtId="0" fontId="127" fillId="0" borderId="0">
      <alignment vertical="center"/>
    </xf>
    <xf numFmtId="171" fontId="127" fillId="0" borderId="0">
      <alignment vertical="center"/>
    </xf>
    <xf numFmtId="171" fontId="2" fillId="0" borderId="0"/>
    <xf numFmtId="0" fontId="31" fillId="0" borderId="0"/>
    <xf numFmtId="0" fontId="31" fillId="0" borderId="0"/>
    <xf numFmtId="171"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2" fillId="0" borderId="0"/>
    <xf numFmtId="0" fontId="52" fillId="0" borderId="0"/>
    <xf numFmtId="0" fontId="53" fillId="0" borderId="0"/>
    <xf numFmtId="0" fontId="53" fillId="0" borderId="0"/>
    <xf numFmtId="0" fontId="53" fillId="0" borderId="0"/>
    <xf numFmtId="0" fontId="53" fillId="0" borderId="0"/>
    <xf numFmtId="0" fontId="53" fillId="0" borderId="0"/>
    <xf numFmtId="0" fontId="2" fillId="0" borderId="0"/>
    <xf numFmtId="0" fontId="2" fillId="0" borderId="0"/>
    <xf numFmtId="0" fontId="2"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74" fillId="0" borderId="0">
      <alignment vertical="center"/>
    </xf>
    <xf numFmtId="171" fontId="74" fillId="0" borderId="0">
      <alignment vertical="center"/>
    </xf>
    <xf numFmtId="0" fontId="16" fillId="0" borderId="0"/>
    <xf numFmtId="0" fontId="16" fillId="0" borderId="0"/>
    <xf numFmtId="0" fontId="16" fillId="0" borderId="0"/>
    <xf numFmtId="0" fontId="16" fillId="0" borderId="0"/>
    <xf numFmtId="0" fontId="16" fillId="0" borderId="0"/>
    <xf numFmtId="0" fontId="16" fillId="0" borderId="0"/>
    <xf numFmtId="0" fontId="1"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16" fillId="0" borderId="0"/>
    <xf numFmtId="0" fontId="16" fillId="0" borderId="0"/>
    <xf numFmtId="0" fontId="16" fillId="0" borderId="0"/>
    <xf numFmtId="0" fontId="16" fillId="0" borderId="0"/>
    <xf numFmtId="181" fontId="16" fillId="0" borderId="0"/>
    <xf numFmtId="18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2"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52"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53" fillId="0" borderId="0"/>
    <xf numFmtId="0" fontId="53"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53" fillId="0" borderId="0"/>
    <xf numFmtId="0" fontId="16" fillId="0" borderId="0"/>
    <xf numFmtId="0" fontId="1" fillId="0" borderId="0"/>
    <xf numFmtId="0" fontId="16" fillId="0" borderId="0"/>
    <xf numFmtId="0" fontId="16" fillId="0" borderId="0"/>
    <xf numFmtId="0" fontId="16" fillId="0" borderId="0"/>
    <xf numFmtId="171" fontId="48" fillId="0" borderId="0"/>
    <xf numFmtId="0" fontId="16" fillId="0" borderId="0"/>
    <xf numFmtId="0" fontId="16" fillId="0" borderId="0"/>
    <xf numFmtId="0" fontId="16" fillId="0" borderId="0"/>
    <xf numFmtId="0" fontId="16" fillId="0" borderId="0"/>
    <xf numFmtId="0" fontId="16" fillId="0" borderId="0"/>
    <xf numFmtId="181" fontId="16" fillId="0" borderId="0"/>
    <xf numFmtId="0" fontId="32" fillId="0" borderId="0"/>
    <xf numFmtId="0" fontId="128" fillId="0" borderId="0"/>
    <xf numFmtId="0" fontId="128" fillId="0" borderId="0"/>
    <xf numFmtId="0" fontId="129" fillId="0" borderId="0"/>
    <xf numFmtId="0" fontId="2" fillId="0" borderId="0"/>
    <xf numFmtId="0" fontId="52" fillId="0" borderId="0"/>
    <xf numFmtId="0" fontId="53" fillId="0" borderId="0"/>
    <xf numFmtId="0" fontId="53" fillId="0" borderId="0"/>
    <xf numFmtId="0" fontId="53" fillId="0" borderId="0"/>
    <xf numFmtId="171" fontId="16" fillId="0" borderId="0"/>
    <xf numFmtId="171" fontId="16" fillId="0" borderId="0"/>
    <xf numFmtId="0" fontId="16" fillId="0" borderId="0"/>
    <xf numFmtId="0" fontId="16" fillId="0" borderId="0"/>
    <xf numFmtId="0" fontId="16" fillId="0" borderId="0"/>
    <xf numFmtId="0" fontId="53" fillId="0" borderId="0"/>
    <xf numFmtId="0" fontId="16" fillId="0" borderId="0"/>
    <xf numFmtId="0" fontId="16" fillId="0" borderId="0"/>
    <xf numFmtId="0" fontId="16" fillId="0" borderId="0"/>
    <xf numFmtId="0" fontId="16" fillId="0" borderId="0"/>
    <xf numFmtId="0" fontId="2" fillId="0" borderId="0"/>
    <xf numFmtId="0" fontId="2" fillId="0" borderId="0"/>
    <xf numFmtId="0" fontId="2" fillId="0" borderId="0"/>
    <xf numFmtId="0" fontId="2" fillId="0" borderId="0"/>
    <xf numFmtId="0" fontId="2" fillId="0" borderId="0"/>
    <xf numFmtId="0" fontId="16" fillId="0" borderId="0"/>
    <xf numFmtId="181" fontId="16" fillId="0" borderId="0"/>
    <xf numFmtId="181" fontId="16" fillId="0" borderId="0"/>
    <xf numFmtId="0" fontId="2" fillId="0" borderId="0"/>
    <xf numFmtId="0" fontId="1" fillId="0" borderId="0"/>
    <xf numFmtId="0" fontId="1" fillId="0" borderId="0"/>
    <xf numFmtId="0" fontId="52" fillId="0" borderId="0"/>
    <xf numFmtId="0" fontId="53" fillId="0" borderId="0"/>
    <xf numFmtId="0" fontId="53" fillId="0" borderId="0"/>
    <xf numFmtId="0" fontId="53" fillId="0" borderId="0"/>
    <xf numFmtId="0" fontId="16" fillId="0" borderId="0"/>
    <xf numFmtId="0" fontId="53" fillId="0" borderId="0"/>
    <xf numFmtId="181" fontId="16" fillId="0" borderId="0"/>
    <xf numFmtId="181" fontId="16" fillId="0" borderId="0"/>
    <xf numFmtId="181" fontId="16" fillId="0" borderId="0"/>
    <xf numFmtId="0" fontId="53" fillId="0" borderId="0"/>
    <xf numFmtId="171"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171" fontId="16" fillId="0" borderId="0"/>
    <xf numFmtId="171" fontId="16" fillId="0" borderId="0"/>
    <xf numFmtId="171"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54" fillId="0" borderId="0"/>
    <xf numFmtId="0" fontId="130" fillId="0" borderId="0">
      <alignment vertical="center"/>
    </xf>
    <xf numFmtId="171" fontId="130" fillId="0" borderId="0">
      <alignment vertical="center"/>
    </xf>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0" fontId="16" fillId="0" borderId="0"/>
    <xf numFmtId="0" fontId="16" fillId="0" borderId="0"/>
    <xf numFmtId="0" fontId="16" fillId="0" borderId="0"/>
    <xf numFmtId="0" fontId="16" fillId="0" borderId="0"/>
    <xf numFmtId="0" fontId="16" fillId="0" borderId="0"/>
    <xf numFmtId="0" fontId="16" fillId="0" borderId="0"/>
    <xf numFmtId="0"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171" fontId="16" fillId="0" borderId="0"/>
    <xf numFmtId="171" fontId="16" fillId="0" borderId="0"/>
    <xf numFmtId="171" fontId="16" fillId="0" borderId="0"/>
    <xf numFmtId="171" fontId="16" fillId="0" borderId="0"/>
    <xf numFmtId="171" fontId="16" fillId="0" borderId="0"/>
    <xf numFmtId="171" fontId="16" fillId="0" borderId="0"/>
    <xf numFmtId="171" fontId="54" fillId="0" borderId="0"/>
    <xf numFmtId="0" fontId="16" fillId="0" borderId="0"/>
    <xf numFmtId="0" fontId="16" fillId="0" borderId="0"/>
    <xf numFmtId="0" fontId="16" fillId="0" borderId="0"/>
    <xf numFmtId="0" fontId="16" fillId="0" borderId="0"/>
    <xf numFmtId="0" fontId="54" fillId="0" borderId="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52" fillId="8" borderId="8" applyNumberFormat="0" applyFont="0" applyAlignment="0" applyProtection="0"/>
    <xf numFmtId="0" fontId="2" fillId="8" borderId="8"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2" fillId="74" borderId="39" applyNumberFormat="0" applyFont="0" applyAlignment="0" applyProtection="0"/>
    <xf numFmtId="0" fontId="1" fillId="8" borderId="8"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1" fillId="74" borderId="39"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2" fillId="8" borderId="8" applyNumberFormat="0" applyFont="0" applyAlignment="0" applyProtection="0"/>
    <xf numFmtId="0" fontId="52" fillId="8" borderId="8"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53"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75" fillId="74" borderId="39"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16" fillId="8" borderId="8" applyNumberFormat="0" applyFont="0" applyAlignment="0" applyProtection="0"/>
    <xf numFmtId="171"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75" fillId="74" borderId="39"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16" fillId="8" borderId="8" applyNumberFormat="0" applyFont="0" applyAlignment="0" applyProtection="0"/>
    <xf numFmtId="0" fontId="54" fillId="74" borderId="39" applyNumberFormat="0" applyFont="0" applyAlignment="0" applyProtection="0"/>
    <xf numFmtId="187" fontId="131" fillId="0" borderId="0" applyNumberFormat="0" applyFill="0" applyBorder="0" applyAlignment="0" applyProtection="0"/>
    <xf numFmtId="0" fontId="132" fillId="0" borderId="0" applyNumberFormat="0" applyFill="0" applyBorder="0" applyAlignment="0" applyProtection="0">
      <alignment vertical="center"/>
    </xf>
    <xf numFmtId="171" fontId="132" fillId="0" borderId="0" applyNumberFormat="0" applyFill="0" applyBorder="0" applyAlignment="0" applyProtection="0">
      <alignment vertical="center"/>
    </xf>
    <xf numFmtId="187" fontId="133" fillId="0" borderId="0" applyNumberFormat="0" applyFill="0" applyBorder="0" applyAlignment="0" applyProtection="0"/>
    <xf numFmtId="187" fontId="133" fillId="0" borderId="0" applyNumberFormat="0" applyFill="0" applyBorder="0" applyAlignment="0" applyProtection="0"/>
    <xf numFmtId="187" fontId="134" fillId="0" borderId="0" applyNumberFormat="0" applyFill="0" applyBorder="0" applyAlignment="0" applyProtection="0"/>
    <xf numFmtId="171" fontId="46" fillId="5" borderId="21" applyNumberFormat="0" applyAlignment="0" applyProtection="0"/>
    <xf numFmtId="0" fontId="46" fillId="5" borderId="21"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5" fillId="65" borderId="40" applyNumberFormat="0" applyAlignment="0" applyProtection="0"/>
    <xf numFmtId="0" fontId="136"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5" fillId="65" borderId="40" applyNumberFormat="0" applyAlignment="0" applyProtection="0"/>
    <xf numFmtId="171" fontId="136" fillId="65" borderId="40" applyNumberFormat="0" applyAlignment="0" applyProtection="0"/>
    <xf numFmtId="0" fontId="137" fillId="5" borderId="21"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0" fontId="138" fillId="65" borderId="40" applyNumberFormat="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5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ill="0" applyBorder="0" applyAlignment="0" applyProtection="0"/>
    <xf numFmtId="180" fontId="74" fillId="0" borderId="0" applyFont="0" applyFill="0" applyBorder="0" applyAlignment="0" applyProtection="0">
      <alignment vertical="center"/>
    </xf>
    <xf numFmtId="180" fontId="139" fillId="0" borderId="0" applyFont="0" applyFill="0" applyBorder="0" applyAlignment="0" applyProtection="0"/>
    <xf numFmtId="180" fontId="139" fillId="0" borderId="0" applyFont="0" applyFill="0" applyBorder="0" applyAlignment="0" applyProtection="0"/>
    <xf numFmtId="180" fontId="139"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180" fontId="74" fillId="0" borderId="0" applyFont="0" applyFill="0" applyBorder="0" applyAlignment="0" applyProtection="0">
      <alignment vertical="center"/>
    </xf>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75"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75" fillId="0" borderId="0" applyFont="0" applyFill="0" applyBorder="0" applyAlignment="0" applyProtection="0"/>
    <xf numFmtId="9" fontId="2" fillId="0" borderId="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28" fillId="0" borderId="0" applyFont="0" applyFill="0" applyBorder="0" applyAlignment="0" applyProtection="0"/>
    <xf numFmtId="9" fontId="128" fillId="0" borderId="0" applyFont="0" applyFill="0" applyBorder="0" applyAlignment="0" applyProtection="0"/>
    <xf numFmtId="9" fontId="16" fillId="0" borderId="0" applyFont="0" applyFill="0" applyBorder="0" applyAlignment="0" applyProtection="0"/>
    <xf numFmtId="9" fontId="2"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9" fontId="16" fillId="0" borderId="0" applyFont="0" applyFill="0" applyBorder="0" applyAlignment="0" applyProtection="0"/>
    <xf numFmtId="0" fontId="33" fillId="0" borderId="0"/>
    <xf numFmtId="0" fontId="140" fillId="0" borderId="0"/>
    <xf numFmtId="0" fontId="140" fillId="0" borderId="0"/>
    <xf numFmtId="171" fontId="140" fillId="0" borderId="0"/>
    <xf numFmtId="171" fontId="140" fillId="0" borderId="0"/>
    <xf numFmtId="171" fontId="140" fillId="0" borderId="0"/>
    <xf numFmtId="171" fontId="2" fillId="0" borderId="0"/>
    <xf numFmtId="0" fontId="141" fillId="0" borderId="0" applyFill="0" applyBorder="0"/>
    <xf numFmtId="0" fontId="142" fillId="0" borderId="0" applyFill="0" applyBorder="0"/>
    <xf numFmtId="0" fontId="142" fillId="0" borderId="0" applyFill="0" applyBorder="0"/>
    <xf numFmtId="0" fontId="143" fillId="0" borderId="0" applyFill="0" applyBorder="0"/>
    <xf numFmtId="0" fontId="49" fillId="0" borderId="41" applyNumberFormat="0">
      <alignment horizontal="left" vertical="center"/>
    </xf>
    <xf numFmtId="0" fontId="144" fillId="0" borderId="0" applyNumberFormat="0" applyFill="0" applyBorder="0" applyAlignment="0" applyProtection="0">
      <alignment vertical="center"/>
    </xf>
    <xf numFmtId="0" fontId="145" fillId="0" borderId="24"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0" fontId="146" fillId="0" borderId="42" applyNumberFormat="0" applyFill="0" applyAlignment="0" applyProtection="0"/>
    <xf numFmtId="171" fontId="147" fillId="0" borderId="0">
      <alignment vertical="top"/>
    </xf>
    <xf numFmtId="0" fontId="148"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0" fontId="149" fillId="0" borderId="0" applyNumberFormat="0" applyFill="0" applyBorder="0" applyAlignment="0" applyProtection="0"/>
    <xf numFmtId="171" fontId="150" fillId="0" borderId="0">
      <alignment vertical="center"/>
    </xf>
    <xf numFmtId="171" fontId="151" fillId="0" borderId="0"/>
    <xf numFmtId="167" fontId="16" fillId="0" borderId="0" applyFon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0" fontId="156" fillId="0" borderId="0" applyNumberFormat="0" applyFill="0" applyBorder="0" applyAlignment="0" applyProtection="0"/>
    <xf numFmtId="0" fontId="157" fillId="0" borderId="0" applyNumberFormat="0" applyFill="0" applyBorder="0" applyAlignment="0" applyProtection="0"/>
    <xf numFmtId="167" fontId="2" fillId="0" borderId="0" applyFont="0" applyFill="0" applyBorder="0" applyAlignment="0" applyProtection="0"/>
    <xf numFmtId="178" fontId="2" fillId="60" borderId="52" applyNumberFormat="0" applyFont="0" applyAlignment="0"/>
    <xf numFmtId="178" fontId="2" fillId="60" borderId="52" applyNumberFormat="0" applyFont="0" applyAlignment="0"/>
    <xf numFmtId="178" fontId="2" fillId="60" borderId="52" applyNumberFormat="0" applyFont="0" applyAlignment="0"/>
    <xf numFmtId="0" fontId="2" fillId="63" borderId="53" applyNumberFormat="0" applyFont="0" applyAlignment="0"/>
    <xf numFmtId="0" fontId="2" fillId="63" borderId="53" applyNumberFormat="0" applyFont="0" applyAlignment="0"/>
    <xf numFmtId="0" fontId="2" fillId="63" borderId="53" applyNumberFormat="0" applyFont="0" applyAlignment="0"/>
    <xf numFmtId="0" fontId="10" fillId="63" borderId="53" applyNumberFormat="0" applyFont="0" applyAlignment="0"/>
    <xf numFmtId="0" fontId="10" fillId="63" borderId="53" applyNumberFormat="0" applyFont="0" applyAlignment="0"/>
    <xf numFmtId="0" fontId="10" fillId="63" borderId="53" applyNumberFormat="0" applyFont="0" applyAlignment="0"/>
    <xf numFmtId="0" fontId="66" fillId="65" borderId="54" applyNumberFormat="0" applyAlignment="0" applyProtection="0"/>
    <xf numFmtId="0" fontId="66" fillId="65" borderId="54" applyNumberFormat="0" applyAlignment="0" applyProtection="0"/>
    <xf numFmtId="0"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171" fontId="66"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0" fontId="69" fillId="65" borderId="54" applyNumberFormat="0" applyAlignment="0" applyProtection="0"/>
    <xf numFmtId="166" fontId="48" fillId="0" borderId="0" applyFont="0" applyFill="0" applyBorder="0" applyAlignment="0" applyProtection="0"/>
    <xf numFmtId="166" fontId="73" fillId="0" borderId="0" applyFont="0" applyFill="0" applyBorder="0" applyAlignment="0" applyProtection="0"/>
    <xf numFmtId="166" fontId="73"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2"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75" fillId="0" borderId="0" applyFont="0" applyFill="0" applyBorder="0" applyAlignment="0" applyProtection="0"/>
    <xf numFmtId="167" fontId="2" fillId="0" borderId="0" applyFont="0" applyFill="0" applyBorder="0" applyAlignment="0" applyProtection="0"/>
    <xf numFmtId="167" fontId="75"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167" fontId="16" fillId="0" borderId="0" applyFont="0" applyFill="0" applyBorder="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0" fontId="65" fillId="45" borderId="51" applyNumberFormat="0" applyAlignment="0" applyProtection="0"/>
    <xf numFmtId="171" fontId="113" fillId="45" borderId="51" applyNumberFormat="0" applyAlignment="0" applyProtection="0"/>
    <xf numFmtId="171" fontId="113" fillId="45" borderId="51" applyNumberFormat="0" applyAlignment="0" applyProtection="0"/>
    <xf numFmtId="171"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0" fontId="113" fillId="45"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1" applyNumberFormat="0" applyAlignment="0" applyProtection="0"/>
    <xf numFmtId="171" fontId="113" fillId="46" borderId="54" applyNumberFormat="0" applyAlignment="0" applyProtection="0"/>
    <xf numFmtId="171" fontId="113" fillId="46" borderId="54" applyNumberFormat="0" applyAlignment="0" applyProtection="0"/>
    <xf numFmtId="171" fontId="113" fillId="46"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0"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171" fontId="113"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65" fillId="45" borderId="54" applyNumberFormat="0" applyAlignment="0" applyProtection="0"/>
    <xf numFmtId="0" fontId="2" fillId="72" borderId="55" applyNumberFormat="0" applyFont="0" applyAlignment="0"/>
    <xf numFmtId="0" fontId="2" fillId="72" borderId="55" applyNumberFormat="0" applyFont="0" applyAlignment="0"/>
    <xf numFmtId="0" fontId="2" fillId="72" borderId="55" applyNumberFormat="0" applyFont="0" applyAlignment="0"/>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171" fontId="90" fillId="0" borderId="48">
      <alignment horizontal="left" vertical="center"/>
    </xf>
    <xf numFmtId="0" fontId="2" fillId="74" borderId="56" applyNumberFormat="0" applyFont="0" applyAlignment="0" applyProtection="0"/>
    <xf numFmtId="0" fontId="2" fillId="74" borderId="56" applyNumberFormat="0" applyFont="0" applyAlignment="0" applyProtection="0"/>
    <xf numFmtId="0" fontId="2"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1"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53" fillId="74" borderId="56" applyNumberFormat="0" applyFont="0" applyAlignment="0" applyProtection="0"/>
    <xf numFmtId="0" fontId="135" fillId="65" borderId="57" applyNumberFormat="0" applyAlignment="0" applyProtection="0"/>
    <xf numFmtId="0" fontId="135" fillId="65" borderId="57" applyNumberFormat="0" applyAlignment="0" applyProtection="0"/>
    <xf numFmtId="0"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171" fontId="135"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138" fillId="65" borderId="57"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0" fontId="69" fillId="65" borderId="51" applyNumberFormat="0" applyAlignment="0" applyProtection="0"/>
    <xf numFmtId="171" fontId="66" fillId="65" borderId="51" applyNumberFormat="0" applyAlignment="0" applyProtection="0"/>
    <xf numFmtId="171" fontId="66" fillId="65" borderId="51" applyNumberFormat="0" applyAlignment="0" applyProtection="0"/>
    <xf numFmtId="171"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66" fillId="65" borderId="51" applyNumberFormat="0" applyAlignment="0" applyProtection="0"/>
    <xf numFmtId="0" fontId="10" fillId="63" borderId="50" applyNumberFormat="0" applyFont="0" applyAlignment="0"/>
    <xf numFmtId="0" fontId="10" fillId="63" borderId="50" applyNumberFormat="0" applyFont="0" applyAlignment="0"/>
    <xf numFmtId="0" fontId="10" fillId="63" borderId="50" applyNumberFormat="0" applyFont="0" applyAlignment="0"/>
    <xf numFmtId="0" fontId="2" fillId="63" borderId="50" applyNumberFormat="0" applyFont="0" applyAlignment="0"/>
    <xf numFmtId="0" fontId="2" fillId="63" borderId="50" applyNumberFormat="0" applyFont="0" applyAlignment="0"/>
    <xf numFmtId="0" fontId="2" fillId="63" borderId="50" applyNumberFormat="0" applyFont="0" applyAlignment="0"/>
    <xf numFmtId="178" fontId="2" fillId="60" borderId="49" applyNumberFormat="0" applyFont="0" applyAlignment="0"/>
    <xf numFmtId="178" fontId="2" fillId="60" borderId="49" applyNumberFormat="0" applyFont="0" applyAlignment="0"/>
    <xf numFmtId="178" fontId="2" fillId="60" borderId="49" applyNumberFormat="0" applyFont="0" applyAlignment="0"/>
    <xf numFmtId="167" fontId="16" fillId="0" borderId="0" applyFont="0" applyFill="0" applyBorder="0" applyAlignment="0" applyProtection="0"/>
    <xf numFmtId="167" fontId="16" fillId="0" borderId="0" applyFont="0" applyFill="0" applyBorder="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0" fontId="146" fillId="0" borderId="58" applyNumberFormat="0" applyFill="0" applyAlignment="0" applyProtection="0"/>
    <xf numFmtId="167" fontId="16" fillId="0" borderId="0" applyFont="0" applyFill="0" applyBorder="0" applyAlignment="0" applyProtection="0"/>
    <xf numFmtId="0" fontId="47" fillId="34" borderId="0" applyNumberFormat="0" applyBorder="0" applyAlignment="0" applyProtection="0"/>
    <xf numFmtId="0" fontId="51" fillId="0" borderId="0"/>
    <xf numFmtId="0" fontId="16" fillId="79" borderId="0" applyNumberFormat="0" applyBorder="0" applyAlignment="0" applyProtection="0"/>
    <xf numFmtId="167" fontId="51" fillId="0" borderId="0" applyFont="0" applyFill="0" applyBorder="0" applyAlignment="0" applyProtection="0"/>
    <xf numFmtId="0" fontId="32" fillId="0" borderId="0"/>
    <xf numFmtId="0" fontId="164" fillId="0" borderId="0"/>
    <xf numFmtId="0" fontId="156" fillId="0" borderId="0" applyNumberFormat="0" applyFill="0" applyBorder="0" applyAlignment="0" applyProtection="0"/>
    <xf numFmtId="0" fontId="16" fillId="15" borderId="0" applyNumberFormat="0" applyBorder="0" applyAlignment="0" applyProtection="0"/>
    <xf numFmtId="0" fontId="16" fillId="19" borderId="0" applyNumberFormat="0" applyBorder="0" applyAlignment="0" applyProtection="0"/>
  </cellStyleXfs>
  <cellXfs count="354">
    <xf numFmtId="0" fontId="0" fillId="0" borderId="0" xfId="0"/>
    <xf numFmtId="0" fontId="0" fillId="0" borderId="0" xfId="0"/>
    <xf numFmtId="0" fontId="0" fillId="0" borderId="0" xfId="0"/>
    <xf numFmtId="2" fontId="34" fillId="0" borderId="0" xfId="0" applyNumberFormat="1" applyFont="1"/>
    <xf numFmtId="0" fontId="0" fillId="0" borderId="0" xfId="0"/>
    <xf numFmtId="0" fontId="34" fillId="0" borderId="0" xfId="0" applyFont="1"/>
    <xf numFmtId="2" fontId="0" fillId="0" borderId="0" xfId="0" applyNumberFormat="1"/>
    <xf numFmtId="0" fontId="36" fillId="0" borderId="0" xfId="0" applyFont="1"/>
    <xf numFmtId="1" fontId="0" fillId="0" borderId="0" xfId="0" applyNumberFormat="1"/>
    <xf numFmtId="0" fontId="0" fillId="0" borderId="0" xfId="0" applyBorder="1"/>
    <xf numFmtId="173" fontId="0" fillId="0" borderId="0" xfId="0" applyNumberFormat="1"/>
    <xf numFmtId="3" fontId="0" fillId="0" borderId="0" xfId="0" applyNumberFormat="1"/>
    <xf numFmtId="0" fontId="17" fillId="4" borderId="0" xfId="3"/>
    <xf numFmtId="2" fontId="0" fillId="0" borderId="0" xfId="0" applyNumberFormat="1" applyBorder="1"/>
    <xf numFmtId="0" fontId="26" fillId="0" borderId="7" xfId="21"/>
    <xf numFmtId="0" fontId="0" fillId="0" borderId="0" xfId="0" applyFill="1" applyBorder="1"/>
    <xf numFmtId="0" fontId="9" fillId="0" borderId="0" xfId="33" applyFont="1"/>
    <xf numFmtId="0" fontId="9" fillId="0" borderId="0" xfId="33" applyFont="1" applyAlignment="1">
      <alignment horizontal="center" wrapText="1"/>
    </xf>
    <xf numFmtId="0" fontId="10" fillId="0" borderId="0" xfId="33" applyFont="1"/>
    <xf numFmtId="0" fontId="38" fillId="0" borderId="0" xfId="33" applyFont="1" applyFill="1"/>
    <xf numFmtId="0" fontId="26" fillId="0" borderId="7" xfId="21" applyAlignment="1">
      <alignment horizontal="left"/>
    </xf>
    <xf numFmtId="0" fontId="2" fillId="0" borderId="0" xfId="0" applyFont="1" applyFill="1" applyAlignment="1">
      <alignment horizontal="center"/>
    </xf>
    <xf numFmtId="0" fontId="38" fillId="0" borderId="0" xfId="0" applyFont="1"/>
    <xf numFmtId="0" fontId="39" fillId="0" borderId="0" xfId="0" applyFont="1"/>
    <xf numFmtId="174" fontId="0" fillId="0" borderId="0" xfId="0" applyNumberFormat="1"/>
    <xf numFmtId="0" fontId="2" fillId="0" borderId="0" xfId="0" applyFont="1" applyFill="1" applyAlignment="1">
      <alignment horizontal="left"/>
    </xf>
    <xf numFmtId="0" fontId="11" fillId="0" borderId="0" xfId="33" applyFont="1"/>
    <xf numFmtId="2" fontId="10" fillId="0" borderId="0" xfId="33" applyNumberFormat="1" applyFont="1"/>
    <xf numFmtId="0" fontId="0" fillId="0" borderId="0" xfId="0" applyAlignment="1">
      <alignment horizontal="center"/>
    </xf>
    <xf numFmtId="0" fontId="28" fillId="6" borderId="5" xfId="27" applyAlignment="1">
      <alignment horizontal="center"/>
    </xf>
    <xf numFmtId="9" fontId="0" fillId="0" borderId="0" xfId="0" applyNumberFormat="1"/>
    <xf numFmtId="11" fontId="0" fillId="0" borderId="0" xfId="0" applyNumberFormat="1"/>
    <xf numFmtId="39" fontId="0" fillId="0" borderId="0" xfId="0" applyNumberFormat="1"/>
    <xf numFmtId="172" fontId="0" fillId="0" borderId="0" xfId="0" applyNumberFormat="1"/>
    <xf numFmtId="9" fontId="28" fillId="6" borderId="5" xfId="27" applyNumberFormat="1"/>
    <xf numFmtId="0" fontId="0" fillId="0" borderId="0" xfId="0" quotePrefix="1"/>
    <xf numFmtId="175" fontId="0" fillId="0" borderId="0" xfId="0" applyNumberFormat="1"/>
    <xf numFmtId="0" fontId="25" fillId="0" borderId="6" xfId="20"/>
    <xf numFmtId="0" fontId="26" fillId="0" borderId="0" xfId="23"/>
    <xf numFmtId="11" fontId="0" fillId="0" borderId="4" xfId="0" applyNumberFormat="1" applyBorder="1"/>
    <xf numFmtId="0" fontId="0" fillId="0" borderId="4" xfId="0" applyBorder="1"/>
    <xf numFmtId="167" fontId="2" fillId="0" borderId="4" xfId="11" applyNumberFormat="1" applyFill="1" applyBorder="1"/>
    <xf numFmtId="2" fontId="0" fillId="0" borderId="4" xfId="0" applyNumberFormat="1" applyBorder="1"/>
    <xf numFmtId="173" fontId="0" fillId="0" borderId="4" xfId="0" applyNumberFormat="1" applyBorder="1"/>
    <xf numFmtId="0" fontId="10" fillId="0" borderId="0" xfId="33" applyFont="1" applyFill="1"/>
    <xf numFmtId="2" fontId="10" fillId="0" borderId="0" xfId="33" applyNumberFormat="1" applyFont="1" applyFill="1"/>
    <xf numFmtId="2" fontId="28" fillId="6" borderId="5" xfId="27" applyNumberFormat="1"/>
    <xf numFmtId="173" fontId="34" fillId="0" borderId="0" xfId="0" applyNumberFormat="1" applyFont="1"/>
    <xf numFmtId="172" fontId="28" fillId="6" borderId="5" xfId="27" applyNumberFormat="1"/>
    <xf numFmtId="2" fontId="28" fillId="8" borderId="8" xfId="44" applyNumberFormat="1" applyFont="1"/>
    <xf numFmtId="173" fontId="19" fillId="5" borderId="5" xfId="6" applyNumberFormat="1"/>
    <xf numFmtId="175" fontId="0" fillId="0" borderId="4" xfId="0" applyNumberFormat="1" applyBorder="1"/>
    <xf numFmtId="0" fontId="26" fillId="0" borderId="0" xfId="21" applyBorder="1"/>
    <xf numFmtId="0" fontId="0" fillId="0" borderId="0" xfId="0" applyNumberFormat="1"/>
    <xf numFmtId="0" fontId="37" fillId="0" borderId="0" xfId="21" applyFont="1" applyBorder="1"/>
    <xf numFmtId="0" fontId="10" fillId="0" borderId="0" xfId="41" applyFont="1"/>
    <xf numFmtId="0" fontId="26" fillId="0" borderId="7" xfId="21" applyAlignment="1"/>
    <xf numFmtId="2" fontId="38" fillId="0" borderId="0" xfId="0" applyNumberFormat="1" applyFont="1"/>
    <xf numFmtId="2" fontId="16" fillId="8" borderId="8" xfId="44" applyNumberFormat="1" applyFont="1"/>
    <xf numFmtId="172" fontId="16" fillId="0" borderId="0" xfId="45" applyNumberFormat="1" applyFont="1"/>
    <xf numFmtId="1" fontId="28" fillId="6" borderId="5" xfId="27" applyNumberFormat="1"/>
    <xf numFmtId="2" fontId="28" fillId="0" borderId="5" xfId="27" applyNumberFormat="1" applyFill="1"/>
    <xf numFmtId="9" fontId="28" fillId="0" borderId="5" xfId="27" applyNumberFormat="1" applyFill="1"/>
    <xf numFmtId="173" fontId="0" fillId="0" borderId="0" xfId="0" applyNumberFormat="1" applyBorder="1"/>
    <xf numFmtId="0" fontId="26" fillId="0" borderId="7" xfId="21" applyAlignment="1">
      <alignment horizontal="left"/>
    </xf>
    <xf numFmtId="0" fontId="25" fillId="0" borderId="6" xfId="20" applyAlignment="1">
      <alignment horizontal="left"/>
    </xf>
    <xf numFmtId="1" fontId="28" fillId="8" borderId="8" xfId="44" applyNumberFormat="1" applyFont="1"/>
    <xf numFmtId="9" fontId="28" fillId="8" borderId="8" xfId="45" applyFont="1" applyFill="1" applyBorder="1"/>
    <xf numFmtId="9" fontId="28" fillId="6" borderId="5" xfId="45" applyFont="1" applyFill="1" applyBorder="1"/>
    <xf numFmtId="0" fontId="26" fillId="0" borderId="0" xfId="21" applyBorder="1" applyAlignment="1">
      <alignment horizontal="left"/>
    </xf>
    <xf numFmtId="9" fontId="35" fillId="6" borderId="5" xfId="27" applyNumberFormat="1" applyFont="1"/>
    <xf numFmtId="2" fontId="35" fillId="6" borderId="5" xfId="27" applyNumberFormat="1" applyFont="1"/>
    <xf numFmtId="172" fontId="35" fillId="6" borderId="5" xfId="27" applyNumberFormat="1" applyFont="1"/>
    <xf numFmtId="173" fontId="28" fillId="0" borderId="5" xfId="27" applyNumberFormat="1" applyFill="1"/>
    <xf numFmtId="1" fontId="28" fillId="0" borderId="5" xfId="27" applyNumberFormat="1" applyFill="1"/>
    <xf numFmtId="0" fontId="0" fillId="0" borderId="0" xfId="0" applyFill="1"/>
    <xf numFmtId="9" fontId="35" fillId="6" borderId="5" xfId="45" applyFont="1" applyFill="1" applyBorder="1"/>
    <xf numFmtId="173" fontId="35" fillId="6" borderId="5" xfId="27" applyNumberFormat="1" applyFont="1"/>
    <xf numFmtId="2" fontId="41" fillId="0" borderId="5" xfId="27" applyNumberFormat="1" applyFont="1" applyFill="1"/>
    <xf numFmtId="1" fontId="34" fillId="0" borderId="0" xfId="0" applyNumberFormat="1" applyFont="1"/>
    <xf numFmtId="9" fontId="16" fillId="0" borderId="0" xfId="45" applyFont="1"/>
    <xf numFmtId="0" fontId="0" fillId="0" borderId="0" xfId="0" applyAlignment="1">
      <alignment wrapText="1"/>
    </xf>
    <xf numFmtId="14" fontId="0" fillId="0" borderId="0" xfId="0" applyNumberFormat="1"/>
    <xf numFmtId="0" fontId="34" fillId="0" borderId="3" xfId="0" applyFont="1" applyBorder="1"/>
    <xf numFmtId="0" fontId="26" fillId="0" borderId="7" xfId="22" applyAlignment="1">
      <alignment horizontal="left"/>
    </xf>
    <xf numFmtId="0" fontId="26" fillId="0" borderId="7" xfId="22"/>
    <xf numFmtId="0" fontId="16" fillId="0" borderId="4" xfId="31" applyBorder="1"/>
    <xf numFmtId="0" fontId="16" fillId="0" borderId="0" xfId="31"/>
    <xf numFmtId="2" fontId="16" fillId="0" borderId="4" xfId="31" applyNumberFormat="1" applyBorder="1"/>
    <xf numFmtId="2" fontId="16" fillId="0" borderId="0" xfId="31" applyNumberFormat="1"/>
    <xf numFmtId="0" fontId="2" fillId="10" borderId="0" xfId="31" applyFont="1" applyFill="1" applyAlignment="1">
      <alignment horizontal="left"/>
    </xf>
    <xf numFmtId="0" fontId="16" fillId="10" borderId="0" xfId="31" applyFill="1"/>
    <xf numFmtId="0" fontId="16" fillId="11" borderId="0" xfId="31" applyFill="1"/>
    <xf numFmtId="9" fontId="16" fillId="11" borderId="0" xfId="31" applyNumberFormat="1" applyFill="1"/>
    <xf numFmtId="173" fontId="16" fillId="0" borderId="0" xfId="31" applyNumberFormat="1"/>
    <xf numFmtId="1" fontId="16" fillId="0" borderId="4" xfId="31" applyNumberFormat="1" applyBorder="1"/>
    <xf numFmtId="1" fontId="16" fillId="0" borderId="0" xfId="31" applyNumberFormat="1"/>
    <xf numFmtId="0" fontId="16" fillId="0" borderId="9" xfId="31" applyBorder="1"/>
    <xf numFmtId="173" fontId="16" fillId="0" borderId="4" xfId="31" applyNumberFormat="1" applyBorder="1"/>
    <xf numFmtId="2" fontId="28" fillId="11" borderId="5" xfId="28" applyNumberFormat="1" applyFill="1"/>
    <xf numFmtId="2" fontId="16" fillId="10" borderId="0" xfId="31" applyNumberFormat="1" applyFill="1"/>
    <xf numFmtId="2" fontId="16" fillId="10" borderId="4" xfId="31" applyNumberFormat="1" applyFill="1" applyBorder="1"/>
    <xf numFmtId="3" fontId="16" fillId="0" borderId="0" xfId="31" applyNumberFormat="1"/>
    <xf numFmtId="0" fontId="42" fillId="0" borderId="7" xfId="22" applyFont="1" applyAlignment="1">
      <alignment horizontal="left"/>
    </xf>
    <xf numFmtId="1" fontId="28" fillId="6" borderId="5" xfId="28" applyNumberFormat="1"/>
    <xf numFmtId="173" fontId="28" fillId="6" borderId="5" xfId="28" applyNumberFormat="1"/>
    <xf numFmtId="174" fontId="16" fillId="0" borderId="0" xfId="31" applyNumberFormat="1"/>
    <xf numFmtId="0" fontId="34" fillId="0" borderId="0" xfId="31" applyFont="1"/>
    <xf numFmtId="2" fontId="28" fillId="6" borderId="5" xfId="28" applyNumberFormat="1"/>
    <xf numFmtId="172" fontId="0" fillId="0" borderId="0" xfId="45" applyNumberFormat="1" applyFont="1"/>
    <xf numFmtId="0" fontId="43" fillId="4" borderId="0" xfId="3" applyFont="1"/>
    <xf numFmtId="0" fontId="38" fillId="0" borderId="0" xfId="0" applyFont="1" applyAlignment="1">
      <alignment horizontal="center"/>
    </xf>
    <xf numFmtId="9" fontId="28" fillId="6" borderId="10" xfId="27" applyNumberFormat="1" applyBorder="1"/>
    <xf numFmtId="175" fontId="16" fillId="8" borderId="8" xfId="44" applyNumberFormat="1" applyFont="1"/>
    <xf numFmtId="0" fontId="0" fillId="0" borderId="11" xfId="0" applyBorder="1"/>
    <xf numFmtId="0" fontId="0" fillId="0" borderId="12" xfId="0" applyFill="1" applyBorder="1"/>
    <xf numFmtId="0" fontId="0" fillId="0" borderId="13" xfId="0" applyBorder="1"/>
    <xf numFmtId="0" fontId="0" fillId="0" borderId="3" xfId="0" applyBorder="1"/>
    <xf numFmtId="0" fontId="9" fillId="0" borderId="12" xfId="33" applyFont="1" applyBorder="1"/>
    <xf numFmtId="0" fontId="9" fillId="0" borderId="14" xfId="33" applyFont="1" applyBorder="1" applyAlignment="1">
      <alignment horizontal="center" wrapText="1"/>
    </xf>
    <xf numFmtId="0" fontId="0" fillId="0" borderId="14" xfId="0" applyFill="1" applyBorder="1"/>
    <xf numFmtId="0" fontId="0" fillId="0" borderId="15" xfId="0" applyBorder="1"/>
    <xf numFmtId="0" fontId="0" fillId="0" borderId="16" xfId="0" applyBorder="1"/>
    <xf numFmtId="0" fontId="38" fillId="0" borderId="0" xfId="0" applyFont="1" applyBorder="1"/>
    <xf numFmtId="0" fontId="39" fillId="0" borderId="0" xfId="0" applyFont="1" applyBorder="1"/>
    <xf numFmtId="0" fontId="38" fillId="0" borderId="15" xfId="0" applyFont="1" applyBorder="1"/>
    <xf numFmtId="177" fontId="0" fillId="0" borderId="0" xfId="0" applyNumberFormat="1"/>
    <xf numFmtId="177" fontId="34" fillId="0" borderId="0" xfId="0" applyNumberFormat="1" applyFont="1"/>
    <xf numFmtId="0" fontId="0" fillId="0" borderId="17" xfId="0" applyBorder="1"/>
    <xf numFmtId="0" fontId="0" fillId="0" borderId="18" xfId="0" applyBorder="1"/>
    <xf numFmtId="0" fontId="0" fillId="0" borderId="19" xfId="0" applyBorder="1"/>
    <xf numFmtId="0" fontId="0" fillId="0" borderId="1" xfId="0" applyBorder="1"/>
    <xf numFmtId="173" fontId="0" fillId="0" borderId="0" xfId="0" quotePrefix="1" applyNumberFormat="1"/>
    <xf numFmtId="2" fontId="38" fillId="0" borderId="15" xfId="0" applyNumberFormat="1" applyFont="1" applyBorder="1"/>
    <xf numFmtId="0" fontId="75" fillId="0" borderId="0" xfId="0" applyNumberFormat="1" applyFont="1" applyFill="1" applyBorder="1" applyAlignment="1" applyProtection="1"/>
    <xf numFmtId="0" fontId="0" fillId="0" borderId="0" xfId="0" applyAlignment="1">
      <alignment horizontal="right"/>
    </xf>
    <xf numFmtId="172" fontId="28" fillId="0" borderId="5" xfId="27" applyNumberFormat="1" applyFill="1"/>
    <xf numFmtId="10" fontId="28" fillId="0" borderId="5" xfId="27" applyNumberFormat="1" applyFill="1"/>
    <xf numFmtId="172" fontId="0" fillId="0" borderId="4" xfId="0" applyNumberFormat="1" applyBorder="1"/>
    <xf numFmtId="2" fontId="43" fillId="4" borderId="0" xfId="3" applyNumberFormat="1" applyFont="1"/>
    <xf numFmtId="167" fontId="43" fillId="4" borderId="0" xfId="3" applyNumberFormat="1" applyFont="1"/>
    <xf numFmtId="15" fontId="0" fillId="0" borderId="0" xfId="0" applyNumberFormat="1"/>
    <xf numFmtId="0" fontId="0" fillId="0" borderId="0" xfId="31" applyFont="1"/>
    <xf numFmtId="9" fontId="16" fillId="0" borderId="0" xfId="31" applyNumberFormat="1"/>
    <xf numFmtId="10" fontId="17" fillId="4" borderId="0" xfId="3" applyNumberFormat="1"/>
    <xf numFmtId="167" fontId="2" fillId="0" borderId="0" xfId="11" applyNumberFormat="1" applyFill="1" applyBorder="1"/>
    <xf numFmtId="2" fontId="0" fillId="0" borderId="15" xfId="0" applyNumberFormat="1" applyBorder="1"/>
    <xf numFmtId="0" fontId="26" fillId="0" borderId="43" xfId="21" applyBorder="1"/>
    <xf numFmtId="0" fontId="26" fillId="9" borderId="7" xfId="22" applyFill="1" applyAlignment="1">
      <alignment horizontal="left"/>
    </xf>
    <xf numFmtId="0" fontId="26" fillId="9" borderId="7" xfId="22" applyFill="1"/>
    <xf numFmtId="1" fontId="28" fillId="6" borderId="44" xfId="28" applyNumberFormat="1" applyBorder="1"/>
    <xf numFmtId="0" fontId="16" fillId="0" borderId="15" xfId="31" applyBorder="1"/>
    <xf numFmtId="0" fontId="26" fillId="0" borderId="43" xfId="22" applyBorder="1"/>
    <xf numFmtId="2" fontId="28" fillId="6" borderId="46" xfId="28" applyNumberFormat="1" applyBorder="1"/>
    <xf numFmtId="173" fontId="28" fillId="6" borderId="46" xfId="28" applyNumberFormat="1" applyBorder="1"/>
    <xf numFmtId="0" fontId="34" fillId="0" borderId="15" xfId="31" applyFont="1" applyBorder="1"/>
    <xf numFmtId="0" fontId="152" fillId="0" borderId="7" xfId="22" applyFont="1"/>
    <xf numFmtId="176" fontId="16" fillId="0" borderId="0" xfId="3924" applyNumberFormat="1" applyBorder="1"/>
    <xf numFmtId="0" fontId="26" fillId="0" borderId="15" xfId="22" applyBorder="1"/>
    <xf numFmtId="0" fontId="26" fillId="0" borderId="0" xfId="22" applyBorder="1"/>
    <xf numFmtId="0" fontId="153" fillId="0" borderId="7" xfId="22" applyFont="1"/>
    <xf numFmtId="0" fontId="153" fillId="0" borderId="0" xfId="22" applyFont="1" applyBorder="1" applyAlignment="1">
      <alignment horizontal="left"/>
    </xf>
    <xf numFmtId="173" fontId="34" fillId="0" borderId="32" xfId="31" applyNumberFormat="1" applyFont="1" applyBorder="1"/>
    <xf numFmtId="0" fontId="154" fillId="0" borderId="0" xfId="33" applyFont="1"/>
    <xf numFmtId="0" fontId="16" fillId="0" borderId="3" xfId="31" applyBorder="1"/>
    <xf numFmtId="2" fontId="16" fillId="0" borderId="15" xfId="31" applyNumberFormat="1" applyBorder="1"/>
    <xf numFmtId="0" fontId="153" fillId="0" borderId="7" xfId="22" applyFont="1" applyAlignment="1">
      <alignment horizontal="left"/>
    </xf>
    <xf numFmtId="1" fontId="34" fillId="0" borderId="0" xfId="31" applyNumberFormat="1" applyFont="1"/>
    <xf numFmtId="1" fontId="41" fillId="6" borderId="5" xfId="28" applyNumberFormat="1" applyFont="1"/>
    <xf numFmtId="1" fontId="41" fillId="6" borderId="44" xfId="28" applyNumberFormat="1" applyFont="1" applyBorder="1"/>
    <xf numFmtId="0" fontId="16" fillId="0" borderId="47" xfId="31" applyBorder="1"/>
    <xf numFmtId="1" fontId="16" fillId="0" borderId="15" xfId="31" applyNumberFormat="1" applyBorder="1"/>
    <xf numFmtId="0" fontId="16" fillId="0" borderId="45" xfId="31" applyBorder="1"/>
    <xf numFmtId="1" fontId="34" fillId="75" borderId="0" xfId="31" applyNumberFormat="1" applyFont="1" applyFill="1"/>
    <xf numFmtId="174" fontId="16" fillId="8" borderId="8" xfId="44" applyNumberFormat="1" applyFont="1"/>
    <xf numFmtId="9" fontId="16" fillId="0" borderId="0" xfId="45" applyFill="1" applyBorder="1"/>
    <xf numFmtId="9" fontId="16" fillId="0" borderId="15" xfId="45" applyFill="1" applyBorder="1"/>
    <xf numFmtId="0" fontId="0" fillId="10" borderId="0" xfId="31" applyFont="1" applyFill="1"/>
    <xf numFmtId="9" fontId="16" fillId="10" borderId="0" xfId="31" applyNumberFormat="1" applyFill="1"/>
    <xf numFmtId="0" fontId="0" fillId="0" borderId="0" xfId="0" applyFont="1" applyFill="1" applyAlignment="1">
      <alignment horizontal="center"/>
    </xf>
    <xf numFmtId="2" fontId="160" fillId="6" borderId="5" xfId="27" applyNumberFormat="1" applyFont="1"/>
    <xf numFmtId="9" fontId="0" fillId="10" borderId="0" xfId="0" applyNumberFormat="1" applyFill="1"/>
    <xf numFmtId="0" fontId="40" fillId="76" borderId="5" xfId="30" applyFont="1" applyFill="1" applyBorder="1" applyAlignment="1">
      <alignment horizontal="center"/>
    </xf>
    <xf numFmtId="172" fontId="0" fillId="10" borderId="0" xfId="45" applyNumberFormat="1" applyFont="1" applyFill="1"/>
    <xf numFmtId="9" fontId="0" fillId="10" borderId="0" xfId="45" applyFont="1" applyFill="1"/>
    <xf numFmtId="0" fontId="0" fillId="0" borderId="0" xfId="0"/>
    <xf numFmtId="2" fontId="0" fillId="0" borderId="0" xfId="0" applyNumberFormat="1"/>
    <xf numFmtId="0" fontId="0" fillId="0" borderId="0" xfId="0" applyBorder="1"/>
    <xf numFmtId="0" fontId="0" fillId="0" borderId="0" xfId="0" applyFill="1" applyBorder="1"/>
    <xf numFmtId="0" fontId="34" fillId="0" borderId="3" xfId="0" applyFont="1" applyBorder="1"/>
    <xf numFmtId="9" fontId="0" fillId="0" borderId="0" xfId="45" applyFont="1"/>
    <xf numFmtId="0" fontId="0" fillId="0" borderId="12" xfId="0" applyBorder="1"/>
    <xf numFmtId="0" fontId="0" fillId="10" borderId="0" xfId="0" applyFill="1"/>
    <xf numFmtId="172" fontId="0" fillId="38" borderId="0" xfId="45" applyNumberFormat="1" applyFont="1" applyFill="1" applyAlignment="1">
      <alignment horizontal="center"/>
    </xf>
    <xf numFmtId="174" fontId="0" fillId="10" borderId="0" xfId="0" applyNumberFormat="1" applyFill="1"/>
    <xf numFmtId="0" fontId="161" fillId="76" borderId="5" xfId="30" applyFont="1" applyFill="1" applyBorder="1" applyAlignment="1">
      <alignment horizontal="center"/>
    </xf>
    <xf numFmtId="0" fontId="162" fillId="7" borderId="5" xfId="30" applyFont="1" applyBorder="1" applyAlignment="1">
      <alignment horizontal="center"/>
    </xf>
    <xf numFmtId="0" fontId="0" fillId="0" borderId="0" xfId="0" quotePrefix="1" applyAlignment="1">
      <alignment wrapText="1"/>
    </xf>
    <xf numFmtId="0" fontId="0" fillId="0" borderId="0" xfId="0" quotePrefix="1" applyFont="1" applyFill="1" applyAlignment="1">
      <alignment horizontal="center"/>
    </xf>
    <xf numFmtId="9" fontId="16" fillId="10" borderId="0" xfId="45" applyFill="1" applyBorder="1"/>
    <xf numFmtId="173" fontId="28" fillId="8" borderId="8" xfId="44" applyNumberFormat="1" applyFont="1"/>
    <xf numFmtId="1" fontId="0" fillId="10" borderId="0" xfId="45" applyNumberFormat="1" applyFont="1" applyFill="1"/>
    <xf numFmtId="1" fontId="0" fillId="10" borderId="0" xfId="0" applyNumberFormat="1" applyFill="1"/>
    <xf numFmtId="177" fontId="0" fillId="10" borderId="0" xfId="0" applyNumberFormat="1" applyFill="1"/>
    <xf numFmtId="173" fontId="0" fillId="10" borderId="0" xfId="0" applyNumberFormat="1" applyFill="1"/>
    <xf numFmtId="177" fontId="0" fillId="0" borderId="0" xfId="0" applyNumberFormat="1" applyFill="1"/>
    <xf numFmtId="174" fontId="0" fillId="0" borderId="0" xfId="0" applyNumberFormat="1" applyFill="1"/>
    <xf numFmtId="173" fontId="0" fillId="0" borderId="0" xfId="0" applyNumberFormat="1" applyFill="1"/>
    <xf numFmtId="0" fontId="163" fillId="77" borderId="0" xfId="0" applyFont="1" applyFill="1"/>
    <xf numFmtId="0" fontId="0" fillId="78" borderId="0" xfId="0" applyFill="1"/>
    <xf numFmtId="2" fontId="0" fillId="78" borderId="0" xfId="0" applyNumberFormat="1" applyFill="1"/>
    <xf numFmtId="9" fontId="47" fillId="34" borderId="0" xfId="4424" applyNumberFormat="1"/>
    <xf numFmtId="0" fontId="47" fillId="34" borderId="0" xfId="4424"/>
    <xf numFmtId="0" fontId="36" fillId="0" borderId="4" xfId="0" applyFont="1" applyBorder="1"/>
    <xf numFmtId="0" fontId="35" fillId="0" borderId="0" xfId="0" applyFont="1"/>
    <xf numFmtId="2" fontId="35" fillId="0" borderId="0" xfId="0" applyNumberFormat="1" applyFont="1"/>
    <xf numFmtId="22" fontId="0" fillId="0" borderId="0" xfId="0" applyNumberFormat="1"/>
    <xf numFmtId="2" fontId="16" fillId="80" borderId="0" xfId="31" applyNumberFormat="1" applyFill="1"/>
    <xf numFmtId="173" fontId="19" fillId="80" borderId="5" xfId="6" applyNumberFormat="1" applyFill="1"/>
    <xf numFmtId="173" fontId="16" fillId="80" borderId="4" xfId="31" applyNumberFormat="1" applyFill="1" applyBorder="1"/>
    <xf numFmtId="2" fontId="35" fillId="0" borderId="0" xfId="31" applyNumberFormat="1" applyFont="1"/>
    <xf numFmtId="0" fontId="35" fillId="10" borderId="0" xfId="31" applyFont="1" applyFill="1"/>
    <xf numFmtId="0" fontId="35" fillId="10" borderId="9" xfId="31" applyFont="1" applyFill="1" applyBorder="1"/>
    <xf numFmtId="0" fontId="165" fillId="0" borderId="0" xfId="0" applyFont="1"/>
    <xf numFmtId="0" fontId="166" fillId="0" borderId="0" xfId="0" applyFont="1"/>
    <xf numFmtId="173" fontId="165" fillId="0" borderId="0" xfId="0" applyNumberFormat="1" applyFont="1"/>
    <xf numFmtId="2" fontId="165" fillId="0" borderId="0" xfId="0" applyNumberFormat="1" applyFont="1"/>
    <xf numFmtId="0" fontId="26" fillId="0" borderId="7" xfId="21" applyAlignment="1">
      <alignment horizontal="left"/>
    </xf>
    <xf numFmtId="0" fontId="2" fillId="0" borderId="0" xfId="0" applyFont="1" applyAlignment="1">
      <alignment horizontal="left"/>
    </xf>
    <xf numFmtId="2" fontId="16" fillId="0" borderId="0" xfId="45" applyNumberFormat="1"/>
    <xf numFmtId="9" fontId="16" fillId="8" borderId="8" xfId="44" applyNumberFormat="1"/>
    <xf numFmtId="9" fontId="28" fillId="0" borderId="5" xfId="45" applyFont="1" applyBorder="1"/>
    <xf numFmtId="9" fontId="16" fillId="0" borderId="0" xfId="45"/>
    <xf numFmtId="173" fontId="16" fillId="0" borderId="0" xfId="45" applyNumberFormat="1"/>
    <xf numFmtId="1" fontId="16" fillId="0" borderId="8" xfId="44" applyNumberFormat="1" applyFill="1"/>
    <xf numFmtId="2" fontId="16" fillId="8" borderId="8" xfId="44" applyNumberFormat="1"/>
    <xf numFmtId="0" fontId="0" fillId="0" borderId="14" xfId="0" applyBorder="1"/>
    <xf numFmtId="1" fontId="2" fillId="0" borderId="0" xfId="11" applyNumberFormat="1"/>
    <xf numFmtId="176" fontId="2" fillId="0" borderId="0" xfId="11" applyNumberFormat="1"/>
    <xf numFmtId="9" fontId="16" fillId="0" borderId="4" xfId="45" applyBorder="1"/>
    <xf numFmtId="172" fontId="16" fillId="0" borderId="0" xfId="45" applyNumberFormat="1"/>
    <xf numFmtId="172" fontId="16" fillId="0" borderId="4" xfId="45" applyNumberFormat="1" applyBorder="1"/>
    <xf numFmtId="172" fontId="28" fillId="0" borderId="5" xfId="45" applyNumberFormat="1" applyFont="1" applyBorder="1"/>
    <xf numFmtId="0" fontId="16" fillId="8" borderId="8" xfId="44"/>
    <xf numFmtId="0" fontId="16" fillId="0" borderId="4" xfId="45" applyNumberFormat="1" applyBorder="1"/>
    <xf numFmtId="1" fontId="28" fillId="0" borderId="5" xfId="45" applyNumberFormat="1" applyFont="1" applyBorder="1"/>
    <xf numFmtId="0" fontId="16" fillId="0" borderId="0" xfId="45" applyNumberFormat="1"/>
    <xf numFmtId="173" fontId="16" fillId="0" borderId="4" xfId="45" applyNumberFormat="1" applyBorder="1"/>
    <xf numFmtId="172" fontId="34" fillId="0" borderId="0" xfId="0" applyNumberFormat="1" applyFont="1"/>
    <xf numFmtId="172" fontId="34" fillId="0" borderId="0" xfId="45" applyNumberFormat="1" applyFont="1"/>
    <xf numFmtId="0" fontId="26" fillId="0" borderId="7" xfId="21" applyAlignment="1">
      <alignment horizontal="left"/>
    </xf>
    <xf numFmtId="167" fontId="28" fillId="6" borderId="5" xfId="3924" applyFont="1" applyFill="1" applyBorder="1"/>
    <xf numFmtId="10" fontId="0" fillId="10" borderId="0" xfId="0" applyNumberFormat="1" applyFill="1"/>
    <xf numFmtId="172" fontId="35" fillId="6" borderId="5" xfId="45" applyNumberFormat="1" applyFont="1" applyFill="1" applyBorder="1"/>
    <xf numFmtId="9" fontId="16" fillId="8" borderId="8" xfId="45" applyFill="1" applyBorder="1"/>
    <xf numFmtId="9" fontId="19" fillId="5" borderId="5" xfId="45" applyFont="1" applyFill="1" applyBorder="1" applyAlignment="1">
      <alignment horizontal="center"/>
    </xf>
    <xf numFmtId="0" fontId="26" fillId="0" borderId="7" xfId="21" applyAlignment="1">
      <alignment horizontal="center"/>
    </xf>
    <xf numFmtId="9" fontId="0" fillId="10" borderId="0" xfId="45" applyNumberFormat="1" applyFont="1" applyFill="1"/>
    <xf numFmtId="10" fontId="35" fillId="6" borderId="5" xfId="27" applyNumberFormat="1" applyFont="1"/>
    <xf numFmtId="0" fontId="34" fillId="0" borderId="0" xfId="0" applyFont="1" applyAlignment="1">
      <alignment horizontal="center"/>
    </xf>
    <xf numFmtId="173" fontId="34" fillId="0" borderId="0" xfId="0" applyNumberFormat="1" applyFont="1" applyAlignment="1">
      <alignment horizontal="center"/>
    </xf>
    <xf numFmtId="173" fontId="168" fillId="0" borderId="0" xfId="0" applyNumberFormat="1" applyFont="1"/>
    <xf numFmtId="0" fontId="156" fillId="0" borderId="0" xfId="4430"/>
    <xf numFmtId="0" fontId="2" fillId="0" borderId="0" xfId="31" applyFont="1" applyAlignment="1">
      <alignment horizontal="left"/>
    </xf>
    <xf numFmtId="0" fontId="16" fillId="10" borderId="4" xfId="31" applyFill="1" applyBorder="1"/>
    <xf numFmtId="9" fontId="16" fillId="9" borderId="0" xfId="31" applyNumberFormat="1" applyFill="1"/>
    <xf numFmtId="0" fontId="155" fillId="0" borderId="3" xfId="31" applyFont="1" applyBorder="1" applyAlignment="1">
      <alignment horizontal="left"/>
    </xf>
    <xf numFmtId="0" fontId="90" fillId="0" borderId="0" xfId="31" applyFont="1" applyAlignment="1">
      <alignment horizontal="left"/>
    </xf>
    <xf numFmtId="0" fontId="155" fillId="0" borderId="0" xfId="31" applyFont="1" applyAlignment="1">
      <alignment horizontal="left"/>
    </xf>
    <xf numFmtId="0" fontId="34" fillId="0" borderId="32" xfId="31" applyFont="1" applyBorder="1"/>
    <xf numFmtId="0" fontId="16" fillId="0" borderId="32" xfId="31" applyBorder="1"/>
    <xf numFmtId="174" fontId="16" fillId="0" borderId="32" xfId="31" applyNumberFormat="1" applyBorder="1"/>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9" fontId="35" fillId="8" borderId="8" xfId="44" applyNumberFormat="1" applyFont="1"/>
    <xf numFmtId="0" fontId="0" fillId="0" borderId="0" xfId="0"/>
    <xf numFmtId="0" fontId="26" fillId="0" borderId="7" xfId="21" applyAlignment="1">
      <alignment horizontal="left"/>
    </xf>
    <xf numFmtId="0" fontId="0" fillId="0" borderId="0" xfId="0"/>
    <xf numFmtId="188" fontId="160" fillId="0" borderId="59" xfId="2765" applyNumberFormat="1" applyFont="1" applyBorder="1" applyAlignment="1">
      <alignment vertical="center" wrapText="1"/>
    </xf>
    <xf numFmtId="174" fontId="160" fillId="0" borderId="0" xfId="0" applyNumberFormat="1" applyFont="1"/>
    <xf numFmtId="2" fontId="160" fillId="0" borderId="0" xfId="0" applyNumberFormat="1" applyFont="1"/>
    <xf numFmtId="0" fontId="0" fillId="0" borderId="0" xfId="0"/>
    <xf numFmtId="0" fontId="0" fillId="10" borderId="0" xfId="0" applyFill="1" applyAlignment="1"/>
    <xf numFmtId="2" fontId="0" fillId="10" borderId="0" xfId="0" applyNumberFormat="1" applyFill="1"/>
    <xf numFmtId="0" fontId="36" fillId="0" borderId="0" xfId="0" applyFont="1" applyFill="1" applyBorder="1"/>
    <xf numFmtId="9" fontId="28" fillId="38" borderId="5" xfId="27" applyNumberFormat="1" applyFill="1"/>
    <xf numFmtId="9" fontId="28" fillId="38" borderId="5" xfId="45" applyFont="1" applyFill="1" applyBorder="1"/>
    <xf numFmtId="2" fontId="0" fillId="38" borderId="0" xfId="0" applyNumberFormat="1" applyFill="1"/>
    <xf numFmtId="172" fontId="16" fillId="8" borderId="8" xfId="44" applyNumberFormat="1"/>
    <xf numFmtId="10" fontId="28" fillId="0" borderId="5" xfId="45" applyNumberFormat="1" applyFont="1" applyBorder="1"/>
    <xf numFmtId="10" fontId="28" fillId="38" borderId="5" xfId="45" applyNumberFormat="1" applyFont="1" applyFill="1" applyBorder="1"/>
    <xf numFmtId="172" fontId="28" fillId="38" borderId="5" xfId="45" applyNumberFormat="1" applyFont="1" applyFill="1" applyBorder="1"/>
    <xf numFmtId="1" fontId="155" fillId="0" borderId="0" xfId="11" applyNumberFormat="1" applyFont="1"/>
    <xf numFmtId="1" fontId="26" fillId="0" borderId="7" xfId="21" applyNumberFormat="1" applyAlignment="1">
      <alignment horizontal="left"/>
    </xf>
    <xf numFmtId="173" fontId="16" fillId="8" borderId="8" xfId="44" applyNumberFormat="1"/>
    <xf numFmtId="2" fontId="168" fillId="0" borderId="0" xfId="0" applyNumberFormat="1" applyFont="1"/>
    <xf numFmtId="0" fontId="168" fillId="10" borderId="0" xfId="0" applyFont="1" applyFill="1" applyAlignment="1">
      <alignment horizontal="center"/>
    </xf>
    <xf numFmtId="2" fontId="168" fillId="10" borderId="0" xfId="45" applyNumberFormat="1" applyFont="1" applyFill="1" applyAlignment="1">
      <alignment horizontal="center"/>
    </xf>
    <xf numFmtId="0" fontId="169" fillId="0" borderId="0" xfId="0" applyFont="1"/>
    <xf numFmtId="2" fontId="0" fillId="9" borderId="0" xfId="0" applyNumberFormat="1" applyFill="1"/>
    <xf numFmtId="173" fontId="16" fillId="9" borderId="0" xfId="45" applyNumberFormat="1" applyFill="1"/>
    <xf numFmtId="2" fontId="0" fillId="0" borderId="0" xfId="0" applyNumberFormat="1" applyFill="1"/>
    <xf numFmtId="173" fontId="0" fillId="9" borderId="0" xfId="0" applyNumberFormat="1" applyFill="1"/>
    <xf numFmtId="172" fontId="16" fillId="9" borderId="0" xfId="45" applyNumberFormat="1" applyFill="1"/>
    <xf numFmtId="172" fontId="0" fillId="38" borderId="0" xfId="45" applyNumberFormat="1" applyFont="1" applyFill="1"/>
    <xf numFmtId="0" fontId="0" fillId="38" borderId="0" xfId="0" applyFill="1"/>
    <xf numFmtId="173" fontId="0" fillId="38" borderId="0" xfId="0" applyNumberFormat="1" applyFill="1"/>
    <xf numFmtId="173" fontId="34" fillId="38" borderId="0" xfId="0" applyNumberFormat="1" applyFont="1" applyFill="1"/>
    <xf numFmtId="0" fontId="26" fillId="0" borderId="7" xfId="21" applyAlignment="1">
      <alignment horizontal="left"/>
    </xf>
    <xf numFmtId="0" fontId="0" fillId="0" borderId="0" xfId="0"/>
    <xf numFmtId="0" fontId="38" fillId="0" borderId="0" xfId="41" applyFont="1"/>
    <xf numFmtId="0" fontId="0" fillId="81" borderId="0" xfId="0" applyFill="1"/>
    <xf numFmtId="2" fontId="0" fillId="81" borderId="0" xfId="0" applyNumberFormat="1" applyFill="1"/>
    <xf numFmtId="174" fontId="0" fillId="81" borderId="0" xfId="0" applyNumberFormat="1" applyFill="1"/>
    <xf numFmtId="0" fontId="38" fillId="81" borderId="0" xfId="0" applyFont="1" applyFill="1" applyAlignment="1">
      <alignment horizontal="center"/>
    </xf>
    <xf numFmtId="0" fontId="38" fillId="81" borderId="0" xfId="0" applyFont="1" applyFill="1"/>
    <xf numFmtId="0" fontId="35" fillId="81" borderId="0" xfId="0" applyFont="1" applyFill="1"/>
    <xf numFmtId="9" fontId="16" fillId="0" borderId="4" xfId="45" applyFont="1" applyBorder="1"/>
    <xf numFmtId="0" fontId="0" fillId="0" borderId="0" xfId="0"/>
    <xf numFmtId="0" fontId="0" fillId="0" borderId="4" xfId="0" applyFill="1" applyBorder="1"/>
    <xf numFmtId="172" fontId="28" fillId="8" borderId="8" xfId="45" applyNumberFormat="1" applyFont="1" applyFill="1" applyBorder="1"/>
    <xf numFmtId="172" fontId="35" fillId="0" borderId="5" xfId="45" applyNumberFormat="1" applyFont="1" applyBorder="1"/>
    <xf numFmtId="173" fontId="28" fillId="6" borderId="5" xfId="27" applyNumberFormat="1"/>
    <xf numFmtId="173" fontId="35" fillId="0" borderId="5" xfId="27" applyNumberFormat="1" applyFont="1" applyFill="1"/>
    <xf numFmtId="2" fontId="19" fillId="5" borderId="5" xfId="6" applyNumberFormat="1"/>
    <xf numFmtId="2" fontId="35" fillId="8" borderId="8" xfId="44" applyNumberFormat="1" applyFont="1"/>
    <xf numFmtId="2" fontId="35" fillId="0" borderId="5" xfId="27" applyNumberFormat="1" applyFont="1" applyFill="1"/>
    <xf numFmtId="173" fontId="52" fillId="15" borderId="5" xfId="65" applyNumberFormat="1" applyBorder="1"/>
    <xf numFmtId="177" fontId="52" fillId="15" borderId="5" xfId="65" applyNumberFormat="1" applyBorder="1"/>
    <xf numFmtId="172" fontId="52" fillId="15" borderId="5" xfId="65" applyNumberFormat="1" applyBorder="1"/>
    <xf numFmtId="174" fontId="52" fillId="15" borderId="5" xfId="65" applyNumberFormat="1" applyBorder="1"/>
    <xf numFmtId="0" fontId="52" fillId="15" borderId="5" xfId="65" applyBorder="1"/>
    <xf numFmtId="2" fontId="0" fillId="0" borderId="0" xfId="0" quotePrefix="1" applyNumberFormat="1"/>
    <xf numFmtId="2" fontId="16" fillId="80" borderId="4" xfId="31" applyNumberFormat="1" applyFill="1" applyBorder="1"/>
    <xf numFmtId="0" fontId="0" fillId="0" borderId="0" xfId="0"/>
    <xf numFmtId="177" fontId="145" fillId="15" borderId="5" xfId="65" applyNumberFormat="1" applyFont="1" applyBorder="1"/>
    <xf numFmtId="173" fontId="145" fillId="15" borderId="5" xfId="65" applyNumberFormat="1" applyFont="1" applyBorder="1"/>
    <xf numFmtId="172" fontId="52" fillId="15" borderId="5" xfId="45" applyNumberFormat="1" applyFont="1" applyFill="1" applyBorder="1"/>
    <xf numFmtId="0" fontId="0" fillId="0" borderId="0" xfId="0"/>
    <xf numFmtId="0" fontId="16" fillId="15" borderId="5" xfId="4431" applyBorder="1"/>
    <xf numFmtId="0" fontId="0" fillId="0" borderId="0" xfId="0"/>
    <xf numFmtId="0" fontId="16" fillId="19" borderId="5" xfId="4432" applyBorder="1"/>
    <xf numFmtId="9" fontId="35" fillId="0" borderId="5" xfId="45" applyFont="1" applyBorder="1"/>
    <xf numFmtId="174" fontId="19" fillId="5" borderId="5" xfId="6" applyNumberFormat="1"/>
    <xf numFmtId="0" fontId="0" fillId="0" borderId="0" xfId="0"/>
    <xf numFmtId="0" fontId="26" fillId="0" borderId="7" xfId="21" applyAlignment="1">
      <alignment horizontal="left"/>
    </xf>
    <xf numFmtId="0" fontId="2" fillId="0" borderId="0" xfId="31" applyFont="1" applyAlignment="1">
      <alignment horizontal="left"/>
    </xf>
    <xf numFmtId="0" fontId="0" fillId="0" borderId="0" xfId="0"/>
    <xf numFmtId="174" fontId="16" fillId="15" borderId="0" xfId="4431" applyNumberFormat="1"/>
    <xf numFmtId="9" fontId="19" fillId="5" borderId="5" xfId="45" applyFont="1" applyFill="1" applyBorder="1"/>
  </cellXfs>
  <cellStyles count="4433">
    <cellStyle name="20% - Accent1" xfId="4431" builtinId="30"/>
    <cellStyle name="20% - Accent1 2" xfId="65" xr:uid="{00000000-0005-0000-0000-000000000000}"/>
    <cellStyle name="20% - Accent1 2 2" xfId="66" xr:uid="{00000000-0005-0000-0000-000001000000}"/>
    <cellStyle name="20% - Accent1 2 2 2" xfId="67" xr:uid="{00000000-0005-0000-0000-000002000000}"/>
    <cellStyle name="20% - Accent1 2 2 3" xfId="68" xr:uid="{00000000-0005-0000-0000-000003000000}"/>
    <cellStyle name="20% - Accent1 2 2_AGL" xfId="69" xr:uid="{00000000-0005-0000-0000-000004000000}"/>
    <cellStyle name="20% - Accent1 2 3" xfId="70" xr:uid="{00000000-0005-0000-0000-000005000000}"/>
    <cellStyle name="20% - Accent1 2 4" xfId="71" xr:uid="{00000000-0005-0000-0000-000006000000}"/>
    <cellStyle name="20% - Accent1 2_AGL" xfId="72" xr:uid="{00000000-0005-0000-0000-000007000000}"/>
    <cellStyle name="20% - Accent1 3" xfId="73" xr:uid="{00000000-0005-0000-0000-000008000000}"/>
    <cellStyle name="20% - Accent1 3 2" xfId="74" xr:uid="{00000000-0005-0000-0000-000009000000}"/>
    <cellStyle name="20% - Accent1 3 2 2" xfId="75" xr:uid="{00000000-0005-0000-0000-00000A000000}"/>
    <cellStyle name="20% - Accent1 3 2 3" xfId="76" xr:uid="{00000000-0005-0000-0000-00000B000000}"/>
    <cellStyle name="20% - Accent1 3 2_AGL" xfId="77" xr:uid="{00000000-0005-0000-0000-00000C000000}"/>
    <cellStyle name="20% - Accent1 3 3" xfId="78" xr:uid="{00000000-0005-0000-0000-00000D000000}"/>
    <cellStyle name="20% - Accent1 3 4" xfId="79" xr:uid="{00000000-0005-0000-0000-00000E000000}"/>
    <cellStyle name="20% - Accent1 3_AGL" xfId="80" xr:uid="{00000000-0005-0000-0000-00000F000000}"/>
    <cellStyle name="20% - Accent1 4" xfId="81" xr:uid="{00000000-0005-0000-0000-000010000000}"/>
    <cellStyle name="20% - Accent1 4 2" xfId="82" xr:uid="{00000000-0005-0000-0000-000011000000}"/>
    <cellStyle name="20% - Accent1 4 2 2" xfId="83" xr:uid="{00000000-0005-0000-0000-000012000000}"/>
    <cellStyle name="20% - Accent1 4 2 3" xfId="84" xr:uid="{00000000-0005-0000-0000-000013000000}"/>
    <cellStyle name="20% - Accent1 4 2_AGL" xfId="85" xr:uid="{00000000-0005-0000-0000-000014000000}"/>
    <cellStyle name="20% - Accent1 4 3" xfId="86" xr:uid="{00000000-0005-0000-0000-000015000000}"/>
    <cellStyle name="20% - Accent1 4 4" xfId="87" xr:uid="{00000000-0005-0000-0000-000016000000}"/>
    <cellStyle name="20% - Accent1 4_AGL" xfId="88" xr:uid="{00000000-0005-0000-0000-000017000000}"/>
    <cellStyle name="20% - Accent1 5" xfId="89" xr:uid="{00000000-0005-0000-0000-000018000000}"/>
    <cellStyle name="20% - Accent1 5 2" xfId="90" xr:uid="{00000000-0005-0000-0000-000019000000}"/>
    <cellStyle name="20% - Accent1 5 2 2" xfId="91" xr:uid="{00000000-0005-0000-0000-00001A000000}"/>
    <cellStyle name="20% - Accent1 5 2 3" xfId="92" xr:uid="{00000000-0005-0000-0000-00001B000000}"/>
    <cellStyle name="20% - Accent1 5 2_AGL" xfId="93" xr:uid="{00000000-0005-0000-0000-00001C000000}"/>
    <cellStyle name="20% - Accent1 5 3" xfId="94" xr:uid="{00000000-0005-0000-0000-00001D000000}"/>
    <cellStyle name="20% - Accent1 5 4" xfId="95" xr:uid="{00000000-0005-0000-0000-00001E000000}"/>
    <cellStyle name="20% - Accent1 5_AGL" xfId="96" xr:uid="{00000000-0005-0000-0000-00001F000000}"/>
    <cellStyle name="20% - Accent1 6" xfId="97" xr:uid="{00000000-0005-0000-0000-000020000000}"/>
    <cellStyle name="20% - Accent1 6 2" xfId="98" xr:uid="{00000000-0005-0000-0000-000021000000}"/>
    <cellStyle name="20% - Accent1 6 3" xfId="99" xr:uid="{00000000-0005-0000-0000-000022000000}"/>
    <cellStyle name="20% - Accent1 6_AGL" xfId="100" xr:uid="{00000000-0005-0000-0000-000023000000}"/>
    <cellStyle name="20% - Accent1 7" xfId="101" xr:uid="{00000000-0005-0000-0000-000024000000}"/>
    <cellStyle name="20% - Accent1 8" xfId="102" xr:uid="{00000000-0005-0000-0000-000025000000}"/>
    <cellStyle name="20% - Accent2" xfId="4432" builtinId="34"/>
    <cellStyle name="20% - Accent2 2" xfId="103" xr:uid="{00000000-0005-0000-0000-000026000000}"/>
    <cellStyle name="20% - Accent2 2 2" xfId="104" xr:uid="{00000000-0005-0000-0000-000027000000}"/>
    <cellStyle name="20% - Accent2 2 2 2" xfId="105" xr:uid="{00000000-0005-0000-0000-000028000000}"/>
    <cellStyle name="20% - Accent2 2 2 3" xfId="106" xr:uid="{00000000-0005-0000-0000-000029000000}"/>
    <cellStyle name="20% - Accent2 2 2_AGL" xfId="107" xr:uid="{00000000-0005-0000-0000-00002A000000}"/>
    <cellStyle name="20% - Accent2 2 3" xfId="108" xr:uid="{00000000-0005-0000-0000-00002B000000}"/>
    <cellStyle name="20% - Accent2 2 4" xfId="109" xr:uid="{00000000-0005-0000-0000-00002C000000}"/>
    <cellStyle name="20% - Accent2 2_AGL" xfId="110" xr:uid="{00000000-0005-0000-0000-00002D000000}"/>
    <cellStyle name="20% - Accent2 3" xfId="111" xr:uid="{00000000-0005-0000-0000-00002E000000}"/>
    <cellStyle name="20% - Accent2 3 2" xfId="112" xr:uid="{00000000-0005-0000-0000-00002F000000}"/>
    <cellStyle name="20% - Accent2 3 2 2" xfId="113" xr:uid="{00000000-0005-0000-0000-000030000000}"/>
    <cellStyle name="20% - Accent2 3 2 3" xfId="114" xr:uid="{00000000-0005-0000-0000-000031000000}"/>
    <cellStyle name="20% - Accent2 3 2_AGL" xfId="115" xr:uid="{00000000-0005-0000-0000-000032000000}"/>
    <cellStyle name="20% - Accent2 3 3" xfId="116" xr:uid="{00000000-0005-0000-0000-000033000000}"/>
    <cellStyle name="20% - Accent2 3 4" xfId="117" xr:uid="{00000000-0005-0000-0000-000034000000}"/>
    <cellStyle name="20% - Accent2 3_AGL" xfId="118" xr:uid="{00000000-0005-0000-0000-000035000000}"/>
    <cellStyle name="20% - Accent2 4" xfId="119" xr:uid="{00000000-0005-0000-0000-000036000000}"/>
    <cellStyle name="20% - Accent2 4 2" xfId="120" xr:uid="{00000000-0005-0000-0000-000037000000}"/>
    <cellStyle name="20% - Accent2 4 2 2" xfId="121" xr:uid="{00000000-0005-0000-0000-000038000000}"/>
    <cellStyle name="20% - Accent2 4 2 2 2" xfId="122" xr:uid="{00000000-0005-0000-0000-000039000000}"/>
    <cellStyle name="20% - Accent2 4 2 3" xfId="123" xr:uid="{00000000-0005-0000-0000-00003A000000}"/>
    <cellStyle name="20% - Accent2 4 2 3 2" xfId="124" xr:uid="{00000000-0005-0000-0000-00003B000000}"/>
    <cellStyle name="20% - Accent2 4 2 4" xfId="125" xr:uid="{00000000-0005-0000-0000-00003C000000}"/>
    <cellStyle name="20% - Accent2 4 2_AGL" xfId="126" xr:uid="{00000000-0005-0000-0000-00003D000000}"/>
    <cellStyle name="20% - Accent2 4 3" xfId="127" xr:uid="{00000000-0005-0000-0000-00003E000000}"/>
    <cellStyle name="20% - Accent2 4 3 2" xfId="128" xr:uid="{00000000-0005-0000-0000-00003F000000}"/>
    <cellStyle name="20% - Accent2 4 4" xfId="129" xr:uid="{00000000-0005-0000-0000-000040000000}"/>
    <cellStyle name="20% - Accent2 4 4 2" xfId="130" xr:uid="{00000000-0005-0000-0000-000041000000}"/>
    <cellStyle name="20% - Accent2 4 5" xfId="131" xr:uid="{00000000-0005-0000-0000-000042000000}"/>
    <cellStyle name="20% - Accent2 4_AGL" xfId="132" xr:uid="{00000000-0005-0000-0000-000043000000}"/>
    <cellStyle name="20% - Accent2 5" xfId="133" xr:uid="{00000000-0005-0000-0000-000044000000}"/>
    <cellStyle name="20% - Accent2 5 2" xfId="134" xr:uid="{00000000-0005-0000-0000-000045000000}"/>
    <cellStyle name="20% - Accent2 5 3" xfId="135" xr:uid="{00000000-0005-0000-0000-000046000000}"/>
    <cellStyle name="20% - Accent2 5_AGL" xfId="136" xr:uid="{00000000-0005-0000-0000-000047000000}"/>
    <cellStyle name="20% - Accent2 6" xfId="137" xr:uid="{00000000-0005-0000-0000-000048000000}"/>
    <cellStyle name="20% - Accent2 6 2" xfId="138" xr:uid="{00000000-0005-0000-0000-000049000000}"/>
    <cellStyle name="20% - Accent2 6 2 2" xfId="139" xr:uid="{00000000-0005-0000-0000-00004A000000}"/>
    <cellStyle name="20% - Accent2 6 3" xfId="140" xr:uid="{00000000-0005-0000-0000-00004B000000}"/>
    <cellStyle name="20% - Accent2 6 3 2" xfId="141" xr:uid="{00000000-0005-0000-0000-00004C000000}"/>
    <cellStyle name="20% - Accent2 6 4" xfId="142" xr:uid="{00000000-0005-0000-0000-00004D000000}"/>
    <cellStyle name="20% - Accent2 6_AGL" xfId="143" xr:uid="{00000000-0005-0000-0000-00004E000000}"/>
    <cellStyle name="20% - Accent2 7" xfId="144" xr:uid="{00000000-0005-0000-0000-00004F000000}"/>
    <cellStyle name="20% - Accent2 8" xfId="145" xr:uid="{00000000-0005-0000-0000-000050000000}"/>
    <cellStyle name="20% - Accent3 2" xfId="146" xr:uid="{00000000-0005-0000-0000-000051000000}"/>
    <cellStyle name="20% - Accent3 2 2" xfId="147" xr:uid="{00000000-0005-0000-0000-000052000000}"/>
    <cellStyle name="20% - Accent3 2 2 2" xfId="148" xr:uid="{00000000-0005-0000-0000-000053000000}"/>
    <cellStyle name="20% - Accent3 2 2 3" xfId="149" xr:uid="{00000000-0005-0000-0000-000054000000}"/>
    <cellStyle name="20% - Accent3 2 2_AGL" xfId="150" xr:uid="{00000000-0005-0000-0000-000055000000}"/>
    <cellStyle name="20% - Accent3 2 3" xfId="151" xr:uid="{00000000-0005-0000-0000-000056000000}"/>
    <cellStyle name="20% - Accent3 2 4" xfId="152" xr:uid="{00000000-0005-0000-0000-000057000000}"/>
    <cellStyle name="20% - Accent3 2_AGL" xfId="153" xr:uid="{00000000-0005-0000-0000-000058000000}"/>
    <cellStyle name="20% - Accent3 3" xfId="154" xr:uid="{00000000-0005-0000-0000-000059000000}"/>
    <cellStyle name="20% - Accent3 3 2" xfId="155" xr:uid="{00000000-0005-0000-0000-00005A000000}"/>
    <cellStyle name="20% - Accent3 3 2 2" xfId="156" xr:uid="{00000000-0005-0000-0000-00005B000000}"/>
    <cellStyle name="20% - Accent3 3 2 3" xfId="157" xr:uid="{00000000-0005-0000-0000-00005C000000}"/>
    <cellStyle name="20% - Accent3 3 2_AGL" xfId="158" xr:uid="{00000000-0005-0000-0000-00005D000000}"/>
    <cellStyle name="20% - Accent3 3 3" xfId="159" xr:uid="{00000000-0005-0000-0000-00005E000000}"/>
    <cellStyle name="20% - Accent3 3 4" xfId="160" xr:uid="{00000000-0005-0000-0000-00005F000000}"/>
    <cellStyle name="20% - Accent3 3_AGL" xfId="161" xr:uid="{00000000-0005-0000-0000-000060000000}"/>
    <cellStyle name="20% - Accent3 4" xfId="162" xr:uid="{00000000-0005-0000-0000-000061000000}"/>
    <cellStyle name="20% - Accent3 4 2" xfId="163" xr:uid="{00000000-0005-0000-0000-000062000000}"/>
    <cellStyle name="20% - Accent3 4 3" xfId="164" xr:uid="{00000000-0005-0000-0000-000063000000}"/>
    <cellStyle name="20% - Accent3 4_AGL" xfId="165" xr:uid="{00000000-0005-0000-0000-000064000000}"/>
    <cellStyle name="20% - Accent3 5" xfId="166" xr:uid="{00000000-0005-0000-0000-000065000000}"/>
    <cellStyle name="20% - Accent3 6" xfId="167" xr:uid="{00000000-0005-0000-0000-000066000000}"/>
    <cellStyle name="20% - Accent4 2" xfId="168" xr:uid="{00000000-0005-0000-0000-000067000000}"/>
    <cellStyle name="20% - Accent4 2 2" xfId="169" xr:uid="{00000000-0005-0000-0000-000068000000}"/>
    <cellStyle name="20% - Accent4 2 2 2" xfId="170" xr:uid="{00000000-0005-0000-0000-000069000000}"/>
    <cellStyle name="20% - Accent4 2 2 3" xfId="171" xr:uid="{00000000-0005-0000-0000-00006A000000}"/>
    <cellStyle name="20% - Accent4 2 2_AGL" xfId="172" xr:uid="{00000000-0005-0000-0000-00006B000000}"/>
    <cellStyle name="20% - Accent4 2 3" xfId="173" xr:uid="{00000000-0005-0000-0000-00006C000000}"/>
    <cellStyle name="20% - Accent4 2 4" xfId="174" xr:uid="{00000000-0005-0000-0000-00006D000000}"/>
    <cellStyle name="20% - Accent4 2_AGL" xfId="175" xr:uid="{00000000-0005-0000-0000-00006E000000}"/>
    <cellStyle name="20% - Accent4 3" xfId="176" xr:uid="{00000000-0005-0000-0000-00006F000000}"/>
    <cellStyle name="20% - Accent4 3 2" xfId="177" xr:uid="{00000000-0005-0000-0000-000070000000}"/>
    <cellStyle name="20% - Accent4 3 2 2" xfId="178" xr:uid="{00000000-0005-0000-0000-000071000000}"/>
    <cellStyle name="20% - Accent4 3 2 3" xfId="179" xr:uid="{00000000-0005-0000-0000-000072000000}"/>
    <cellStyle name="20% - Accent4 3 2_AGL" xfId="180" xr:uid="{00000000-0005-0000-0000-000073000000}"/>
    <cellStyle name="20% - Accent4 3 3" xfId="181" xr:uid="{00000000-0005-0000-0000-000074000000}"/>
    <cellStyle name="20% - Accent4 3 4" xfId="182" xr:uid="{00000000-0005-0000-0000-000075000000}"/>
    <cellStyle name="20% - Accent4 3_AGL" xfId="183" xr:uid="{00000000-0005-0000-0000-000076000000}"/>
    <cellStyle name="20% - Accent4 4" xfId="184" xr:uid="{00000000-0005-0000-0000-000077000000}"/>
    <cellStyle name="20% - Accent4 4 2" xfId="185" xr:uid="{00000000-0005-0000-0000-000078000000}"/>
    <cellStyle name="20% - Accent4 4 3" xfId="186" xr:uid="{00000000-0005-0000-0000-000079000000}"/>
    <cellStyle name="20% - Accent4 4_AGL" xfId="187" xr:uid="{00000000-0005-0000-0000-00007A000000}"/>
    <cellStyle name="20% - Accent4 5" xfId="188" xr:uid="{00000000-0005-0000-0000-00007B000000}"/>
    <cellStyle name="20% - Accent4 6" xfId="189" xr:uid="{00000000-0005-0000-0000-00007C000000}"/>
    <cellStyle name="20% - Accent5 2" xfId="190" xr:uid="{00000000-0005-0000-0000-00007D000000}"/>
    <cellStyle name="20% - Accent5 2 2" xfId="191" xr:uid="{00000000-0005-0000-0000-00007E000000}"/>
    <cellStyle name="20% - Accent5 2 2 2" xfId="192" xr:uid="{00000000-0005-0000-0000-00007F000000}"/>
    <cellStyle name="20% - Accent5 2 2 3" xfId="193" xr:uid="{00000000-0005-0000-0000-000080000000}"/>
    <cellStyle name="20% - Accent5 2 2_AGL" xfId="194" xr:uid="{00000000-0005-0000-0000-000081000000}"/>
    <cellStyle name="20% - Accent5 2 3" xfId="195" xr:uid="{00000000-0005-0000-0000-000082000000}"/>
    <cellStyle name="20% - Accent5 2 4" xfId="196" xr:uid="{00000000-0005-0000-0000-000083000000}"/>
    <cellStyle name="20% - Accent5 2_AGL" xfId="197" xr:uid="{00000000-0005-0000-0000-000084000000}"/>
    <cellStyle name="20% - Accent5 3" xfId="198" xr:uid="{00000000-0005-0000-0000-000085000000}"/>
    <cellStyle name="20% - Accent5 3 2" xfId="199" xr:uid="{00000000-0005-0000-0000-000086000000}"/>
    <cellStyle name="20% - Accent5 3 2 2" xfId="200" xr:uid="{00000000-0005-0000-0000-000087000000}"/>
    <cellStyle name="20% - Accent5 3 2 3" xfId="201" xr:uid="{00000000-0005-0000-0000-000088000000}"/>
    <cellStyle name="20% - Accent5 3 2_AGL" xfId="202" xr:uid="{00000000-0005-0000-0000-000089000000}"/>
    <cellStyle name="20% - Accent5 3 3" xfId="203" xr:uid="{00000000-0005-0000-0000-00008A000000}"/>
    <cellStyle name="20% - Accent5 3 4" xfId="204" xr:uid="{00000000-0005-0000-0000-00008B000000}"/>
    <cellStyle name="20% - Accent5 3_AGL" xfId="205" xr:uid="{00000000-0005-0000-0000-00008C000000}"/>
    <cellStyle name="20% - Accent5 4" xfId="206" xr:uid="{00000000-0005-0000-0000-00008D000000}"/>
    <cellStyle name="20% - Accent5 4 2" xfId="207" xr:uid="{00000000-0005-0000-0000-00008E000000}"/>
    <cellStyle name="20% - Accent5 4 3" xfId="208" xr:uid="{00000000-0005-0000-0000-00008F000000}"/>
    <cellStyle name="20% - Accent5 4_AGL" xfId="209" xr:uid="{00000000-0005-0000-0000-000090000000}"/>
    <cellStyle name="20% - Accent5 5" xfId="210" xr:uid="{00000000-0005-0000-0000-000091000000}"/>
    <cellStyle name="20% - Accent5 6" xfId="211" xr:uid="{00000000-0005-0000-0000-000092000000}"/>
    <cellStyle name="20% - Accent6 10" xfId="212" xr:uid="{00000000-0005-0000-0000-000093000000}"/>
    <cellStyle name="20% - Accent6 2" xfId="213" xr:uid="{00000000-0005-0000-0000-000094000000}"/>
    <cellStyle name="20% - Accent6 2 2" xfId="214" xr:uid="{00000000-0005-0000-0000-000095000000}"/>
    <cellStyle name="20% - Accent6 2 2 2" xfId="215" xr:uid="{00000000-0005-0000-0000-000096000000}"/>
    <cellStyle name="20% - Accent6 2 2 3" xfId="216" xr:uid="{00000000-0005-0000-0000-000097000000}"/>
    <cellStyle name="20% - Accent6 2 2_AGL" xfId="217" xr:uid="{00000000-0005-0000-0000-000098000000}"/>
    <cellStyle name="20% - Accent6 2 3" xfId="218" xr:uid="{00000000-0005-0000-0000-000099000000}"/>
    <cellStyle name="20% - Accent6 2 4" xfId="219" xr:uid="{00000000-0005-0000-0000-00009A000000}"/>
    <cellStyle name="20% - Accent6 2_AGL" xfId="220" xr:uid="{00000000-0005-0000-0000-00009B000000}"/>
    <cellStyle name="20% - Accent6 3" xfId="221" xr:uid="{00000000-0005-0000-0000-00009C000000}"/>
    <cellStyle name="20% - Accent6 3 2" xfId="222" xr:uid="{00000000-0005-0000-0000-00009D000000}"/>
    <cellStyle name="20% - Accent6 3 2 2" xfId="223" xr:uid="{00000000-0005-0000-0000-00009E000000}"/>
    <cellStyle name="20% - Accent6 3 2 3" xfId="224" xr:uid="{00000000-0005-0000-0000-00009F000000}"/>
    <cellStyle name="20% - Accent6 3 2_AGL" xfId="225" xr:uid="{00000000-0005-0000-0000-0000A0000000}"/>
    <cellStyle name="20% - Accent6 3 3" xfId="226" xr:uid="{00000000-0005-0000-0000-0000A1000000}"/>
    <cellStyle name="20% - Accent6 3 4" xfId="227" xr:uid="{00000000-0005-0000-0000-0000A2000000}"/>
    <cellStyle name="20% - Accent6 3_AGL" xfId="228" xr:uid="{00000000-0005-0000-0000-0000A3000000}"/>
    <cellStyle name="20% - Accent6 4" xfId="229" xr:uid="{00000000-0005-0000-0000-0000A4000000}"/>
    <cellStyle name="20% - Accent6 4 2" xfId="230" xr:uid="{00000000-0005-0000-0000-0000A5000000}"/>
    <cellStyle name="20% - Accent6 4 2 2" xfId="231" xr:uid="{00000000-0005-0000-0000-0000A6000000}"/>
    <cellStyle name="20% - Accent6 4 2 3" xfId="232" xr:uid="{00000000-0005-0000-0000-0000A7000000}"/>
    <cellStyle name="20% - Accent6 4 2_AGL" xfId="233" xr:uid="{00000000-0005-0000-0000-0000A8000000}"/>
    <cellStyle name="20% - Accent6 4 3" xfId="234" xr:uid="{00000000-0005-0000-0000-0000A9000000}"/>
    <cellStyle name="20% - Accent6 4 3 2" xfId="235" xr:uid="{00000000-0005-0000-0000-0000AA000000}"/>
    <cellStyle name="20% - Accent6 4 4" xfId="236" xr:uid="{00000000-0005-0000-0000-0000AB000000}"/>
    <cellStyle name="20% - Accent6 4 5" xfId="237" xr:uid="{00000000-0005-0000-0000-0000AC000000}"/>
    <cellStyle name="20% - Accent6 4_AGL" xfId="238" xr:uid="{00000000-0005-0000-0000-0000AD000000}"/>
    <cellStyle name="20% - Accent6 5" xfId="239" xr:uid="{00000000-0005-0000-0000-0000AE000000}"/>
    <cellStyle name="20% - Accent6 5 2" xfId="240" xr:uid="{00000000-0005-0000-0000-0000AF000000}"/>
    <cellStyle name="20% - Accent6 5 2 2" xfId="241" xr:uid="{00000000-0005-0000-0000-0000B0000000}"/>
    <cellStyle name="20% - Accent6 5 2 3" xfId="242" xr:uid="{00000000-0005-0000-0000-0000B1000000}"/>
    <cellStyle name="20% - Accent6 5 2_AGL" xfId="243" xr:uid="{00000000-0005-0000-0000-0000B2000000}"/>
    <cellStyle name="20% - Accent6 5 3" xfId="244" xr:uid="{00000000-0005-0000-0000-0000B3000000}"/>
    <cellStyle name="20% - Accent6 5 4" xfId="245" xr:uid="{00000000-0005-0000-0000-0000B4000000}"/>
    <cellStyle name="20% - Accent6 5_AGL" xfId="246" xr:uid="{00000000-0005-0000-0000-0000B5000000}"/>
    <cellStyle name="20% - Accent6 6" xfId="247" xr:uid="{00000000-0005-0000-0000-0000B6000000}"/>
    <cellStyle name="20% - Accent6 6 2" xfId="248" xr:uid="{00000000-0005-0000-0000-0000B7000000}"/>
    <cellStyle name="20% - Accent6 6 2 2" xfId="249" xr:uid="{00000000-0005-0000-0000-0000B8000000}"/>
    <cellStyle name="20% - Accent6 6 2 3" xfId="250" xr:uid="{00000000-0005-0000-0000-0000B9000000}"/>
    <cellStyle name="20% - Accent6 6 2_AGL" xfId="251" xr:uid="{00000000-0005-0000-0000-0000BA000000}"/>
    <cellStyle name="20% - Accent6 6 3" xfId="252" xr:uid="{00000000-0005-0000-0000-0000BB000000}"/>
    <cellStyle name="20% - Accent6 6 4" xfId="253" xr:uid="{00000000-0005-0000-0000-0000BC000000}"/>
    <cellStyle name="20% - Accent6 6_AGL" xfId="254" xr:uid="{00000000-0005-0000-0000-0000BD000000}"/>
    <cellStyle name="20% - Accent6 7" xfId="255" xr:uid="{00000000-0005-0000-0000-0000BE000000}"/>
    <cellStyle name="20% - Accent6 7 2" xfId="256" xr:uid="{00000000-0005-0000-0000-0000BF000000}"/>
    <cellStyle name="20% - Accent6 7 2 2" xfId="257" xr:uid="{00000000-0005-0000-0000-0000C0000000}"/>
    <cellStyle name="20% - Accent6 7 2 3" xfId="258" xr:uid="{00000000-0005-0000-0000-0000C1000000}"/>
    <cellStyle name="20% - Accent6 7 2_AGL" xfId="259" xr:uid="{00000000-0005-0000-0000-0000C2000000}"/>
    <cellStyle name="20% - Accent6 7 3" xfId="260" xr:uid="{00000000-0005-0000-0000-0000C3000000}"/>
    <cellStyle name="20% - Accent6 7 4" xfId="261" xr:uid="{00000000-0005-0000-0000-0000C4000000}"/>
    <cellStyle name="20% - Accent6 7_AGL" xfId="262" xr:uid="{00000000-0005-0000-0000-0000C5000000}"/>
    <cellStyle name="20% - Accent6 8" xfId="263" xr:uid="{00000000-0005-0000-0000-0000C6000000}"/>
    <cellStyle name="20% - Accent6 8 2" xfId="264" xr:uid="{00000000-0005-0000-0000-0000C7000000}"/>
    <cellStyle name="20% - Accent6 8 3" xfId="265" xr:uid="{00000000-0005-0000-0000-0000C8000000}"/>
    <cellStyle name="20% - Accent6 8_AGL" xfId="266" xr:uid="{00000000-0005-0000-0000-0000C9000000}"/>
    <cellStyle name="20% - Accent6 9" xfId="267" xr:uid="{00000000-0005-0000-0000-0000CA000000}"/>
    <cellStyle name="40% - Accent1 2" xfId="268" xr:uid="{00000000-0005-0000-0000-0000CB000000}"/>
    <cellStyle name="40% - Accent1 2 2" xfId="269" xr:uid="{00000000-0005-0000-0000-0000CC000000}"/>
    <cellStyle name="40% - Accent1 2 2 2" xfId="270" xr:uid="{00000000-0005-0000-0000-0000CD000000}"/>
    <cellStyle name="40% - Accent1 2 2 3" xfId="271" xr:uid="{00000000-0005-0000-0000-0000CE000000}"/>
    <cellStyle name="40% - Accent1 2 2_AGL" xfId="272" xr:uid="{00000000-0005-0000-0000-0000CF000000}"/>
    <cellStyle name="40% - Accent1 2 3" xfId="273" xr:uid="{00000000-0005-0000-0000-0000D0000000}"/>
    <cellStyle name="40% - Accent1 2 4" xfId="274" xr:uid="{00000000-0005-0000-0000-0000D1000000}"/>
    <cellStyle name="40% - Accent1 2_AGL" xfId="275" xr:uid="{00000000-0005-0000-0000-0000D2000000}"/>
    <cellStyle name="40% - Accent1 3" xfId="276" xr:uid="{00000000-0005-0000-0000-0000D3000000}"/>
    <cellStyle name="40% - Accent1 3 2" xfId="277" xr:uid="{00000000-0005-0000-0000-0000D4000000}"/>
    <cellStyle name="40% - Accent1 3 2 2" xfId="278" xr:uid="{00000000-0005-0000-0000-0000D5000000}"/>
    <cellStyle name="40% - Accent1 3 2 3" xfId="279" xr:uid="{00000000-0005-0000-0000-0000D6000000}"/>
    <cellStyle name="40% - Accent1 3 2_AGL" xfId="280" xr:uid="{00000000-0005-0000-0000-0000D7000000}"/>
    <cellStyle name="40% - Accent1 3 3" xfId="281" xr:uid="{00000000-0005-0000-0000-0000D8000000}"/>
    <cellStyle name="40% - Accent1 3 4" xfId="282" xr:uid="{00000000-0005-0000-0000-0000D9000000}"/>
    <cellStyle name="40% - Accent1 3_AGL" xfId="283" xr:uid="{00000000-0005-0000-0000-0000DA000000}"/>
    <cellStyle name="40% - Accent1 4" xfId="284" xr:uid="{00000000-0005-0000-0000-0000DB000000}"/>
    <cellStyle name="40% - Accent1 4 2" xfId="285" xr:uid="{00000000-0005-0000-0000-0000DC000000}"/>
    <cellStyle name="40% - Accent1 4 3" xfId="286" xr:uid="{00000000-0005-0000-0000-0000DD000000}"/>
    <cellStyle name="40% - Accent1 4_AGL" xfId="287" xr:uid="{00000000-0005-0000-0000-0000DE000000}"/>
    <cellStyle name="40% - Accent1 5" xfId="288" xr:uid="{00000000-0005-0000-0000-0000DF000000}"/>
    <cellStyle name="40% - Accent1 6" xfId="289" xr:uid="{00000000-0005-0000-0000-0000E0000000}"/>
    <cellStyle name="40% - Accent2 2" xfId="290" xr:uid="{00000000-0005-0000-0000-0000E1000000}"/>
    <cellStyle name="40% - Accent2 2 2" xfId="291" xr:uid="{00000000-0005-0000-0000-0000E2000000}"/>
    <cellStyle name="40% - Accent2 2 2 2" xfId="292" xr:uid="{00000000-0005-0000-0000-0000E3000000}"/>
    <cellStyle name="40% - Accent2 2 2 3" xfId="293" xr:uid="{00000000-0005-0000-0000-0000E4000000}"/>
    <cellStyle name="40% - Accent2 2 2_AGL" xfId="294" xr:uid="{00000000-0005-0000-0000-0000E5000000}"/>
    <cellStyle name="40% - Accent2 2 3" xfId="295" xr:uid="{00000000-0005-0000-0000-0000E6000000}"/>
    <cellStyle name="40% - Accent2 2 4" xfId="296" xr:uid="{00000000-0005-0000-0000-0000E7000000}"/>
    <cellStyle name="40% - Accent2 2_AGL" xfId="297" xr:uid="{00000000-0005-0000-0000-0000E8000000}"/>
    <cellStyle name="40% - Accent2 3" xfId="298" xr:uid="{00000000-0005-0000-0000-0000E9000000}"/>
    <cellStyle name="40% - Accent2 3 2" xfId="299" xr:uid="{00000000-0005-0000-0000-0000EA000000}"/>
    <cellStyle name="40% - Accent2 3 2 2" xfId="300" xr:uid="{00000000-0005-0000-0000-0000EB000000}"/>
    <cellStyle name="40% - Accent2 3 2 3" xfId="301" xr:uid="{00000000-0005-0000-0000-0000EC000000}"/>
    <cellStyle name="40% - Accent2 3 2_AGL" xfId="302" xr:uid="{00000000-0005-0000-0000-0000ED000000}"/>
    <cellStyle name="40% - Accent2 3 3" xfId="303" xr:uid="{00000000-0005-0000-0000-0000EE000000}"/>
    <cellStyle name="40% - Accent2 3 4" xfId="304" xr:uid="{00000000-0005-0000-0000-0000EF000000}"/>
    <cellStyle name="40% - Accent2 3_AGL" xfId="305" xr:uid="{00000000-0005-0000-0000-0000F0000000}"/>
    <cellStyle name="40% - Accent2 4" xfId="306" xr:uid="{00000000-0005-0000-0000-0000F1000000}"/>
    <cellStyle name="40% - Accent2 4 2" xfId="307" xr:uid="{00000000-0005-0000-0000-0000F2000000}"/>
    <cellStyle name="40% - Accent2 4 3" xfId="308" xr:uid="{00000000-0005-0000-0000-0000F3000000}"/>
    <cellStyle name="40% - Accent2 4_AGL" xfId="309" xr:uid="{00000000-0005-0000-0000-0000F4000000}"/>
    <cellStyle name="40% - Accent2 5" xfId="310" xr:uid="{00000000-0005-0000-0000-0000F5000000}"/>
    <cellStyle name="40% - Accent2 6" xfId="311" xr:uid="{00000000-0005-0000-0000-0000F6000000}"/>
    <cellStyle name="40% - Accent3 2" xfId="312" xr:uid="{00000000-0005-0000-0000-0000F7000000}"/>
    <cellStyle name="40% - Accent3 2 2" xfId="313" xr:uid="{00000000-0005-0000-0000-0000F8000000}"/>
    <cellStyle name="40% - Accent3 2 2 2" xfId="314" xr:uid="{00000000-0005-0000-0000-0000F9000000}"/>
    <cellStyle name="40% - Accent3 2 2 3" xfId="315" xr:uid="{00000000-0005-0000-0000-0000FA000000}"/>
    <cellStyle name="40% - Accent3 2 2_AGL" xfId="316" xr:uid="{00000000-0005-0000-0000-0000FB000000}"/>
    <cellStyle name="40% - Accent3 2 3" xfId="317" xr:uid="{00000000-0005-0000-0000-0000FC000000}"/>
    <cellStyle name="40% - Accent3 2 4" xfId="318" xr:uid="{00000000-0005-0000-0000-0000FD000000}"/>
    <cellStyle name="40% - Accent3 2_AGL" xfId="319" xr:uid="{00000000-0005-0000-0000-0000FE000000}"/>
    <cellStyle name="40% - Accent3 3" xfId="320" xr:uid="{00000000-0005-0000-0000-0000FF000000}"/>
    <cellStyle name="40% - Accent3 3 2" xfId="321" xr:uid="{00000000-0005-0000-0000-000000010000}"/>
    <cellStyle name="40% - Accent3 3 2 2" xfId="322" xr:uid="{00000000-0005-0000-0000-000001010000}"/>
    <cellStyle name="40% - Accent3 3 2 3" xfId="323" xr:uid="{00000000-0005-0000-0000-000002010000}"/>
    <cellStyle name="40% - Accent3 3 2_AGL" xfId="324" xr:uid="{00000000-0005-0000-0000-000003010000}"/>
    <cellStyle name="40% - Accent3 3 3" xfId="325" xr:uid="{00000000-0005-0000-0000-000004010000}"/>
    <cellStyle name="40% - Accent3 3 4" xfId="326" xr:uid="{00000000-0005-0000-0000-000005010000}"/>
    <cellStyle name="40% - Accent3 3_AGL" xfId="327" xr:uid="{00000000-0005-0000-0000-000006010000}"/>
    <cellStyle name="40% - Accent3 4" xfId="328" xr:uid="{00000000-0005-0000-0000-000007010000}"/>
    <cellStyle name="40% - Accent3 4 2" xfId="329" xr:uid="{00000000-0005-0000-0000-000008010000}"/>
    <cellStyle name="40% - Accent3 4 3" xfId="330" xr:uid="{00000000-0005-0000-0000-000009010000}"/>
    <cellStyle name="40% - Accent3 4_AGL" xfId="331" xr:uid="{00000000-0005-0000-0000-00000A010000}"/>
    <cellStyle name="40% - Accent3 5" xfId="332" xr:uid="{00000000-0005-0000-0000-00000B010000}"/>
    <cellStyle name="40% - Accent3 6" xfId="333" xr:uid="{00000000-0005-0000-0000-00000C010000}"/>
    <cellStyle name="40% - Accent4 2" xfId="334" xr:uid="{00000000-0005-0000-0000-00000D010000}"/>
    <cellStyle name="40% - Accent4 2 2" xfId="335" xr:uid="{00000000-0005-0000-0000-00000E010000}"/>
    <cellStyle name="40% - Accent4 2 2 2" xfId="336" xr:uid="{00000000-0005-0000-0000-00000F010000}"/>
    <cellStyle name="40% - Accent4 2 2 3" xfId="337" xr:uid="{00000000-0005-0000-0000-000010010000}"/>
    <cellStyle name="40% - Accent4 2 2_AGL" xfId="338" xr:uid="{00000000-0005-0000-0000-000011010000}"/>
    <cellStyle name="40% - Accent4 2 3" xfId="339" xr:uid="{00000000-0005-0000-0000-000012010000}"/>
    <cellStyle name="40% - Accent4 2 4" xfId="340" xr:uid="{00000000-0005-0000-0000-000013010000}"/>
    <cellStyle name="40% - Accent4 2_AGL" xfId="341" xr:uid="{00000000-0005-0000-0000-000014010000}"/>
    <cellStyle name="40% - Accent4 3" xfId="342" xr:uid="{00000000-0005-0000-0000-000015010000}"/>
    <cellStyle name="40% - Accent4 3 2" xfId="343" xr:uid="{00000000-0005-0000-0000-000016010000}"/>
    <cellStyle name="40% - Accent4 3 2 2" xfId="344" xr:uid="{00000000-0005-0000-0000-000017010000}"/>
    <cellStyle name="40% - Accent4 3 2 3" xfId="345" xr:uid="{00000000-0005-0000-0000-000018010000}"/>
    <cellStyle name="40% - Accent4 3 2_AGL" xfId="346" xr:uid="{00000000-0005-0000-0000-000019010000}"/>
    <cellStyle name="40% - Accent4 3 3" xfId="347" xr:uid="{00000000-0005-0000-0000-00001A010000}"/>
    <cellStyle name="40% - Accent4 3 4" xfId="348" xr:uid="{00000000-0005-0000-0000-00001B010000}"/>
    <cellStyle name="40% - Accent4 3_AGL" xfId="349" xr:uid="{00000000-0005-0000-0000-00001C010000}"/>
    <cellStyle name="40% - Accent4 4" xfId="350" xr:uid="{00000000-0005-0000-0000-00001D010000}"/>
    <cellStyle name="40% - Accent4 4 2" xfId="351" xr:uid="{00000000-0005-0000-0000-00001E010000}"/>
    <cellStyle name="40% - Accent4 4 3" xfId="352" xr:uid="{00000000-0005-0000-0000-00001F010000}"/>
    <cellStyle name="40% - Accent4 4_AGL" xfId="353" xr:uid="{00000000-0005-0000-0000-000020010000}"/>
    <cellStyle name="40% - Accent4 5" xfId="354" xr:uid="{00000000-0005-0000-0000-000021010000}"/>
    <cellStyle name="40% - Accent4 6" xfId="355" xr:uid="{00000000-0005-0000-0000-000022010000}"/>
    <cellStyle name="40% - Accent5 2" xfId="356" xr:uid="{00000000-0005-0000-0000-000023010000}"/>
    <cellStyle name="40% - Accent5 2 2" xfId="357" xr:uid="{00000000-0005-0000-0000-000024010000}"/>
    <cellStyle name="40% - Accent5 2 2 2" xfId="358" xr:uid="{00000000-0005-0000-0000-000025010000}"/>
    <cellStyle name="40% - Accent5 2 2 3" xfId="359" xr:uid="{00000000-0005-0000-0000-000026010000}"/>
    <cellStyle name="40% - Accent5 2 2_AGL" xfId="360" xr:uid="{00000000-0005-0000-0000-000027010000}"/>
    <cellStyle name="40% - Accent5 2 3" xfId="361" xr:uid="{00000000-0005-0000-0000-000028010000}"/>
    <cellStyle name="40% - Accent5 2 4" xfId="362" xr:uid="{00000000-0005-0000-0000-000029010000}"/>
    <cellStyle name="40% - Accent5 2_AGL" xfId="363" xr:uid="{00000000-0005-0000-0000-00002A010000}"/>
    <cellStyle name="40% - Accent5 3" xfId="364" xr:uid="{00000000-0005-0000-0000-00002B010000}"/>
    <cellStyle name="40% - Accent5 3 2" xfId="365" xr:uid="{00000000-0005-0000-0000-00002C010000}"/>
    <cellStyle name="40% - Accent5 3 2 2" xfId="366" xr:uid="{00000000-0005-0000-0000-00002D010000}"/>
    <cellStyle name="40% - Accent5 3 2 3" xfId="367" xr:uid="{00000000-0005-0000-0000-00002E010000}"/>
    <cellStyle name="40% - Accent5 3 2_AGL" xfId="368" xr:uid="{00000000-0005-0000-0000-00002F010000}"/>
    <cellStyle name="40% - Accent5 3 3" xfId="369" xr:uid="{00000000-0005-0000-0000-000030010000}"/>
    <cellStyle name="40% - Accent5 3 4" xfId="370" xr:uid="{00000000-0005-0000-0000-000031010000}"/>
    <cellStyle name="40% - Accent5 3_AGL" xfId="371" xr:uid="{00000000-0005-0000-0000-000032010000}"/>
    <cellStyle name="40% - Accent5 4" xfId="372" xr:uid="{00000000-0005-0000-0000-000033010000}"/>
    <cellStyle name="40% - Accent5 4 2" xfId="373" xr:uid="{00000000-0005-0000-0000-000034010000}"/>
    <cellStyle name="40% - Accent5 4 3" xfId="374" xr:uid="{00000000-0005-0000-0000-000035010000}"/>
    <cellStyle name="40% - Accent5 4_AGL" xfId="375" xr:uid="{00000000-0005-0000-0000-000036010000}"/>
    <cellStyle name="40% - Accent5 5" xfId="376" xr:uid="{00000000-0005-0000-0000-000037010000}"/>
    <cellStyle name="40% - Accent5 6" xfId="377" xr:uid="{00000000-0005-0000-0000-000038010000}"/>
    <cellStyle name="40% - Accent6 2" xfId="378" xr:uid="{00000000-0005-0000-0000-000039010000}"/>
    <cellStyle name="40% - Accent6 2 2" xfId="379" xr:uid="{00000000-0005-0000-0000-00003A010000}"/>
    <cellStyle name="40% - Accent6 2 2 2" xfId="380" xr:uid="{00000000-0005-0000-0000-00003B010000}"/>
    <cellStyle name="40% - Accent6 2 2 3" xfId="381" xr:uid="{00000000-0005-0000-0000-00003C010000}"/>
    <cellStyle name="40% - Accent6 2 2_AGL" xfId="382" xr:uid="{00000000-0005-0000-0000-00003D010000}"/>
    <cellStyle name="40% - Accent6 2 3" xfId="383" xr:uid="{00000000-0005-0000-0000-00003E010000}"/>
    <cellStyle name="40% - Accent6 2 4" xfId="384" xr:uid="{00000000-0005-0000-0000-00003F010000}"/>
    <cellStyle name="40% - Accent6 2_AGL" xfId="385" xr:uid="{00000000-0005-0000-0000-000040010000}"/>
    <cellStyle name="40% - Accent6 3" xfId="386" xr:uid="{00000000-0005-0000-0000-000041010000}"/>
    <cellStyle name="40% - Accent6 3 2" xfId="387" xr:uid="{00000000-0005-0000-0000-000042010000}"/>
    <cellStyle name="40% - Accent6 3 2 2" xfId="388" xr:uid="{00000000-0005-0000-0000-000043010000}"/>
    <cellStyle name="40% - Accent6 3 2 3" xfId="389" xr:uid="{00000000-0005-0000-0000-000044010000}"/>
    <cellStyle name="40% - Accent6 3 2_AGL" xfId="390" xr:uid="{00000000-0005-0000-0000-000045010000}"/>
    <cellStyle name="40% - Accent6 3 3" xfId="391" xr:uid="{00000000-0005-0000-0000-000046010000}"/>
    <cellStyle name="40% - Accent6 3 4" xfId="392" xr:uid="{00000000-0005-0000-0000-000047010000}"/>
    <cellStyle name="40% - Accent6 3_AGL" xfId="393" xr:uid="{00000000-0005-0000-0000-000048010000}"/>
    <cellStyle name="40% - Accent6 4" xfId="394" xr:uid="{00000000-0005-0000-0000-000049010000}"/>
    <cellStyle name="40% - Accent6 4 2" xfId="395" xr:uid="{00000000-0005-0000-0000-00004A010000}"/>
    <cellStyle name="40% - Accent6 4 3" xfId="396" xr:uid="{00000000-0005-0000-0000-00004B010000}"/>
    <cellStyle name="40% - Accent6 4_AGL" xfId="397" xr:uid="{00000000-0005-0000-0000-00004C010000}"/>
    <cellStyle name="40% - Accent6 5" xfId="398" xr:uid="{00000000-0005-0000-0000-00004D010000}"/>
    <cellStyle name="40% - Accent6 6" xfId="399" xr:uid="{00000000-0005-0000-0000-00004E010000}"/>
    <cellStyle name="5x indented GHG Textfiels" xfId="1" xr:uid="{00000000-0005-0000-0000-00004F010000}"/>
    <cellStyle name="60% - Accent1 2" xfId="400" xr:uid="{00000000-0005-0000-0000-000050010000}"/>
    <cellStyle name="60% - Accent1 2 2" xfId="401" xr:uid="{00000000-0005-0000-0000-000051010000}"/>
    <cellStyle name="60% - Accent1 2 3" xfId="402" xr:uid="{00000000-0005-0000-0000-000052010000}"/>
    <cellStyle name="60% - Accent1 2_AGL" xfId="403" xr:uid="{00000000-0005-0000-0000-000053010000}"/>
    <cellStyle name="60% - Accent1 3" xfId="404" xr:uid="{00000000-0005-0000-0000-000054010000}"/>
    <cellStyle name="60% - Accent1 4" xfId="405" xr:uid="{00000000-0005-0000-0000-000055010000}"/>
    <cellStyle name="60% - Accent2 2" xfId="406" xr:uid="{00000000-0005-0000-0000-000056010000}"/>
    <cellStyle name="60% - Accent2 2 2" xfId="407" xr:uid="{00000000-0005-0000-0000-000057010000}"/>
    <cellStyle name="60% - Accent2 2 3" xfId="408" xr:uid="{00000000-0005-0000-0000-000058010000}"/>
    <cellStyle name="60% - Accent2 2_AGL" xfId="409" xr:uid="{00000000-0005-0000-0000-000059010000}"/>
    <cellStyle name="60% - Accent2 3" xfId="410" xr:uid="{00000000-0005-0000-0000-00005A010000}"/>
    <cellStyle name="60% - Accent2 4" xfId="411" xr:uid="{00000000-0005-0000-0000-00005B010000}"/>
    <cellStyle name="60% - Accent3 2" xfId="412" xr:uid="{00000000-0005-0000-0000-00005C010000}"/>
    <cellStyle name="60% - Accent3 2 2" xfId="413" xr:uid="{00000000-0005-0000-0000-00005D010000}"/>
    <cellStyle name="60% - Accent3 2 3" xfId="414" xr:uid="{00000000-0005-0000-0000-00005E010000}"/>
    <cellStyle name="60% - Accent3 2_AGL" xfId="415" xr:uid="{00000000-0005-0000-0000-00005F010000}"/>
    <cellStyle name="60% - Accent3 3" xfId="416" xr:uid="{00000000-0005-0000-0000-000060010000}"/>
    <cellStyle name="60% - Accent3 4" xfId="417" xr:uid="{00000000-0005-0000-0000-000061010000}"/>
    <cellStyle name="60% - Accent4 2" xfId="418" xr:uid="{00000000-0005-0000-0000-000062010000}"/>
    <cellStyle name="60% - Accent4 2 2" xfId="419" xr:uid="{00000000-0005-0000-0000-000063010000}"/>
    <cellStyle name="60% - Accent4 2 3" xfId="420" xr:uid="{00000000-0005-0000-0000-000064010000}"/>
    <cellStyle name="60% - Accent4 2_AGL" xfId="421" xr:uid="{00000000-0005-0000-0000-000065010000}"/>
    <cellStyle name="60% - Accent4 3" xfId="422" xr:uid="{00000000-0005-0000-0000-000066010000}"/>
    <cellStyle name="60% - Accent4 4" xfId="423" xr:uid="{00000000-0005-0000-0000-000067010000}"/>
    <cellStyle name="60% - Accent5 2" xfId="424" xr:uid="{00000000-0005-0000-0000-000068010000}"/>
    <cellStyle name="60% - Accent5 2 2" xfId="425" xr:uid="{00000000-0005-0000-0000-000069010000}"/>
    <cellStyle name="60% - Accent5 2 3" xfId="426" xr:uid="{00000000-0005-0000-0000-00006A010000}"/>
    <cellStyle name="60% - Accent5 2_AGL" xfId="427" xr:uid="{00000000-0005-0000-0000-00006B010000}"/>
    <cellStyle name="60% - Accent5 3" xfId="428" xr:uid="{00000000-0005-0000-0000-00006C010000}"/>
    <cellStyle name="60% - Accent5 4" xfId="429" xr:uid="{00000000-0005-0000-0000-00006D010000}"/>
    <cellStyle name="60% - Accent6 2" xfId="430" xr:uid="{00000000-0005-0000-0000-00006E010000}"/>
    <cellStyle name="60% - Accent6 2 2" xfId="431" xr:uid="{00000000-0005-0000-0000-00006F010000}"/>
    <cellStyle name="60% - Accent6 2 3" xfId="432" xr:uid="{00000000-0005-0000-0000-000070010000}"/>
    <cellStyle name="60% - Accent6 2_AGL" xfId="433" xr:uid="{00000000-0005-0000-0000-000071010000}"/>
    <cellStyle name="60% - Accent6 3" xfId="434" xr:uid="{00000000-0005-0000-0000-000072010000}"/>
    <cellStyle name="60% - Accent6 4" xfId="435" xr:uid="{00000000-0005-0000-0000-000073010000}"/>
    <cellStyle name="Accent1 2" xfId="436" xr:uid="{00000000-0005-0000-0000-000074010000}"/>
    <cellStyle name="Accent1 2 2" xfId="437" xr:uid="{00000000-0005-0000-0000-000075010000}"/>
    <cellStyle name="Accent1 2 3" xfId="438" xr:uid="{00000000-0005-0000-0000-000076010000}"/>
    <cellStyle name="Accent1 2_AGL" xfId="439" xr:uid="{00000000-0005-0000-0000-000077010000}"/>
    <cellStyle name="Accent1 3" xfId="440" xr:uid="{00000000-0005-0000-0000-000078010000}"/>
    <cellStyle name="Accent1 4" xfId="441" xr:uid="{00000000-0005-0000-0000-000079010000}"/>
    <cellStyle name="Accent2 2" xfId="442" xr:uid="{00000000-0005-0000-0000-00007A010000}"/>
    <cellStyle name="Accent2 2 2" xfId="443" xr:uid="{00000000-0005-0000-0000-00007B010000}"/>
    <cellStyle name="Accent2 2 3" xfId="444" xr:uid="{00000000-0005-0000-0000-00007C010000}"/>
    <cellStyle name="Accent2 2_AGL" xfId="445" xr:uid="{00000000-0005-0000-0000-00007D010000}"/>
    <cellStyle name="Accent2 3" xfId="446" xr:uid="{00000000-0005-0000-0000-00007E010000}"/>
    <cellStyle name="Accent2 4" xfId="447" xr:uid="{00000000-0005-0000-0000-00007F010000}"/>
    <cellStyle name="Accent3 2" xfId="448" xr:uid="{00000000-0005-0000-0000-000080010000}"/>
    <cellStyle name="Accent3 2 2" xfId="449" xr:uid="{00000000-0005-0000-0000-000081010000}"/>
    <cellStyle name="Accent3 2 3" xfId="450" xr:uid="{00000000-0005-0000-0000-000082010000}"/>
    <cellStyle name="Accent3 2_AGL" xfId="451" xr:uid="{00000000-0005-0000-0000-000083010000}"/>
    <cellStyle name="Accent3 3" xfId="452" xr:uid="{00000000-0005-0000-0000-000084010000}"/>
    <cellStyle name="Accent3 4" xfId="453" xr:uid="{00000000-0005-0000-0000-000085010000}"/>
    <cellStyle name="Accent4 2" xfId="454" xr:uid="{00000000-0005-0000-0000-000086010000}"/>
    <cellStyle name="Accent4 2 2" xfId="455" xr:uid="{00000000-0005-0000-0000-000087010000}"/>
    <cellStyle name="Accent4 2 3" xfId="456" xr:uid="{00000000-0005-0000-0000-000088010000}"/>
    <cellStyle name="Accent4 2_AGL" xfId="457" xr:uid="{00000000-0005-0000-0000-000089010000}"/>
    <cellStyle name="Accent4 3" xfId="458" xr:uid="{00000000-0005-0000-0000-00008A010000}"/>
    <cellStyle name="Accent4 3 2" xfId="459" xr:uid="{00000000-0005-0000-0000-00008B010000}"/>
    <cellStyle name="Accent4 3 3" xfId="460" xr:uid="{00000000-0005-0000-0000-00008C010000}"/>
    <cellStyle name="Accent4 3_AGL" xfId="461" xr:uid="{00000000-0005-0000-0000-00008D010000}"/>
    <cellStyle name="Accent4 4" xfId="462" xr:uid="{00000000-0005-0000-0000-00008E010000}"/>
    <cellStyle name="Accent4 5" xfId="463" xr:uid="{00000000-0005-0000-0000-00008F010000}"/>
    <cellStyle name="Accent5 2" xfId="464" xr:uid="{00000000-0005-0000-0000-000090010000}"/>
    <cellStyle name="Accent5 2 2" xfId="465" xr:uid="{00000000-0005-0000-0000-000091010000}"/>
    <cellStyle name="Accent5 2 3" xfId="466" xr:uid="{00000000-0005-0000-0000-000092010000}"/>
    <cellStyle name="Accent5 2_AGL" xfId="467" xr:uid="{00000000-0005-0000-0000-000093010000}"/>
    <cellStyle name="Accent5 3" xfId="468" xr:uid="{00000000-0005-0000-0000-000094010000}"/>
    <cellStyle name="Accent5 4" xfId="469" xr:uid="{00000000-0005-0000-0000-000095010000}"/>
    <cellStyle name="Accent6" xfId="4424" builtinId="49"/>
    <cellStyle name="Accent6 2" xfId="470" xr:uid="{00000000-0005-0000-0000-000097010000}"/>
    <cellStyle name="Accent6 2 2" xfId="471" xr:uid="{00000000-0005-0000-0000-000098010000}"/>
    <cellStyle name="Accent6 2 3" xfId="472" xr:uid="{00000000-0005-0000-0000-000099010000}"/>
    <cellStyle name="Accent6 2_AGL" xfId="473" xr:uid="{00000000-0005-0000-0000-00009A010000}"/>
    <cellStyle name="Accent6 3" xfId="474" xr:uid="{00000000-0005-0000-0000-00009B010000}"/>
    <cellStyle name="Accent6 3 2" xfId="475" xr:uid="{00000000-0005-0000-0000-00009C010000}"/>
    <cellStyle name="Accent6 3 3" xfId="476" xr:uid="{00000000-0005-0000-0000-00009D010000}"/>
    <cellStyle name="Accent6 3_AGL" xfId="477" xr:uid="{00000000-0005-0000-0000-00009E010000}"/>
    <cellStyle name="Accent6 4" xfId="478" xr:uid="{00000000-0005-0000-0000-00009F010000}"/>
    <cellStyle name="Accent6 5" xfId="479" xr:uid="{00000000-0005-0000-0000-0000A0010000}"/>
    <cellStyle name="Advanced user input" xfId="480" xr:uid="{00000000-0005-0000-0000-0000A1010000}"/>
    <cellStyle name="Advanced user input 2" xfId="481" xr:uid="{00000000-0005-0000-0000-0000A2010000}"/>
    <cellStyle name="Advanced user input 2 2" xfId="482" xr:uid="{00000000-0005-0000-0000-0000A3010000}"/>
    <cellStyle name="Advanced user input 2 2 2" xfId="4413" xr:uid="{00000000-0005-0000-0000-0000A4010000}"/>
    <cellStyle name="Advanced user input 2 2 3" xfId="3949" xr:uid="{00000000-0005-0000-0000-0000A5010000}"/>
    <cellStyle name="Advanced user input 2 3" xfId="4414" xr:uid="{00000000-0005-0000-0000-0000A6010000}"/>
    <cellStyle name="Advanced user input 2 4" xfId="3948" xr:uid="{00000000-0005-0000-0000-0000A7010000}"/>
    <cellStyle name="Advanced user input 2_Sheet10" xfId="483" xr:uid="{00000000-0005-0000-0000-0000A8010000}"/>
    <cellStyle name="Advanced user input 3" xfId="484" xr:uid="{00000000-0005-0000-0000-0000A9010000}"/>
    <cellStyle name="Advanced user input 3 2" xfId="4412" xr:uid="{00000000-0005-0000-0000-0000AA010000}"/>
    <cellStyle name="Advanced user input 3 3" xfId="3950" xr:uid="{00000000-0005-0000-0000-0000AB010000}"/>
    <cellStyle name="Advanced user input_AGL" xfId="485" xr:uid="{00000000-0005-0000-0000-0000AC010000}"/>
    <cellStyle name="AggblueCels_1x" xfId="2" xr:uid="{00000000-0005-0000-0000-0000AD010000}"/>
    <cellStyle name="Another spreadsheet" xfId="4426" xr:uid="{792E4975-B55B-4BC0-A7D7-BB49CFDBDC41}"/>
    <cellStyle name="Bad" xfId="3" builtinId="27"/>
    <cellStyle name="Bad 2" xfId="4" xr:uid="{00000000-0005-0000-0000-0000AF010000}"/>
    <cellStyle name="Bad 2 10" xfId="486" xr:uid="{00000000-0005-0000-0000-0000B0010000}"/>
    <cellStyle name="Bad 2 2" xfId="487" xr:uid="{00000000-0005-0000-0000-0000B1010000}"/>
    <cellStyle name="Bad 2 2 2" xfId="488" xr:uid="{00000000-0005-0000-0000-0000B2010000}"/>
    <cellStyle name="Bad 2 2 3" xfId="489" xr:uid="{00000000-0005-0000-0000-0000B3010000}"/>
    <cellStyle name="Bad 2 2_AGL" xfId="490" xr:uid="{00000000-0005-0000-0000-0000B4010000}"/>
    <cellStyle name="Bad 2 3" xfId="491" xr:uid="{00000000-0005-0000-0000-0000B5010000}"/>
    <cellStyle name="Bad 2 4" xfId="492" xr:uid="{00000000-0005-0000-0000-0000B6010000}"/>
    <cellStyle name="Bad 2 5" xfId="493" xr:uid="{00000000-0005-0000-0000-0000B7010000}"/>
    <cellStyle name="Bad 2 6" xfId="494" xr:uid="{00000000-0005-0000-0000-0000B8010000}"/>
    <cellStyle name="Bad 2 7" xfId="495" xr:uid="{00000000-0005-0000-0000-0000B9010000}"/>
    <cellStyle name="Bad 2 8" xfId="496" xr:uid="{00000000-0005-0000-0000-0000BA010000}"/>
    <cellStyle name="Bad 2 9" xfId="497" xr:uid="{00000000-0005-0000-0000-0000BB010000}"/>
    <cellStyle name="Bad 2_AGL" xfId="498" xr:uid="{00000000-0005-0000-0000-0000BC010000}"/>
    <cellStyle name="Bad 3" xfId="499" xr:uid="{00000000-0005-0000-0000-0000BD010000}"/>
    <cellStyle name="Bad 3 2" xfId="500" xr:uid="{00000000-0005-0000-0000-0000BE010000}"/>
    <cellStyle name="Bad 3 2 2" xfId="501" xr:uid="{00000000-0005-0000-0000-0000BF010000}"/>
    <cellStyle name="Bad 3 2 3" xfId="502" xr:uid="{00000000-0005-0000-0000-0000C0010000}"/>
    <cellStyle name="Bad 3 2_AGL" xfId="503" xr:uid="{00000000-0005-0000-0000-0000C1010000}"/>
    <cellStyle name="Bad 3 3" xfId="504" xr:uid="{00000000-0005-0000-0000-0000C2010000}"/>
    <cellStyle name="Bad 3 4" xfId="505" xr:uid="{00000000-0005-0000-0000-0000C3010000}"/>
    <cellStyle name="Bad 3_AGL" xfId="506" xr:uid="{00000000-0005-0000-0000-0000C4010000}"/>
    <cellStyle name="Bad 4" xfId="507" xr:uid="{00000000-0005-0000-0000-0000C5010000}"/>
    <cellStyle name="Bad 4 2" xfId="508" xr:uid="{00000000-0005-0000-0000-0000C6010000}"/>
    <cellStyle name="Bad 4 3" xfId="509" xr:uid="{00000000-0005-0000-0000-0000C7010000}"/>
    <cellStyle name="Bad 4_AGL" xfId="510" xr:uid="{00000000-0005-0000-0000-0000C8010000}"/>
    <cellStyle name="Bad 5" xfId="511" xr:uid="{00000000-0005-0000-0000-0000C9010000}"/>
    <cellStyle name="Bad 6" xfId="512" xr:uid="{00000000-0005-0000-0000-0000CA010000}"/>
    <cellStyle name="Basic User Data Input" xfId="62" xr:uid="{00000000-0005-0000-0000-0000CB010000}"/>
    <cellStyle name="Basic User Data Input 2" xfId="513" xr:uid="{00000000-0005-0000-0000-0000CC010000}"/>
    <cellStyle name="Basic User Data Input 2 2" xfId="514" xr:uid="{00000000-0005-0000-0000-0000CD010000}"/>
    <cellStyle name="Basic User Data Input 2 2 2" xfId="4410" xr:uid="{00000000-0005-0000-0000-0000CE010000}"/>
    <cellStyle name="Basic User Data Input 2 2 3" xfId="3952" xr:uid="{00000000-0005-0000-0000-0000CF010000}"/>
    <cellStyle name="Basic User Data Input 2 3" xfId="4411" xr:uid="{00000000-0005-0000-0000-0000D0010000}"/>
    <cellStyle name="Basic User Data Input 2 4" xfId="3951" xr:uid="{00000000-0005-0000-0000-0000D1010000}"/>
    <cellStyle name="Basic User Data Input 2_Sheet10" xfId="515" xr:uid="{00000000-0005-0000-0000-0000D2010000}"/>
    <cellStyle name="Basic User Data Input 3" xfId="516" xr:uid="{00000000-0005-0000-0000-0000D3010000}"/>
    <cellStyle name="Basic User Data Input 3 2" xfId="4409" xr:uid="{00000000-0005-0000-0000-0000D4010000}"/>
    <cellStyle name="Basic User Data Input 3 3" xfId="3953" xr:uid="{00000000-0005-0000-0000-0000D5010000}"/>
    <cellStyle name="Basic User Data Input_AGL" xfId="517" xr:uid="{00000000-0005-0000-0000-0000D6010000}"/>
    <cellStyle name="Basic User Selection" xfId="518" xr:uid="{00000000-0005-0000-0000-0000D7010000}"/>
    <cellStyle name="Basic User Selection 2" xfId="519" xr:uid="{00000000-0005-0000-0000-0000D8010000}"/>
    <cellStyle name="Basic User Selection 2 2" xfId="520" xr:uid="{00000000-0005-0000-0000-0000D9010000}"/>
    <cellStyle name="Basic User Selection 2 2 2" xfId="4407" xr:uid="{00000000-0005-0000-0000-0000DA010000}"/>
    <cellStyle name="Basic User Selection 2 2 3" xfId="3955" xr:uid="{00000000-0005-0000-0000-0000DB010000}"/>
    <cellStyle name="Basic User Selection 2 3" xfId="4408" xr:uid="{00000000-0005-0000-0000-0000DC010000}"/>
    <cellStyle name="Basic User Selection 2 4" xfId="3954" xr:uid="{00000000-0005-0000-0000-0000DD010000}"/>
    <cellStyle name="Basic User Selection 2_Sheet10" xfId="521" xr:uid="{00000000-0005-0000-0000-0000DE010000}"/>
    <cellStyle name="Basic User Selection 3" xfId="522" xr:uid="{00000000-0005-0000-0000-0000DF010000}"/>
    <cellStyle name="Basic User Selection 3 2" xfId="4406" xr:uid="{00000000-0005-0000-0000-0000E0010000}"/>
    <cellStyle name="Basic User Selection 3 3" xfId="3956" xr:uid="{00000000-0005-0000-0000-0000E1010000}"/>
    <cellStyle name="Basic User Selection_AGL" xfId="523" xr:uid="{00000000-0005-0000-0000-0000E2010000}"/>
    <cellStyle name="Calc" xfId="5" xr:uid="{00000000-0005-0000-0000-0000E3010000}"/>
    <cellStyle name="Calc 2" xfId="524" xr:uid="{00000000-0005-0000-0000-0000E4010000}"/>
    <cellStyle name="Calc 2 2" xfId="525" xr:uid="{00000000-0005-0000-0000-0000E5010000}"/>
    <cellStyle name="Calc 2 2 2" xfId="526" xr:uid="{00000000-0005-0000-0000-0000E6010000}"/>
    <cellStyle name="Calc 2 2 3" xfId="527" xr:uid="{00000000-0005-0000-0000-0000E7010000}"/>
    <cellStyle name="Calc 2 2_AGL" xfId="528" xr:uid="{00000000-0005-0000-0000-0000E8010000}"/>
    <cellStyle name="Calc 2 3" xfId="529" xr:uid="{00000000-0005-0000-0000-0000E9010000}"/>
    <cellStyle name="Calc 2 4" xfId="530" xr:uid="{00000000-0005-0000-0000-0000EA010000}"/>
    <cellStyle name="Calc 2_AGL" xfId="531" xr:uid="{00000000-0005-0000-0000-0000EB010000}"/>
    <cellStyle name="Calc 3" xfId="532" xr:uid="{00000000-0005-0000-0000-0000EC010000}"/>
    <cellStyle name="Calc 4" xfId="533" xr:uid="{00000000-0005-0000-0000-0000ED010000}"/>
    <cellStyle name="Calc_AGL" xfId="534" xr:uid="{00000000-0005-0000-0000-0000EE010000}"/>
    <cellStyle name="Calculation" xfId="6" builtinId="22"/>
    <cellStyle name="Calculation 2" xfId="535" xr:uid="{00000000-0005-0000-0000-0000F0010000}"/>
    <cellStyle name="Calculation 2 2" xfId="536" xr:uid="{00000000-0005-0000-0000-0000F1010000}"/>
    <cellStyle name="Calculation 2 2 2" xfId="537" xr:uid="{00000000-0005-0000-0000-0000F2010000}"/>
    <cellStyle name="Calculation 2 2 2 2" xfId="4404" xr:uid="{00000000-0005-0000-0000-0000F3010000}"/>
    <cellStyle name="Calculation 2 2 2 3" xfId="3958" xr:uid="{00000000-0005-0000-0000-0000F4010000}"/>
    <cellStyle name="Calculation 2 2 3" xfId="4405" xr:uid="{00000000-0005-0000-0000-0000F5010000}"/>
    <cellStyle name="Calculation 2 2 4" xfId="3957" xr:uid="{00000000-0005-0000-0000-0000F6010000}"/>
    <cellStyle name="Calculation 2 2_Sheet10" xfId="538" xr:uid="{00000000-0005-0000-0000-0000F7010000}"/>
    <cellStyle name="Calculation 2 3" xfId="539" xr:uid="{00000000-0005-0000-0000-0000F8010000}"/>
    <cellStyle name="Calculation 2 3 2" xfId="4403" xr:uid="{00000000-0005-0000-0000-0000F9010000}"/>
    <cellStyle name="Calculation 2 3 3" xfId="3959" xr:uid="{00000000-0005-0000-0000-0000FA010000}"/>
    <cellStyle name="Calculation 2_AGL" xfId="540" xr:uid="{00000000-0005-0000-0000-0000FB010000}"/>
    <cellStyle name="Calculation 3" xfId="541" xr:uid="{00000000-0005-0000-0000-0000FC010000}"/>
    <cellStyle name="Calculation 3 2" xfId="542" xr:uid="{00000000-0005-0000-0000-0000FD010000}"/>
    <cellStyle name="Calculation 3 2 2" xfId="543" xr:uid="{00000000-0005-0000-0000-0000FE010000}"/>
    <cellStyle name="Calculation 3 2 2 2" xfId="4401" xr:uid="{00000000-0005-0000-0000-0000FF010000}"/>
    <cellStyle name="Calculation 3 2 2 3" xfId="3961" xr:uid="{00000000-0005-0000-0000-000000020000}"/>
    <cellStyle name="Calculation 3 2 3" xfId="4402" xr:uid="{00000000-0005-0000-0000-000001020000}"/>
    <cellStyle name="Calculation 3 2 4" xfId="3960" xr:uid="{00000000-0005-0000-0000-000002020000}"/>
    <cellStyle name="Calculation 3 2_Sheet10" xfId="544" xr:uid="{00000000-0005-0000-0000-000003020000}"/>
    <cellStyle name="Calculation 3 3" xfId="545" xr:uid="{00000000-0005-0000-0000-000004020000}"/>
    <cellStyle name="Calculation 3 3 2" xfId="4400" xr:uid="{00000000-0005-0000-0000-000005020000}"/>
    <cellStyle name="Calculation 3 3 3" xfId="3962" xr:uid="{00000000-0005-0000-0000-000006020000}"/>
    <cellStyle name="Calculation 3_AGL" xfId="546" xr:uid="{00000000-0005-0000-0000-000007020000}"/>
    <cellStyle name="Calculation 4" xfId="547" xr:uid="{00000000-0005-0000-0000-000008020000}"/>
    <cellStyle name="Calculation 4 2" xfId="548" xr:uid="{00000000-0005-0000-0000-000009020000}"/>
    <cellStyle name="Calculation 4 2 2" xfId="549" xr:uid="{00000000-0005-0000-0000-00000A020000}"/>
    <cellStyle name="Calculation 4 2 2 2" xfId="4398" xr:uid="{00000000-0005-0000-0000-00000B020000}"/>
    <cellStyle name="Calculation 4 2 2 3" xfId="3964" xr:uid="{00000000-0005-0000-0000-00000C020000}"/>
    <cellStyle name="Calculation 4 2 3" xfId="4399" xr:uid="{00000000-0005-0000-0000-00000D020000}"/>
    <cellStyle name="Calculation 4 2 4" xfId="3963" xr:uid="{00000000-0005-0000-0000-00000E020000}"/>
    <cellStyle name="Calculation 4 2_Sheet10" xfId="550" xr:uid="{00000000-0005-0000-0000-00000F020000}"/>
    <cellStyle name="Calculation 4 3" xfId="551" xr:uid="{00000000-0005-0000-0000-000010020000}"/>
    <cellStyle name="Calculation 4 3 2" xfId="4397" xr:uid="{00000000-0005-0000-0000-000011020000}"/>
    <cellStyle name="Calculation 4 3 3" xfId="3965" xr:uid="{00000000-0005-0000-0000-000012020000}"/>
    <cellStyle name="Calculation 4_AGL" xfId="552" xr:uid="{00000000-0005-0000-0000-000013020000}"/>
    <cellStyle name="Calculation 5" xfId="553" xr:uid="{00000000-0005-0000-0000-000014020000}"/>
    <cellStyle name="Calculation 5 2" xfId="554" xr:uid="{00000000-0005-0000-0000-000015020000}"/>
    <cellStyle name="Calculation 5 2 2" xfId="4395" xr:uid="{00000000-0005-0000-0000-000016020000}"/>
    <cellStyle name="Calculation 5 2 3" xfId="3967" xr:uid="{00000000-0005-0000-0000-000017020000}"/>
    <cellStyle name="Calculation 5 3" xfId="4396" xr:uid="{00000000-0005-0000-0000-000018020000}"/>
    <cellStyle name="Calculation 5 4" xfId="3966" xr:uid="{00000000-0005-0000-0000-000019020000}"/>
    <cellStyle name="Calculation 5_Sheet10" xfId="555" xr:uid="{00000000-0005-0000-0000-00001A020000}"/>
    <cellStyle name="Calculation 6" xfId="556" xr:uid="{00000000-0005-0000-0000-00001B020000}"/>
    <cellStyle name="Calculation 6 2" xfId="4394" xr:uid="{00000000-0005-0000-0000-00001C020000}"/>
    <cellStyle name="Calculation 6 3" xfId="3968" xr:uid="{00000000-0005-0000-0000-00001D020000}"/>
    <cellStyle name="Check Cell 2" xfId="557" xr:uid="{00000000-0005-0000-0000-00001E020000}"/>
    <cellStyle name="Check Cell 2 2" xfId="558" xr:uid="{00000000-0005-0000-0000-00001F020000}"/>
    <cellStyle name="Check Cell 2 3" xfId="559" xr:uid="{00000000-0005-0000-0000-000020020000}"/>
    <cellStyle name="Check Cell 2_AGL" xfId="560" xr:uid="{00000000-0005-0000-0000-000021020000}"/>
    <cellStyle name="Check Cell 3" xfId="561" xr:uid="{00000000-0005-0000-0000-000022020000}"/>
    <cellStyle name="Check Cell 4" xfId="562" xr:uid="{00000000-0005-0000-0000-000023020000}"/>
    <cellStyle name="Comma" xfId="3924" builtinId="3"/>
    <cellStyle name="Comma  - Style1" xfId="563" xr:uid="{00000000-0005-0000-0000-000025020000}"/>
    <cellStyle name="Comma  - Style2" xfId="564" xr:uid="{00000000-0005-0000-0000-000026020000}"/>
    <cellStyle name="Comma  - Style3" xfId="565" xr:uid="{00000000-0005-0000-0000-000027020000}"/>
    <cellStyle name="Comma  - Style4" xfId="566" xr:uid="{00000000-0005-0000-0000-000028020000}"/>
    <cellStyle name="Comma  - Style5" xfId="567" xr:uid="{00000000-0005-0000-0000-000029020000}"/>
    <cellStyle name="Comma  - Style6" xfId="568" xr:uid="{00000000-0005-0000-0000-00002A020000}"/>
    <cellStyle name="Comma  - Style7" xfId="569" xr:uid="{00000000-0005-0000-0000-00002B020000}"/>
    <cellStyle name="Comma  - Style8" xfId="570" xr:uid="{00000000-0005-0000-0000-00002C020000}"/>
    <cellStyle name="Comma [0] 2" xfId="571" xr:uid="{00000000-0005-0000-0000-00002D020000}"/>
    <cellStyle name="Comma [0] 2 2" xfId="572" xr:uid="{00000000-0005-0000-0000-00002E020000}"/>
    <cellStyle name="Comma [0] 2 2 2" xfId="3970" xr:uid="{00000000-0005-0000-0000-00002F020000}"/>
    <cellStyle name="Comma [0] 2 3" xfId="573" xr:uid="{00000000-0005-0000-0000-000030020000}"/>
    <cellStyle name="Comma [0] 2 3 2" xfId="3971" xr:uid="{00000000-0005-0000-0000-000031020000}"/>
    <cellStyle name="Comma [0] 2 4" xfId="3969" xr:uid="{00000000-0005-0000-0000-000032020000}"/>
    <cellStyle name="Comma 10" xfId="574" xr:uid="{00000000-0005-0000-0000-000033020000}"/>
    <cellStyle name="Comma 10 2" xfId="575" xr:uid="{00000000-0005-0000-0000-000034020000}"/>
    <cellStyle name="Comma 10 2 2" xfId="576" xr:uid="{00000000-0005-0000-0000-000035020000}"/>
    <cellStyle name="Comma 10 2 2 2" xfId="577" xr:uid="{00000000-0005-0000-0000-000036020000}"/>
    <cellStyle name="Comma 10 2 2 2 2" xfId="3974" xr:uid="{00000000-0005-0000-0000-000037020000}"/>
    <cellStyle name="Comma 10 2 2 3" xfId="3973" xr:uid="{00000000-0005-0000-0000-000038020000}"/>
    <cellStyle name="Comma 10 2 3" xfId="578" xr:uid="{00000000-0005-0000-0000-000039020000}"/>
    <cellStyle name="Comma 10 2 3 2" xfId="579" xr:uid="{00000000-0005-0000-0000-00003A020000}"/>
    <cellStyle name="Comma 10 2 3 2 2" xfId="3976" xr:uid="{00000000-0005-0000-0000-00003B020000}"/>
    <cellStyle name="Comma 10 2 3 3" xfId="3975" xr:uid="{00000000-0005-0000-0000-00003C020000}"/>
    <cellStyle name="Comma 10 2 4" xfId="580" xr:uid="{00000000-0005-0000-0000-00003D020000}"/>
    <cellStyle name="Comma 10 2 4 2" xfId="3977" xr:uid="{00000000-0005-0000-0000-00003E020000}"/>
    <cellStyle name="Comma 10 2 5" xfId="3972" xr:uid="{00000000-0005-0000-0000-00003F020000}"/>
    <cellStyle name="Comma 10 3" xfId="581" xr:uid="{00000000-0005-0000-0000-000040020000}"/>
    <cellStyle name="Comma 10 3 2" xfId="582" xr:uid="{00000000-0005-0000-0000-000041020000}"/>
    <cellStyle name="Comma 10 3 2 2" xfId="583" xr:uid="{00000000-0005-0000-0000-000042020000}"/>
    <cellStyle name="Comma 10 3 2 2 2" xfId="3980" xr:uid="{00000000-0005-0000-0000-000043020000}"/>
    <cellStyle name="Comma 10 3 2 3" xfId="3979" xr:uid="{00000000-0005-0000-0000-000044020000}"/>
    <cellStyle name="Comma 10 3 3" xfId="584" xr:uid="{00000000-0005-0000-0000-000045020000}"/>
    <cellStyle name="Comma 10 3 3 2" xfId="585" xr:uid="{00000000-0005-0000-0000-000046020000}"/>
    <cellStyle name="Comma 10 3 3 2 2" xfId="3982" xr:uid="{00000000-0005-0000-0000-000047020000}"/>
    <cellStyle name="Comma 10 3 3 3" xfId="3981" xr:uid="{00000000-0005-0000-0000-000048020000}"/>
    <cellStyle name="Comma 10 3 4" xfId="586" xr:uid="{00000000-0005-0000-0000-000049020000}"/>
    <cellStyle name="Comma 10 3 4 2" xfId="3983" xr:uid="{00000000-0005-0000-0000-00004A020000}"/>
    <cellStyle name="Comma 10 3 5" xfId="3978" xr:uid="{00000000-0005-0000-0000-00004B020000}"/>
    <cellStyle name="Comma 10 4" xfId="587" xr:uid="{00000000-0005-0000-0000-00004C020000}"/>
    <cellStyle name="Comma 10 4 2" xfId="588" xr:uid="{00000000-0005-0000-0000-00004D020000}"/>
    <cellStyle name="Comma 10 4 2 2" xfId="589" xr:uid="{00000000-0005-0000-0000-00004E020000}"/>
    <cellStyle name="Comma 10 4 2 2 2" xfId="3986" xr:uid="{00000000-0005-0000-0000-00004F020000}"/>
    <cellStyle name="Comma 10 4 2 3" xfId="3985" xr:uid="{00000000-0005-0000-0000-000050020000}"/>
    <cellStyle name="Comma 10 4 3" xfId="590" xr:uid="{00000000-0005-0000-0000-000051020000}"/>
    <cellStyle name="Comma 10 4 3 2" xfId="591" xr:uid="{00000000-0005-0000-0000-000052020000}"/>
    <cellStyle name="Comma 10 4 3 2 2" xfId="3988" xr:uid="{00000000-0005-0000-0000-000053020000}"/>
    <cellStyle name="Comma 10 4 3 3" xfId="3987" xr:uid="{00000000-0005-0000-0000-000054020000}"/>
    <cellStyle name="Comma 10 4 4" xfId="592" xr:uid="{00000000-0005-0000-0000-000055020000}"/>
    <cellStyle name="Comma 10 4 4 2" xfId="3989" xr:uid="{00000000-0005-0000-0000-000056020000}"/>
    <cellStyle name="Comma 10 4 5" xfId="3984" xr:uid="{00000000-0005-0000-0000-000057020000}"/>
    <cellStyle name="Comma 10 5" xfId="593" xr:uid="{00000000-0005-0000-0000-000058020000}"/>
    <cellStyle name="Comma 10 5 2" xfId="594" xr:uid="{00000000-0005-0000-0000-000059020000}"/>
    <cellStyle name="Comma 10 5 2 2" xfId="595" xr:uid="{00000000-0005-0000-0000-00005A020000}"/>
    <cellStyle name="Comma 10 5 2 2 2" xfId="3992" xr:uid="{00000000-0005-0000-0000-00005B020000}"/>
    <cellStyle name="Comma 10 5 2 3" xfId="3991" xr:uid="{00000000-0005-0000-0000-00005C020000}"/>
    <cellStyle name="Comma 10 5 3" xfId="596" xr:uid="{00000000-0005-0000-0000-00005D020000}"/>
    <cellStyle name="Comma 10 5 3 2" xfId="597" xr:uid="{00000000-0005-0000-0000-00005E020000}"/>
    <cellStyle name="Comma 10 5 3 2 2" xfId="3994" xr:uid="{00000000-0005-0000-0000-00005F020000}"/>
    <cellStyle name="Comma 10 5 3 3" xfId="3993" xr:uid="{00000000-0005-0000-0000-000060020000}"/>
    <cellStyle name="Comma 10 5 4" xfId="598" xr:uid="{00000000-0005-0000-0000-000061020000}"/>
    <cellStyle name="Comma 10 5 4 2" xfId="3995" xr:uid="{00000000-0005-0000-0000-000062020000}"/>
    <cellStyle name="Comma 10 5 5" xfId="3990" xr:uid="{00000000-0005-0000-0000-000063020000}"/>
    <cellStyle name="Comma 10 6" xfId="599" xr:uid="{00000000-0005-0000-0000-000064020000}"/>
    <cellStyle name="Comma 10 7" xfId="600" xr:uid="{00000000-0005-0000-0000-000065020000}"/>
    <cellStyle name="Comma 11" xfId="601" xr:uid="{00000000-0005-0000-0000-000066020000}"/>
    <cellStyle name="Comma 11 2" xfId="602" xr:uid="{00000000-0005-0000-0000-000067020000}"/>
    <cellStyle name="Comma 11 2 2" xfId="603" xr:uid="{00000000-0005-0000-0000-000068020000}"/>
    <cellStyle name="Comma 11 2 2 2" xfId="604" xr:uid="{00000000-0005-0000-0000-000069020000}"/>
    <cellStyle name="Comma 11 2 2 2 2" xfId="3998" xr:uid="{00000000-0005-0000-0000-00006A020000}"/>
    <cellStyle name="Comma 11 2 2 3" xfId="3997" xr:uid="{00000000-0005-0000-0000-00006B020000}"/>
    <cellStyle name="Comma 11 2 3" xfId="605" xr:uid="{00000000-0005-0000-0000-00006C020000}"/>
    <cellStyle name="Comma 11 2 3 2" xfId="606" xr:uid="{00000000-0005-0000-0000-00006D020000}"/>
    <cellStyle name="Comma 11 2 3 2 2" xfId="4000" xr:uid="{00000000-0005-0000-0000-00006E020000}"/>
    <cellStyle name="Comma 11 2 3 3" xfId="3999" xr:uid="{00000000-0005-0000-0000-00006F020000}"/>
    <cellStyle name="Comma 11 2 4" xfId="607" xr:uid="{00000000-0005-0000-0000-000070020000}"/>
    <cellStyle name="Comma 11 2 4 2" xfId="4001" xr:uid="{00000000-0005-0000-0000-000071020000}"/>
    <cellStyle name="Comma 11 2 5" xfId="3996" xr:uid="{00000000-0005-0000-0000-000072020000}"/>
    <cellStyle name="Comma 11 3" xfId="608" xr:uid="{00000000-0005-0000-0000-000073020000}"/>
    <cellStyle name="Comma 11 3 2" xfId="609" xr:uid="{00000000-0005-0000-0000-000074020000}"/>
    <cellStyle name="Comma 11 3 2 2" xfId="610" xr:uid="{00000000-0005-0000-0000-000075020000}"/>
    <cellStyle name="Comma 11 3 2 2 2" xfId="4004" xr:uid="{00000000-0005-0000-0000-000076020000}"/>
    <cellStyle name="Comma 11 3 2 3" xfId="4003" xr:uid="{00000000-0005-0000-0000-000077020000}"/>
    <cellStyle name="Comma 11 3 3" xfId="611" xr:uid="{00000000-0005-0000-0000-000078020000}"/>
    <cellStyle name="Comma 11 3 3 2" xfId="612" xr:uid="{00000000-0005-0000-0000-000079020000}"/>
    <cellStyle name="Comma 11 3 3 2 2" xfId="4006" xr:uid="{00000000-0005-0000-0000-00007A020000}"/>
    <cellStyle name="Comma 11 3 3 3" xfId="4005" xr:uid="{00000000-0005-0000-0000-00007B020000}"/>
    <cellStyle name="Comma 11 3 4" xfId="613" xr:uid="{00000000-0005-0000-0000-00007C020000}"/>
    <cellStyle name="Comma 11 3 4 2" xfId="4007" xr:uid="{00000000-0005-0000-0000-00007D020000}"/>
    <cellStyle name="Comma 11 3 5" xfId="4002" xr:uid="{00000000-0005-0000-0000-00007E020000}"/>
    <cellStyle name="Comma 11 4" xfId="614" xr:uid="{00000000-0005-0000-0000-00007F020000}"/>
    <cellStyle name="Comma 11 4 2" xfId="615" xr:uid="{00000000-0005-0000-0000-000080020000}"/>
    <cellStyle name="Comma 11 4 2 2" xfId="616" xr:uid="{00000000-0005-0000-0000-000081020000}"/>
    <cellStyle name="Comma 11 4 2 2 2" xfId="4010" xr:uid="{00000000-0005-0000-0000-000082020000}"/>
    <cellStyle name="Comma 11 4 2 3" xfId="4009" xr:uid="{00000000-0005-0000-0000-000083020000}"/>
    <cellStyle name="Comma 11 4 3" xfId="617" xr:uid="{00000000-0005-0000-0000-000084020000}"/>
    <cellStyle name="Comma 11 4 3 2" xfId="618" xr:uid="{00000000-0005-0000-0000-000085020000}"/>
    <cellStyle name="Comma 11 4 3 2 2" xfId="4012" xr:uid="{00000000-0005-0000-0000-000086020000}"/>
    <cellStyle name="Comma 11 4 3 3" xfId="4011" xr:uid="{00000000-0005-0000-0000-000087020000}"/>
    <cellStyle name="Comma 11 4 4" xfId="619" xr:uid="{00000000-0005-0000-0000-000088020000}"/>
    <cellStyle name="Comma 11 4 4 2" xfId="4013" xr:uid="{00000000-0005-0000-0000-000089020000}"/>
    <cellStyle name="Comma 11 4 5" xfId="4008" xr:uid="{00000000-0005-0000-0000-00008A020000}"/>
    <cellStyle name="Comma 11 5" xfId="620" xr:uid="{00000000-0005-0000-0000-00008B020000}"/>
    <cellStyle name="Comma 11 5 2" xfId="621" xr:uid="{00000000-0005-0000-0000-00008C020000}"/>
    <cellStyle name="Comma 11 5 2 2" xfId="622" xr:uid="{00000000-0005-0000-0000-00008D020000}"/>
    <cellStyle name="Comma 11 5 2 2 2" xfId="4016" xr:uid="{00000000-0005-0000-0000-00008E020000}"/>
    <cellStyle name="Comma 11 5 2 3" xfId="4015" xr:uid="{00000000-0005-0000-0000-00008F020000}"/>
    <cellStyle name="Comma 11 5 3" xfId="623" xr:uid="{00000000-0005-0000-0000-000090020000}"/>
    <cellStyle name="Comma 11 5 3 2" xfId="624" xr:uid="{00000000-0005-0000-0000-000091020000}"/>
    <cellStyle name="Comma 11 5 3 2 2" xfId="4018" xr:uid="{00000000-0005-0000-0000-000092020000}"/>
    <cellStyle name="Comma 11 5 3 3" xfId="4017" xr:uid="{00000000-0005-0000-0000-000093020000}"/>
    <cellStyle name="Comma 11 5 4" xfId="625" xr:uid="{00000000-0005-0000-0000-000094020000}"/>
    <cellStyle name="Comma 11 5 4 2" xfId="4019" xr:uid="{00000000-0005-0000-0000-000095020000}"/>
    <cellStyle name="Comma 11 5 5" xfId="4014" xr:uid="{00000000-0005-0000-0000-000096020000}"/>
    <cellStyle name="Comma 11 6" xfId="626" xr:uid="{00000000-0005-0000-0000-000097020000}"/>
    <cellStyle name="Comma 11 7" xfId="627" xr:uid="{00000000-0005-0000-0000-000098020000}"/>
    <cellStyle name="Comma 12" xfId="628" xr:uid="{00000000-0005-0000-0000-000099020000}"/>
    <cellStyle name="Comma 12 2" xfId="629" xr:uid="{00000000-0005-0000-0000-00009A020000}"/>
    <cellStyle name="Comma 12 2 2" xfId="630" xr:uid="{00000000-0005-0000-0000-00009B020000}"/>
    <cellStyle name="Comma 12 2 2 2" xfId="4022" xr:uid="{00000000-0005-0000-0000-00009C020000}"/>
    <cellStyle name="Comma 12 2 3" xfId="4021" xr:uid="{00000000-0005-0000-0000-00009D020000}"/>
    <cellStyle name="Comma 12 3" xfId="631" xr:uid="{00000000-0005-0000-0000-00009E020000}"/>
    <cellStyle name="Comma 12 3 2" xfId="632" xr:uid="{00000000-0005-0000-0000-00009F020000}"/>
    <cellStyle name="Comma 12 3 2 2" xfId="4024" xr:uid="{00000000-0005-0000-0000-0000A0020000}"/>
    <cellStyle name="Comma 12 3 3" xfId="4023" xr:uid="{00000000-0005-0000-0000-0000A1020000}"/>
    <cellStyle name="Comma 12 4" xfId="633" xr:uid="{00000000-0005-0000-0000-0000A2020000}"/>
    <cellStyle name="Comma 12 4 2" xfId="4025" xr:uid="{00000000-0005-0000-0000-0000A3020000}"/>
    <cellStyle name="Comma 12 5" xfId="4020" xr:uid="{00000000-0005-0000-0000-0000A4020000}"/>
    <cellStyle name="Comma 13" xfId="634" xr:uid="{00000000-0005-0000-0000-0000A5020000}"/>
    <cellStyle name="Comma 13 2" xfId="635" xr:uid="{00000000-0005-0000-0000-0000A6020000}"/>
    <cellStyle name="Comma 13 2 2" xfId="636" xr:uid="{00000000-0005-0000-0000-0000A7020000}"/>
    <cellStyle name="Comma 13 2 2 2" xfId="4028" xr:uid="{00000000-0005-0000-0000-0000A8020000}"/>
    <cellStyle name="Comma 13 2 3" xfId="4027" xr:uid="{00000000-0005-0000-0000-0000A9020000}"/>
    <cellStyle name="Comma 13 3" xfId="637" xr:uid="{00000000-0005-0000-0000-0000AA020000}"/>
    <cellStyle name="Comma 13 3 2" xfId="638" xr:uid="{00000000-0005-0000-0000-0000AB020000}"/>
    <cellStyle name="Comma 13 3 2 2" xfId="4030" xr:uid="{00000000-0005-0000-0000-0000AC020000}"/>
    <cellStyle name="Comma 13 3 3" xfId="4029" xr:uid="{00000000-0005-0000-0000-0000AD020000}"/>
    <cellStyle name="Comma 13 4" xfId="639" xr:uid="{00000000-0005-0000-0000-0000AE020000}"/>
    <cellStyle name="Comma 13 4 2" xfId="4031" xr:uid="{00000000-0005-0000-0000-0000AF020000}"/>
    <cellStyle name="Comma 13 5" xfId="4026" xr:uid="{00000000-0005-0000-0000-0000B0020000}"/>
    <cellStyle name="Comma 14" xfId="640" xr:uid="{00000000-0005-0000-0000-0000B1020000}"/>
    <cellStyle name="Comma 14 2" xfId="641" xr:uid="{00000000-0005-0000-0000-0000B2020000}"/>
    <cellStyle name="Comma 14 2 2" xfId="642" xr:uid="{00000000-0005-0000-0000-0000B3020000}"/>
    <cellStyle name="Comma 14 2 2 2" xfId="4034" xr:uid="{00000000-0005-0000-0000-0000B4020000}"/>
    <cellStyle name="Comma 14 2 3" xfId="4033" xr:uid="{00000000-0005-0000-0000-0000B5020000}"/>
    <cellStyle name="Comma 14 3" xfId="643" xr:uid="{00000000-0005-0000-0000-0000B6020000}"/>
    <cellStyle name="Comma 14 3 2" xfId="644" xr:uid="{00000000-0005-0000-0000-0000B7020000}"/>
    <cellStyle name="Comma 14 3 2 2" xfId="4036" xr:uid="{00000000-0005-0000-0000-0000B8020000}"/>
    <cellStyle name="Comma 14 3 3" xfId="4035" xr:uid="{00000000-0005-0000-0000-0000B9020000}"/>
    <cellStyle name="Comma 14 4" xfId="645" xr:uid="{00000000-0005-0000-0000-0000BA020000}"/>
    <cellStyle name="Comma 14 4 2" xfId="4037" xr:uid="{00000000-0005-0000-0000-0000BB020000}"/>
    <cellStyle name="Comma 14 5" xfId="4032" xr:uid="{00000000-0005-0000-0000-0000BC020000}"/>
    <cellStyle name="Comma 15" xfId="646" xr:uid="{00000000-0005-0000-0000-0000BD020000}"/>
    <cellStyle name="Comma 15 2" xfId="647" xr:uid="{00000000-0005-0000-0000-0000BE020000}"/>
    <cellStyle name="Comma 15 2 2" xfId="648" xr:uid="{00000000-0005-0000-0000-0000BF020000}"/>
    <cellStyle name="Comma 15 2 2 2" xfId="4040" xr:uid="{00000000-0005-0000-0000-0000C0020000}"/>
    <cellStyle name="Comma 15 2 3" xfId="4039" xr:uid="{00000000-0005-0000-0000-0000C1020000}"/>
    <cellStyle name="Comma 15 3" xfId="649" xr:uid="{00000000-0005-0000-0000-0000C2020000}"/>
    <cellStyle name="Comma 15 3 2" xfId="650" xr:uid="{00000000-0005-0000-0000-0000C3020000}"/>
    <cellStyle name="Comma 15 3 2 2" xfId="4042" xr:uid="{00000000-0005-0000-0000-0000C4020000}"/>
    <cellStyle name="Comma 15 3 3" xfId="4041" xr:uid="{00000000-0005-0000-0000-0000C5020000}"/>
    <cellStyle name="Comma 15 4" xfId="651" xr:uid="{00000000-0005-0000-0000-0000C6020000}"/>
    <cellStyle name="Comma 15 4 2" xfId="4043" xr:uid="{00000000-0005-0000-0000-0000C7020000}"/>
    <cellStyle name="Comma 15 5" xfId="4038" xr:uid="{00000000-0005-0000-0000-0000C8020000}"/>
    <cellStyle name="Comma 16" xfId="652" xr:uid="{00000000-0005-0000-0000-0000C9020000}"/>
    <cellStyle name="Comma 16 2" xfId="653" xr:uid="{00000000-0005-0000-0000-0000CA020000}"/>
    <cellStyle name="Comma 16 2 2" xfId="654" xr:uid="{00000000-0005-0000-0000-0000CB020000}"/>
    <cellStyle name="Comma 16 2 2 2" xfId="4046" xr:uid="{00000000-0005-0000-0000-0000CC020000}"/>
    <cellStyle name="Comma 16 2 3" xfId="4045" xr:uid="{00000000-0005-0000-0000-0000CD020000}"/>
    <cellStyle name="Comma 16 3" xfId="655" xr:uid="{00000000-0005-0000-0000-0000CE020000}"/>
    <cellStyle name="Comma 16 3 2" xfId="656" xr:uid="{00000000-0005-0000-0000-0000CF020000}"/>
    <cellStyle name="Comma 16 3 2 2" xfId="4048" xr:uid="{00000000-0005-0000-0000-0000D0020000}"/>
    <cellStyle name="Comma 16 3 3" xfId="4047" xr:uid="{00000000-0005-0000-0000-0000D1020000}"/>
    <cellStyle name="Comma 16 4" xfId="657" xr:uid="{00000000-0005-0000-0000-0000D2020000}"/>
    <cellStyle name="Comma 16 4 2" xfId="4049" xr:uid="{00000000-0005-0000-0000-0000D3020000}"/>
    <cellStyle name="Comma 16 5" xfId="4044" xr:uid="{00000000-0005-0000-0000-0000D4020000}"/>
    <cellStyle name="Comma 17" xfId="658" xr:uid="{00000000-0005-0000-0000-0000D5020000}"/>
    <cellStyle name="Comma 17 2" xfId="659" xr:uid="{00000000-0005-0000-0000-0000D6020000}"/>
    <cellStyle name="Comma 17 2 2" xfId="660" xr:uid="{00000000-0005-0000-0000-0000D7020000}"/>
    <cellStyle name="Comma 17 2 2 2" xfId="4052" xr:uid="{00000000-0005-0000-0000-0000D8020000}"/>
    <cellStyle name="Comma 17 2 3" xfId="4051" xr:uid="{00000000-0005-0000-0000-0000D9020000}"/>
    <cellStyle name="Comma 17 3" xfId="661" xr:uid="{00000000-0005-0000-0000-0000DA020000}"/>
    <cellStyle name="Comma 17 3 2" xfId="662" xr:uid="{00000000-0005-0000-0000-0000DB020000}"/>
    <cellStyle name="Comma 17 3 2 2" xfId="4054" xr:uid="{00000000-0005-0000-0000-0000DC020000}"/>
    <cellStyle name="Comma 17 3 3" xfId="4053" xr:uid="{00000000-0005-0000-0000-0000DD020000}"/>
    <cellStyle name="Comma 17 4" xfId="663" xr:uid="{00000000-0005-0000-0000-0000DE020000}"/>
    <cellStyle name="Comma 17 4 2" xfId="4055" xr:uid="{00000000-0005-0000-0000-0000DF020000}"/>
    <cellStyle name="Comma 17 5" xfId="4050" xr:uid="{00000000-0005-0000-0000-0000E0020000}"/>
    <cellStyle name="Comma 18" xfId="664" xr:uid="{00000000-0005-0000-0000-0000E1020000}"/>
    <cellStyle name="Comma 18 2" xfId="665" xr:uid="{00000000-0005-0000-0000-0000E2020000}"/>
    <cellStyle name="Comma 18 2 2" xfId="666" xr:uid="{00000000-0005-0000-0000-0000E3020000}"/>
    <cellStyle name="Comma 18 2 2 2" xfId="4058" xr:uid="{00000000-0005-0000-0000-0000E4020000}"/>
    <cellStyle name="Comma 18 2 3" xfId="4057" xr:uid="{00000000-0005-0000-0000-0000E5020000}"/>
    <cellStyle name="Comma 18 3" xfId="667" xr:uid="{00000000-0005-0000-0000-0000E6020000}"/>
    <cellStyle name="Comma 18 3 2" xfId="668" xr:uid="{00000000-0005-0000-0000-0000E7020000}"/>
    <cellStyle name="Comma 18 3 2 2" xfId="4060" xr:uid="{00000000-0005-0000-0000-0000E8020000}"/>
    <cellStyle name="Comma 18 3 3" xfId="4059" xr:uid="{00000000-0005-0000-0000-0000E9020000}"/>
    <cellStyle name="Comma 18 4" xfId="669" xr:uid="{00000000-0005-0000-0000-0000EA020000}"/>
    <cellStyle name="Comma 18 4 2" xfId="4061" xr:uid="{00000000-0005-0000-0000-0000EB020000}"/>
    <cellStyle name="Comma 18 5" xfId="4056" xr:uid="{00000000-0005-0000-0000-0000EC020000}"/>
    <cellStyle name="Comma 19" xfId="670" xr:uid="{00000000-0005-0000-0000-0000ED020000}"/>
    <cellStyle name="Comma 19 2" xfId="671" xr:uid="{00000000-0005-0000-0000-0000EE020000}"/>
    <cellStyle name="Comma 19 2 2" xfId="672" xr:uid="{00000000-0005-0000-0000-0000EF020000}"/>
    <cellStyle name="Comma 19 2 2 2" xfId="4064" xr:uid="{00000000-0005-0000-0000-0000F0020000}"/>
    <cellStyle name="Comma 19 2 3" xfId="4063" xr:uid="{00000000-0005-0000-0000-0000F1020000}"/>
    <cellStyle name="Comma 19 3" xfId="673" xr:uid="{00000000-0005-0000-0000-0000F2020000}"/>
    <cellStyle name="Comma 19 3 2" xfId="674" xr:uid="{00000000-0005-0000-0000-0000F3020000}"/>
    <cellStyle name="Comma 19 3 2 2" xfId="4066" xr:uid="{00000000-0005-0000-0000-0000F4020000}"/>
    <cellStyle name="Comma 19 3 3" xfId="4065" xr:uid="{00000000-0005-0000-0000-0000F5020000}"/>
    <cellStyle name="Comma 19 4" xfId="675" xr:uid="{00000000-0005-0000-0000-0000F6020000}"/>
    <cellStyle name="Comma 19 4 2" xfId="4067" xr:uid="{00000000-0005-0000-0000-0000F7020000}"/>
    <cellStyle name="Comma 19 5" xfId="4062" xr:uid="{00000000-0005-0000-0000-0000F8020000}"/>
    <cellStyle name="Comma 2" xfId="7" xr:uid="{00000000-0005-0000-0000-0000F9020000}"/>
    <cellStyle name="Comma 2 2" xfId="8" xr:uid="{00000000-0005-0000-0000-0000FA020000}"/>
    <cellStyle name="Comma 2 2 2" xfId="676" xr:uid="{00000000-0005-0000-0000-0000FB020000}"/>
    <cellStyle name="Comma 2 2 2 2" xfId="4068" xr:uid="{00000000-0005-0000-0000-0000FC020000}"/>
    <cellStyle name="Comma 2 3" xfId="677" xr:uid="{00000000-0005-0000-0000-0000FD020000}"/>
    <cellStyle name="Comma 2 3 2" xfId="678" xr:uid="{00000000-0005-0000-0000-0000FE020000}"/>
    <cellStyle name="Comma 2 3 2 2" xfId="4069" xr:uid="{00000000-0005-0000-0000-0000FF020000}"/>
    <cellStyle name="Comma 2 3 3" xfId="679" xr:uid="{00000000-0005-0000-0000-000000030000}"/>
    <cellStyle name="Comma 2 3 3 2" xfId="4070" xr:uid="{00000000-0005-0000-0000-000001030000}"/>
    <cellStyle name="Comma 2 4" xfId="680" xr:uid="{00000000-0005-0000-0000-000002030000}"/>
    <cellStyle name="Comma 2 5" xfId="681" xr:uid="{00000000-0005-0000-0000-000003030000}"/>
    <cellStyle name="Comma 2 5 2" xfId="682" xr:uid="{00000000-0005-0000-0000-000004030000}"/>
    <cellStyle name="Comma 2 5 3" xfId="683" xr:uid="{00000000-0005-0000-0000-000005030000}"/>
    <cellStyle name="Comma 2 6" xfId="684" xr:uid="{00000000-0005-0000-0000-000006030000}"/>
    <cellStyle name="Comma 2 6 2" xfId="685" xr:uid="{00000000-0005-0000-0000-000007030000}"/>
    <cellStyle name="Comma 2 6 3" xfId="686" xr:uid="{00000000-0005-0000-0000-000008030000}"/>
    <cellStyle name="Comma 2 7" xfId="687" xr:uid="{00000000-0005-0000-0000-000009030000}"/>
    <cellStyle name="Comma 2 8" xfId="688" xr:uid="{00000000-0005-0000-0000-00000A030000}"/>
    <cellStyle name="Comma 2 9" xfId="689" xr:uid="{00000000-0005-0000-0000-00000B030000}"/>
    <cellStyle name="Comma 2 9 2" xfId="4071" xr:uid="{00000000-0005-0000-0000-00000C030000}"/>
    <cellStyle name="Comma 20" xfId="690" xr:uid="{00000000-0005-0000-0000-00000D030000}"/>
    <cellStyle name="Comma 20 2" xfId="691" xr:uid="{00000000-0005-0000-0000-00000E030000}"/>
    <cellStyle name="Comma 20 2 2" xfId="692" xr:uid="{00000000-0005-0000-0000-00000F030000}"/>
    <cellStyle name="Comma 20 2 2 2" xfId="4074" xr:uid="{00000000-0005-0000-0000-000010030000}"/>
    <cellStyle name="Comma 20 2 3" xfId="4073" xr:uid="{00000000-0005-0000-0000-000011030000}"/>
    <cellStyle name="Comma 20 3" xfId="693" xr:uid="{00000000-0005-0000-0000-000012030000}"/>
    <cellStyle name="Comma 20 3 2" xfId="694" xr:uid="{00000000-0005-0000-0000-000013030000}"/>
    <cellStyle name="Comma 20 3 2 2" xfId="4076" xr:uid="{00000000-0005-0000-0000-000014030000}"/>
    <cellStyle name="Comma 20 3 3" xfId="4075" xr:uid="{00000000-0005-0000-0000-000015030000}"/>
    <cellStyle name="Comma 20 4" xfId="695" xr:uid="{00000000-0005-0000-0000-000016030000}"/>
    <cellStyle name="Comma 20 4 2" xfId="4077" xr:uid="{00000000-0005-0000-0000-000017030000}"/>
    <cellStyle name="Comma 20 5" xfId="4072" xr:uid="{00000000-0005-0000-0000-000018030000}"/>
    <cellStyle name="Comma 21" xfId="696" xr:uid="{00000000-0005-0000-0000-000019030000}"/>
    <cellStyle name="Comma 21 2" xfId="697" xr:uid="{00000000-0005-0000-0000-00001A030000}"/>
    <cellStyle name="Comma 21 2 2" xfId="698" xr:uid="{00000000-0005-0000-0000-00001B030000}"/>
    <cellStyle name="Comma 21 2 2 2" xfId="4080" xr:uid="{00000000-0005-0000-0000-00001C030000}"/>
    <cellStyle name="Comma 21 2 3" xfId="4079" xr:uid="{00000000-0005-0000-0000-00001D030000}"/>
    <cellStyle name="Comma 21 3" xfId="699" xr:uid="{00000000-0005-0000-0000-00001E030000}"/>
    <cellStyle name="Comma 21 3 2" xfId="700" xr:uid="{00000000-0005-0000-0000-00001F030000}"/>
    <cellStyle name="Comma 21 3 2 2" xfId="4082" xr:uid="{00000000-0005-0000-0000-000020030000}"/>
    <cellStyle name="Comma 21 3 3" xfId="4081" xr:uid="{00000000-0005-0000-0000-000021030000}"/>
    <cellStyle name="Comma 21 4" xfId="701" xr:uid="{00000000-0005-0000-0000-000022030000}"/>
    <cellStyle name="Comma 21 4 2" xfId="4083" xr:uid="{00000000-0005-0000-0000-000023030000}"/>
    <cellStyle name="Comma 21 5" xfId="4078" xr:uid="{00000000-0005-0000-0000-000024030000}"/>
    <cellStyle name="Comma 22" xfId="702" xr:uid="{00000000-0005-0000-0000-000025030000}"/>
    <cellStyle name="Comma 22 2" xfId="703" xr:uid="{00000000-0005-0000-0000-000026030000}"/>
    <cellStyle name="Comma 22 2 2" xfId="704" xr:uid="{00000000-0005-0000-0000-000027030000}"/>
    <cellStyle name="Comma 22 2 2 2" xfId="4086" xr:uid="{00000000-0005-0000-0000-000028030000}"/>
    <cellStyle name="Comma 22 2 3" xfId="4085" xr:uid="{00000000-0005-0000-0000-000029030000}"/>
    <cellStyle name="Comma 22 3" xfId="705" xr:uid="{00000000-0005-0000-0000-00002A030000}"/>
    <cellStyle name="Comma 22 3 2" xfId="706" xr:uid="{00000000-0005-0000-0000-00002B030000}"/>
    <cellStyle name="Comma 22 3 2 2" xfId="4088" xr:uid="{00000000-0005-0000-0000-00002C030000}"/>
    <cellStyle name="Comma 22 3 3" xfId="4087" xr:uid="{00000000-0005-0000-0000-00002D030000}"/>
    <cellStyle name="Comma 22 4" xfId="707" xr:uid="{00000000-0005-0000-0000-00002E030000}"/>
    <cellStyle name="Comma 22 4 2" xfId="4089" xr:uid="{00000000-0005-0000-0000-00002F030000}"/>
    <cellStyle name="Comma 22 5" xfId="4084" xr:uid="{00000000-0005-0000-0000-000030030000}"/>
    <cellStyle name="Comma 23" xfId="708" xr:uid="{00000000-0005-0000-0000-000031030000}"/>
    <cellStyle name="Comma 23 2" xfId="709" xr:uid="{00000000-0005-0000-0000-000032030000}"/>
    <cellStyle name="Comma 23 2 2" xfId="710" xr:uid="{00000000-0005-0000-0000-000033030000}"/>
    <cellStyle name="Comma 23 2 2 2" xfId="4092" xr:uid="{00000000-0005-0000-0000-000034030000}"/>
    <cellStyle name="Comma 23 2 3" xfId="4091" xr:uid="{00000000-0005-0000-0000-000035030000}"/>
    <cellStyle name="Comma 23 3" xfId="711" xr:uid="{00000000-0005-0000-0000-000036030000}"/>
    <cellStyle name="Comma 23 3 2" xfId="712" xr:uid="{00000000-0005-0000-0000-000037030000}"/>
    <cellStyle name="Comma 23 3 2 2" xfId="4094" xr:uid="{00000000-0005-0000-0000-000038030000}"/>
    <cellStyle name="Comma 23 3 3" xfId="4093" xr:uid="{00000000-0005-0000-0000-000039030000}"/>
    <cellStyle name="Comma 23 4" xfId="713" xr:uid="{00000000-0005-0000-0000-00003A030000}"/>
    <cellStyle name="Comma 23 4 2" xfId="4095" xr:uid="{00000000-0005-0000-0000-00003B030000}"/>
    <cellStyle name="Comma 23 5" xfId="4090" xr:uid="{00000000-0005-0000-0000-00003C030000}"/>
    <cellStyle name="Comma 24" xfId="714" xr:uid="{00000000-0005-0000-0000-00003D030000}"/>
    <cellStyle name="Comma 24 2" xfId="715" xr:uid="{00000000-0005-0000-0000-00003E030000}"/>
    <cellStyle name="Comma 24 2 2" xfId="716" xr:uid="{00000000-0005-0000-0000-00003F030000}"/>
    <cellStyle name="Comma 24 2 2 2" xfId="4098" xr:uid="{00000000-0005-0000-0000-000040030000}"/>
    <cellStyle name="Comma 24 2 3" xfId="4097" xr:uid="{00000000-0005-0000-0000-000041030000}"/>
    <cellStyle name="Comma 24 3" xfId="717" xr:uid="{00000000-0005-0000-0000-000042030000}"/>
    <cellStyle name="Comma 24 3 2" xfId="718" xr:uid="{00000000-0005-0000-0000-000043030000}"/>
    <cellStyle name="Comma 24 3 2 2" xfId="4100" xr:uid="{00000000-0005-0000-0000-000044030000}"/>
    <cellStyle name="Comma 24 3 3" xfId="4099" xr:uid="{00000000-0005-0000-0000-000045030000}"/>
    <cellStyle name="Comma 24 4" xfId="719" xr:uid="{00000000-0005-0000-0000-000046030000}"/>
    <cellStyle name="Comma 24 4 2" xfId="4101" xr:uid="{00000000-0005-0000-0000-000047030000}"/>
    <cellStyle name="Comma 24 5" xfId="4096" xr:uid="{00000000-0005-0000-0000-000048030000}"/>
    <cellStyle name="Comma 25" xfId="720" xr:uid="{00000000-0005-0000-0000-000049030000}"/>
    <cellStyle name="Comma 25 2" xfId="721" xr:uid="{00000000-0005-0000-0000-00004A030000}"/>
    <cellStyle name="Comma 25 2 2" xfId="722" xr:uid="{00000000-0005-0000-0000-00004B030000}"/>
    <cellStyle name="Comma 25 2 2 2" xfId="4104" xr:uid="{00000000-0005-0000-0000-00004C030000}"/>
    <cellStyle name="Comma 25 2 3" xfId="4103" xr:uid="{00000000-0005-0000-0000-00004D030000}"/>
    <cellStyle name="Comma 25 3" xfId="723" xr:uid="{00000000-0005-0000-0000-00004E030000}"/>
    <cellStyle name="Comma 25 3 2" xfId="724" xr:uid="{00000000-0005-0000-0000-00004F030000}"/>
    <cellStyle name="Comma 25 3 2 2" xfId="4106" xr:uid="{00000000-0005-0000-0000-000050030000}"/>
    <cellStyle name="Comma 25 3 3" xfId="4105" xr:uid="{00000000-0005-0000-0000-000051030000}"/>
    <cellStyle name="Comma 25 4" xfId="725" xr:uid="{00000000-0005-0000-0000-000052030000}"/>
    <cellStyle name="Comma 25 4 2" xfId="4107" xr:uid="{00000000-0005-0000-0000-000053030000}"/>
    <cellStyle name="Comma 25 5" xfId="4102" xr:uid="{00000000-0005-0000-0000-000054030000}"/>
    <cellStyle name="Comma 26" xfId="726" xr:uid="{00000000-0005-0000-0000-000055030000}"/>
    <cellStyle name="Comma 26 2" xfId="727" xr:uid="{00000000-0005-0000-0000-000056030000}"/>
    <cellStyle name="Comma 26 2 2" xfId="728" xr:uid="{00000000-0005-0000-0000-000057030000}"/>
    <cellStyle name="Comma 26 2 2 2" xfId="4110" xr:uid="{00000000-0005-0000-0000-000058030000}"/>
    <cellStyle name="Comma 26 2 3" xfId="4109" xr:uid="{00000000-0005-0000-0000-000059030000}"/>
    <cellStyle name="Comma 26 3" xfId="729" xr:uid="{00000000-0005-0000-0000-00005A030000}"/>
    <cellStyle name="Comma 26 3 2" xfId="730" xr:uid="{00000000-0005-0000-0000-00005B030000}"/>
    <cellStyle name="Comma 26 3 2 2" xfId="4112" xr:uid="{00000000-0005-0000-0000-00005C030000}"/>
    <cellStyle name="Comma 26 3 3" xfId="4111" xr:uid="{00000000-0005-0000-0000-00005D030000}"/>
    <cellStyle name="Comma 26 4" xfId="731" xr:uid="{00000000-0005-0000-0000-00005E030000}"/>
    <cellStyle name="Comma 26 4 2" xfId="4113" xr:uid="{00000000-0005-0000-0000-00005F030000}"/>
    <cellStyle name="Comma 26 5" xfId="4108" xr:uid="{00000000-0005-0000-0000-000060030000}"/>
    <cellStyle name="Comma 27" xfId="732" xr:uid="{00000000-0005-0000-0000-000061030000}"/>
    <cellStyle name="Comma 27 2" xfId="733" xr:uid="{00000000-0005-0000-0000-000062030000}"/>
    <cellStyle name="Comma 27 2 2" xfId="734" xr:uid="{00000000-0005-0000-0000-000063030000}"/>
    <cellStyle name="Comma 27 2 2 2" xfId="4116" xr:uid="{00000000-0005-0000-0000-000064030000}"/>
    <cellStyle name="Comma 27 2 3" xfId="4115" xr:uid="{00000000-0005-0000-0000-000065030000}"/>
    <cellStyle name="Comma 27 3" xfId="735" xr:uid="{00000000-0005-0000-0000-000066030000}"/>
    <cellStyle name="Comma 27 3 2" xfId="736" xr:uid="{00000000-0005-0000-0000-000067030000}"/>
    <cellStyle name="Comma 27 3 2 2" xfId="4118" xr:uid="{00000000-0005-0000-0000-000068030000}"/>
    <cellStyle name="Comma 27 3 3" xfId="4117" xr:uid="{00000000-0005-0000-0000-000069030000}"/>
    <cellStyle name="Comma 27 4" xfId="737" xr:uid="{00000000-0005-0000-0000-00006A030000}"/>
    <cellStyle name="Comma 27 4 2" xfId="4119" xr:uid="{00000000-0005-0000-0000-00006B030000}"/>
    <cellStyle name="Comma 27 5" xfId="4114" xr:uid="{00000000-0005-0000-0000-00006C030000}"/>
    <cellStyle name="Comma 28" xfId="738" xr:uid="{00000000-0005-0000-0000-00006D030000}"/>
    <cellStyle name="Comma 29" xfId="739" xr:uid="{00000000-0005-0000-0000-00006E030000}"/>
    <cellStyle name="Comma 29 2" xfId="740" xr:uid="{00000000-0005-0000-0000-00006F030000}"/>
    <cellStyle name="Comma 29 2 2" xfId="741" xr:uid="{00000000-0005-0000-0000-000070030000}"/>
    <cellStyle name="Comma 29 2 2 2" xfId="4122" xr:uid="{00000000-0005-0000-0000-000071030000}"/>
    <cellStyle name="Comma 29 2 3" xfId="4121" xr:uid="{00000000-0005-0000-0000-000072030000}"/>
    <cellStyle name="Comma 29 3" xfId="742" xr:uid="{00000000-0005-0000-0000-000073030000}"/>
    <cellStyle name="Comma 29 3 2" xfId="743" xr:uid="{00000000-0005-0000-0000-000074030000}"/>
    <cellStyle name="Comma 29 3 2 2" xfId="4124" xr:uid="{00000000-0005-0000-0000-000075030000}"/>
    <cellStyle name="Comma 29 3 3" xfId="4123" xr:uid="{00000000-0005-0000-0000-000076030000}"/>
    <cellStyle name="Comma 29 4" xfId="744" xr:uid="{00000000-0005-0000-0000-000077030000}"/>
    <cellStyle name="Comma 29 4 2" xfId="4125" xr:uid="{00000000-0005-0000-0000-000078030000}"/>
    <cellStyle name="Comma 29 5" xfId="4120" xr:uid="{00000000-0005-0000-0000-000079030000}"/>
    <cellStyle name="Comma 3" xfId="9" xr:uid="{00000000-0005-0000-0000-00007A030000}"/>
    <cellStyle name="Comma 3 2" xfId="10" xr:uid="{00000000-0005-0000-0000-00007B030000}"/>
    <cellStyle name="Comma 3 2 2" xfId="745" xr:uid="{00000000-0005-0000-0000-00007C030000}"/>
    <cellStyle name="Comma 3 2 2 2" xfId="4126" xr:uid="{00000000-0005-0000-0000-00007D030000}"/>
    <cellStyle name="Comma 3 2 3" xfId="3947" xr:uid="{00000000-0005-0000-0000-00007E030000}"/>
    <cellStyle name="Comma 3 3" xfId="746" xr:uid="{00000000-0005-0000-0000-00007F030000}"/>
    <cellStyle name="Comma 3 3 2" xfId="4127" xr:uid="{00000000-0005-0000-0000-000080030000}"/>
    <cellStyle name="Comma 3 4" xfId="747" xr:uid="{00000000-0005-0000-0000-000081030000}"/>
    <cellStyle name="Comma 3 4 2" xfId="4128" xr:uid="{00000000-0005-0000-0000-000082030000}"/>
    <cellStyle name="Comma 3 5" xfId="748" xr:uid="{00000000-0005-0000-0000-000083030000}"/>
    <cellStyle name="Comma 3 6" xfId="749" xr:uid="{00000000-0005-0000-0000-000084030000}"/>
    <cellStyle name="Comma 30" xfId="750" xr:uid="{00000000-0005-0000-0000-000085030000}"/>
    <cellStyle name="Comma 30 2" xfId="4129" xr:uid="{00000000-0005-0000-0000-000086030000}"/>
    <cellStyle name="Comma 31" xfId="751" xr:uid="{00000000-0005-0000-0000-000087030000}"/>
    <cellStyle name="Comma 31 2" xfId="4130" xr:uid="{00000000-0005-0000-0000-000088030000}"/>
    <cellStyle name="Comma 32" xfId="752" xr:uid="{00000000-0005-0000-0000-000089030000}"/>
    <cellStyle name="Comma 32 2" xfId="4131" xr:uid="{00000000-0005-0000-0000-00008A030000}"/>
    <cellStyle name="Comma 33" xfId="753" xr:uid="{00000000-0005-0000-0000-00008B030000}"/>
    <cellStyle name="Comma 33 2" xfId="4132" xr:uid="{00000000-0005-0000-0000-00008C030000}"/>
    <cellStyle name="Comma 34" xfId="754" xr:uid="{00000000-0005-0000-0000-00008D030000}"/>
    <cellStyle name="Comma 34 2" xfId="4133" xr:uid="{00000000-0005-0000-0000-00008E030000}"/>
    <cellStyle name="Comma 35" xfId="755" xr:uid="{00000000-0005-0000-0000-00008F030000}"/>
    <cellStyle name="Comma 35 2" xfId="4134" xr:uid="{00000000-0005-0000-0000-000090030000}"/>
    <cellStyle name="Comma 36" xfId="756" xr:uid="{00000000-0005-0000-0000-000091030000}"/>
    <cellStyle name="Comma 36 2" xfId="4135" xr:uid="{00000000-0005-0000-0000-000092030000}"/>
    <cellStyle name="Comma 37" xfId="757" xr:uid="{00000000-0005-0000-0000-000093030000}"/>
    <cellStyle name="Comma 37 2" xfId="4136" xr:uid="{00000000-0005-0000-0000-000094030000}"/>
    <cellStyle name="Comma 38" xfId="758" xr:uid="{00000000-0005-0000-0000-000095030000}"/>
    <cellStyle name="Comma 38 2" xfId="4137" xr:uid="{00000000-0005-0000-0000-000096030000}"/>
    <cellStyle name="Comma 39" xfId="759" xr:uid="{00000000-0005-0000-0000-000097030000}"/>
    <cellStyle name="Comma 39 2" xfId="4138" xr:uid="{00000000-0005-0000-0000-000098030000}"/>
    <cellStyle name="Comma 4" xfId="760" xr:uid="{00000000-0005-0000-0000-000099030000}"/>
    <cellStyle name="Comma 4 10" xfId="761" xr:uid="{00000000-0005-0000-0000-00009A030000}"/>
    <cellStyle name="Comma 4 10 2" xfId="4139" xr:uid="{00000000-0005-0000-0000-00009B030000}"/>
    <cellStyle name="Comma 4 2" xfId="762" xr:uid="{00000000-0005-0000-0000-00009C030000}"/>
    <cellStyle name="Comma 4 2 2" xfId="4140" xr:uid="{00000000-0005-0000-0000-00009D030000}"/>
    <cellStyle name="Comma 4 3" xfId="763" xr:uid="{00000000-0005-0000-0000-00009E030000}"/>
    <cellStyle name="Comma 4 3 2" xfId="764" xr:uid="{00000000-0005-0000-0000-00009F030000}"/>
    <cellStyle name="Comma 4 3 2 2" xfId="765" xr:uid="{00000000-0005-0000-0000-0000A0030000}"/>
    <cellStyle name="Comma 4 3 2 2 2" xfId="4143" xr:uid="{00000000-0005-0000-0000-0000A1030000}"/>
    <cellStyle name="Comma 4 3 2 3" xfId="4142" xr:uid="{00000000-0005-0000-0000-0000A2030000}"/>
    <cellStyle name="Comma 4 3 3" xfId="766" xr:uid="{00000000-0005-0000-0000-0000A3030000}"/>
    <cellStyle name="Comma 4 3 3 2" xfId="767" xr:uid="{00000000-0005-0000-0000-0000A4030000}"/>
    <cellStyle name="Comma 4 3 3 2 2" xfId="4145" xr:uid="{00000000-0005-0000-0000-0000A5030000}"/>
    <cellStyle name="Comma 4 3 3 3" xfId="4144" xr:uid="{00000000-0005-0000-0000-0000A6030000}"/>
    <cellStyle name="Comma 4 3 4" xfId="768" xr:uid="{00000000-0005-0000-0000-0000A7030000}"/>
    <cellStyle name="Comma 4 3 4 2" xfId="4146" xr:uid="{00000000-0005-0000-0000-0000A8030000}"/>
    <cellStyle name="Comma 4 3 5" xfId="4141" xr:uid="{00000000-0005-0000-0000-0000A9030000}"/>
    <cellStyle name="Comma 4 4" xfId="769" xr:uid="{00000000-0005-0000-0000-0000AA030000}"/>
    <cellStyle name="Comma 4 4 2" xfId="770" xr:uid="{00000000-0005-0000-0000-0000AB030000}"/>
    <cellStyle name="Comma 4 4 2 2" xfId="771" xr:uid="{00000000-0005-0000-0000-0000AC030000}"/>
    <cellStyle name="Comma 4 4 2 2 2" xfId="4149" xr:uid="{00000000-0005-0000-0000-0000AD030000}"/>
    <cellStyle name="Comma 4 4 2 3" xfId="4148" xr:uid="{00000000-0005-0000-0000-0000AE030000}"/>
    <cellStyle name="Comma 4 4 3" xfId="772" xr:uid="{00000000-0005-0000-0000-0000AF030000}"/>
    <cellStyle name="Comma 4 4 3 2" xfId="773" xr:uid="{00000000-0005-0000-0000-0000B0030000}"/>
    <cellStyle name="Comma 4 4 3 2 2" xfId="4151" xr:uid="{00000000-0005-0000-0000-0000B1030000}"/>
    <cellStyle name="Comma 4 4 3 3" xfId="4150" xr:uid="{00000000-0005-0000-0000-0000B2030000}"/>
    <cellStyle name="Comma 4 4 4" xfId="774" xr:uid="{00000000-0005-0000-0000-0000B3030000}"/>
    <cellStyle name="Comma 4 4 4 2" xfId="4152" xr:uid="{00000000-0005-0000-0000-0000B4030000}"/>
    <cellStyle name="Comma 4 4 5" xfId="4147" xr:uid="{00000000-0005-0000-0000-0000B5030000}"/>
    <cellStyle name="Comma 4 5" xfId="775" xr:uid="{00000000-0005-0000-0000-0000B6030000}"/>
    <cellStyle name="Comma 4 6" xfId="776" xr:uid="{00000000-0005-0000-0000-0000B7030000}"/>
    <cellStyle name="Comma 4 6 2" xfId="777" xr:uid="{00000000-0005-0000-0000-0000B8030000}"/>
    <cellStyle name="Comma 4 6 2 2" xfId="4154" xr:uid="{00000000-0005-0000-0000-0000B9030000}"/>
    <cellStyle name="Comma 4 6 3" xfId="4153" xr:uid="{00000000-0005-0000-0000-0000BA030000}"/>
    <cellStyle name="Comma 4 7" xfId="778" xr:uid="{00000000-0005-0000-0000-0000BB030000}"/>
    <cellStyle name="Comma 4 7 2" xfId="779" xr:uid="{00000000-0005-0000-0000-0000BC030000}"/>
    <cellStyle name="Comma 4 7 2 2" xfId="4156" xr:uid="{00000000-0005-0000-0000-0000BD030000}"/>
    <cellStyle name="Comma 4 7 3" xfId="4155" xr:uid="{00000000-0005-0000-0000-0000BE030000}"/>
    <cellStyle name="Comma 4 8" xfId="780" xr:uid="{00000000-0005-0000-0000-0000BF030000}"/>
    <cellStyle name="Comma 4 8 2" xfId="4157" xr:uid="{00000000-0005-0000-0000-0000C0030000}"/>
    <cellStyle name="Comma 4 9" xfId="781" xr:uid="{00000000-0005-0000-0000-0000C1030000}"/>
    <cellStyle name="Comma 4 9 2" xfId="4158" xr:uid="{00000000-0005-0000-0000-0000C2030000}"/>
    <cellStyle name="Comma 40" xfId="782" xr:uid="{00000000-0005-0000-0000-0000C3030000}"/>
    <cellStyle name="Comma 40 2" xfId="4159" xr:uid="{00000000-0005-0000-0000-0000C4030000}"/>
    <cellStyle name="Comma 41" xfId="783" xr:uid="{00000000-0005-0000-0000-0000C5030000}"/>
    <cellStyle name="Comma 41 2" xfId="4160" xr:uid="{00000000-0005-0000-0000-0000C6030000}"/>
    <cellStyle name="Comma 42" xfId="784" xr:uid="{00000000-0005-0000-0000-0000C7030000}"/>
    <cellStyle name="Comma 42 2" xfId="4161" xr:uid="{00000000-0005-0000-0000-0000C8030000}"/>
    <cellStyle name="Comma 43" xfId="785" xr:uid="{00000000-0005-0000-0000-0000C9030000}"/>
    <cellStyle name="Comma 43 2" xfId="4162" xr:uid="{00000000-0005-0000-0000-0000CA030000}"/>
    <cellStyle name="Comma 44" xfId="786" xr:uid="{00000000-0005-0000-0000-0000CB030000}"/>
    <cellStyle name="Comma 44 2" xfId="4163" xr:uid="{00000000-0005-0000-0000-0000CC030000}"/>
    <cellStyle name="Comma 45" xfId="787" xr:uid="{00000000-0005-0000-0000-0000CD030000}"/>
    <cellStyle name="Comma 46" xfId="788" xr:uid="{00000000-0005-0000-0000-0000CE030000}"/>
    <cellStyle name="Comma 47" xfId="789" xr:uid="{00000000-0005-0000-0000-0000CF030000}"/>
    <cellStyle name="Comma 48" xfId="790" xr:uid="{00000000-0005-0000-0000-0000D0030000}"/>
    <cellStyle name="Comma 49" xfId="791" xr:uid="{00000000-0005-0000-0000-0000D1030000}"/>
    <cellStyle name="Comma 5" xfId="792" xr:uid="{00000000-0005-0000-0000-0000D2030000}"/>
    <cellStyle name="Comma 5 2" xfId="793" xr:uid="{00000000-0005-0000-0000-0000D3030000}"/>
    <cellStyle name="Comma 5 2 2" xfId="794" xr:uid="{00000000-0005-0000-0000-0000D4030000}"/>
    <cellStyle name="Comma 5 2 2 2" xfId="795" xr:uid="{00000000-0005-0000-0000-0000D5030000}"/>
    <cellStyle name="Comma 5 2 2 2 2" xfId="4166" xr:uid="{00000000-0005-0000-0000-0000D6030000}"/>
    <cellStyle name="Comma 5 2 2 3" xfId="4165" xr:uid="{00000000-0005-0000-0000-0000D7030000}"/>
    <cellStyle name="Comma 5 2 3" xfId="796" xr:uid="{00000000-0005-0000-0000-0000D8030000}"/>
    <cellStyle name="Comma 5 2 3 2" xfId="797" xr:uid="{00000000-0005-0000-0000-0000D9030000}"/>
    <cellStyle name="Comma 5 2 3 2 2" xfId="4168" xr:uid="{00000000-0005-0000-0000-0000DA030000}"/>
    <cellStyle name="Comma 5 2 3 3" xfId="4167" xr:uid="{00000000-0005-0000-0000-0000DB030000}"/>
    <cellStyle name="Comma 5 2 4" xfId="798" xr:uid="{00000000-0005-0000-0000-0000DC030000}"/>
    <cellStyle name="Comma 5 2 4 2" xfId="4169" xr:uid="{00000000-0005-0000-0000-0000DD030000}"/>
    <cellStyle name="Comma 5 2 5" xfId="4164" xr:uid="{00000000-0005-0000-0000-0000DE030000}"/>
    <cellStyle name="Comma 5 3" xfId="799" xr:uid="{00000000-0005-0000-0000-0000DF030000}"/>
    <cellStyle name="Comma 5 3 2" xfId="800" xr:uid="{00000000-0005-0000-0000-0000E0030000}"/>
    <cellStyle name="Comma 5 3 2 2" xfId="801" xr:uid="{00000000-0005-0000-0000-0000E1030000}"/>
    <cellStyle name="Comma 5 3 2 2 2" xfId="802" xr:uid="{00000000-0005-0000-0000-0000E2030000}"/>
    <cellStyle name="Comma 5 3 2 2 2 2" xfId="4173" xr:uid="{00000000-0005-0000-0000-0000E3030000}"/>
    <cellStyle name="Comma 5 3 2 2 3" xfId="4172" xr:uid="{00000000-0005-0000-0000-0000E4030000}"/>
    <cellStyle name="Comma 5 3 2 3" xfId="803" xr:uid="{00000000-0005-0000-0000-0000E5030000}"/>
    <cellStyle name="Comma 5 3 2 3 2" xfId="804" xr:uid="{00000000-0005-0000-0000-0000E6030000}"/>
    <cellStyle name="Comma 5 3 2 3 2 2" xfId="4175" xr:uid="{00000000-0005-0000-0000-0000E7030000}"/>
    <cellStyle name="Comma 5 3 2 3 3" xfId="4174" xr:uid="{00000000-0005-0000-0000-0000E8030000}"/>
    <cellStyle name="Comma 5 3 2 4" xfId="805" xr:uid="{00000000-0005-0000-0000-0000E9030000}"/>
    <cellStyle name="Comma 5 3 2 4 2" xfId="4176" xr:uid="{00000000-0005-0000-0000-0000EA030000}"/>
    <cellStyle name="Comma 5 3 2 5" xfId="4171" xr:uid="{00000000-0005-0000-0000-0000EB030000}"/>
    <cellStyle name="Comma 5 3 3" xfId="806" xr:uid="{00000000-0005-0000-0000-0000EC030000}"/>
    <cellStyle name="Comma 5 3 3 2" xfId="807" xr:uid="{00000000-0005-0000-0000-0000ED030000}"/>
    <cellStyle name="Comma 5 3 3 2 2" xfId="4178" xr:uid="{00000000-0005-0000-0000-0000EE030000}"/>
    <cellStyle name="Comma 5 3 3 3" xfId="4177" xr:uid="{00000000-0005-0000-0000-0000EF030000}"/>
    <cellStyle name="Comma 5 3 4" xfId="808" xr:uid="{00000000-0005-0000-0000-0000F0030000}"/>
    <cellStyle name="Comma 5 3 4 2" xfId="809" xr:uid="{00000000-0005-0000-0000-0000F1030000}"/>
    <cellStyle name="Comma 5 3 4 2 2" xfId="4180" xr:uid="{00000000-0005-0000-0000-0000F2030000}"/>
    <cellStyle name="Comma 5 3 4 3" xfId="4179" xr:uid="{00000000-0005-0000-0000-0000F3030000}"/>
    <cellStyle name="Comma 5 3 5" xfId="810" xr:uid="{00000000-0005-0000-0000-0000F4030000}"/>
    <cellStyle name="Comma 5 3 5 2" xfId="4181" xr:uid="{00000000-0005-0000-0000-0000F5030000}"/>
    <cellStyle name="Comma 5 3 6" xfId="4170" xr:uid="{00000000-0005-0000-0000-0000F6030000}"/>
    <cellStyle name="Comma 5 4" xfId="811" xr:uid="{00000000-0005-0000-0000-0000F7030000}"/>
    <cellStyle name="Comma 5 4 2" xfId="812" xr:uid="{00000000-0005-0000-0000-0000F8030000}"/>
    <cellStyle name="Comma 5 4 2 2" xfId="813" xr:uid="{00000000-0005-0000-0000-0000F9030000}"/>
    <cellStyle name="Comma 5 4 2 2 2" xfId="4184" xr:uid="{00000000-0005-0000-0000-0000FA030000}"/>
    <cellStyle name="Comma 5 4 2 3" xfId="4183" xr:uid="{00000000-0005-0000-0000-0000FB030000}"/>
    <cellStyle name="Comma 5 4 3" xfId="814" xr:uid="{00000000-0005-0000-0000-0000FC030000}"/>
    <cellStyle name="Comma 5 4 3 2" xfId="815" xr:uid="{00000000-0005-0000-0000-0000FD030000}"/>
    <cellStyle name="Comma 5 4 3 2 2" xfId="4186" xr:uid="{00000000-0005-0000-0000-0000FE030000}"/>
    <cellStyle name="Comma 5 4 3 3" xfId="4185" xr:uid="{00000000-0005-0000-0000-0000FF030000}"/>
    <cellStyle name="Comma 5 4 4" xfId="816" xr:uid="{00000000-0005-0000-0000-000000040000}"/>
    <cellStyle name="Comma 5 4 4 2" xfId="4187" xr:uid="{00000000-0005-0000-0000-000001040000}"/>
    <cellStyle name="Comma 5 4 5" xfId="4182" xr:uid="{00000000-0005-0000-0000-000002040000}"/>
    <cellStyle name="Comma 5 5" xfId="817" xr:uid="{00000000-0005-0000-0000-000003040000}"/>
    <cellStyle name="Comma 5 5 2" xfId="818" xr:uid="{00000000-0005-0000-0000-000004040000}"/>
    <cellStyle name="Comma 5 5 2 2" xfId="819" xr:uid="{00000000-0005-0000-0000-000005040000}"/>
    <cellStyle name="Comma 5 5 2 2 2" xfId="4190" xr:uid="{00000000-0005-0000-0000-000006040000}"/>
    <cellStyle name="Comma 5 5 2 3" xfId="4189" xr:uid="{00000000-0005-0000-0000-000007040000}"/>
    <cellStyle name="Comma 5 5 3" xfId="820" xr:uid="{00000000-0005-0000-0000-000008040000}"/>
    <cellStyle name="Comma 5 5 3 2" xfId="821" xr:uid="{00000000-0005-0000-0000-000009040000}"/>
    <cellStyle name="Comma 5 5 3 2 2" xfId="4192" xr:uid="{00000000-0005-0000-0000-00000A040000}"/>
    <cellStyle name="Comma 5 5 3 3" xfId="4191" xr:uid="{00000000-0005-0000-0000-00000B040000}"/>
    <cellStyle name="Comma 5 5 4" xfId="822" xr:uid="{00000000-0005-0000-0000-00000C040000}"/>
    <cellStyle name="Comma 5 5 4 2" xfId="4193" xr:uid="{00000000-0005-0000-0000-00000D040000}"/>
    <cellStyle name="Comma 5 5 5" xfId="4188" xr:uid="{00000000-0005-0000-0000-00000E040000}"/>
    <cellStyle name="Comma 5 6" xfId="823" xr:uid="{00000000-0005-0000-0000-00000F040000}"/>
    <cellStyle name="Comma 5 6 2" xfId="4194" xr:uid="{00000000-0005-0000-0000-000010040000}"/>
    <cellStyle name="Comma 5 7" xfId="824" xr:uid="{00000000-0005-0000-0000-000011040000}"/>
    <cellStyle name="Comma 5 7 2" xfId="4195" xr:uid="{00000000-0005-0000-0000-000012040000}"/>
    <cellStyle name="Comma 50" xfId="4415" xr:uid="{00000000-0005-0000-0000-000013040000}"/>
    <cellStyle name="Comma 51" xfId="4416" xr:uid="{00000000-0005-0000-0000-000014040000}"/>
    <cellStyle name="Comma 52" xfId="4423" xr:uid="{00000000-0005-0000-0000-000015040000}"/>
    <cellStyle name="Comma 53" xfId="4427" xr:uid="{54333DDD-8642-415B-A6BF-CA49E5DC5C60}"/>
    <cellStyle name="Comma 6" xfId="825" xr:uid="{00000000-0005-0000-0000-000016040000}"/>
    <cellStyle name="Comma 6 2" xfId="826" xr:uid="{00000000-0005-0000-0000-000017040000}"/>
    <cellStyle name="Comma 6 2 2" xfId="827" xr:uid="{00000000-0005-0000-0000-000018040000}"/>
    <cellStyle name="Comma 6 2 2 2" xfId="828" xr:uid="{00000000-0005-0000-0000-000019040000}"/>
    <cellStyle name="Comma 6 2 2 2 2" xfId="4199" xr:uid="{00000000-0005-0000-0000-00001A040000}"/>
    <cellStyle name="Comma 6 2 2 3" xfId="4198" xr:uid="{00000000-0005-0000-0000-00001B040000}"/>
    <cellStyle name="Comma 6 2 3" xfId="829" xr:uid="{00000000-0005-0000-0000-00001C040000}"/>
    <cellStyle name="Comma 6 2 3 2" xfId="830" xr:uid="{00000000-0005-0000-0000-00001D040000}"/>
    <cellStyle name="Comma 6 2 3 2 2" xfId="4201" xr:uid="{00000000-0005-0000-0000-00001E040000}"/>
    <cellStyle name="Comma 6 2 3 3" xfId="4200" xr:uid="{00000000-0005-0000-0000-00001F040000}"/>
    <cellStyle name="Comma 6 2 4" xfId="831" xr:uid="{00000000-0005-0000-0000-000020040000}"/>
    <cellStyle name="Comma 6 2 4 2" xfId="4202" xr:uid="{00000000-0005-0000-0000-000021040000}"/>
    <cellStyle name="Comma 6 2 5" xfId="4197" xr:uid="{00000000-0005-0000-0000-000022040000}"/>
    <cellStyle name="Comma 6 3" xfId="832" xr:uid="{00000000-0005-0000-0000-000023040000}"/>
    <cellStyle name="Comma 6 3 2" xfId="833" xr:uid="{00000000-0005-0000-0000-000024040000}"/>
    <cellStyle name="Comma 6 3 2 2" xfId="834" xr:uid="{00000000-0005-0000-0000-000025040000}"/>
    <cellStyle name="Comma 6 3 2 2 2" xfId="4205" xr:uid="{00000000-0005-0000-0000-000026040000}"/>
    <cellStyle name="Comma 6 3 2 3" xfId="4204" xr:uid="{00000000-0005-0000-0000-000027040000}"/>
    <cellStyle name="Comma 6 3 3" xfId="835" xr:uid="{00000000-0005-0000-0000-000028040000}"/>
    <cellStyle name="Comma 6 3 3 2" xfId="836" xr:uid="{00000000-0005-0000-0000-000029040000}"/>
    <cellStyle name="Comma 6 3 3 2 2" xfId="4207" xr:uid="{00000000-0005-0000-0000-00002A040000}"/>
    <cellStyle name="Comma 6 3 3 3" xfId="4206" xr:uid="{00000000-0005-0000-0000-00002B040000}"/>
    <cellStyle name="Comma 6 3 4" xfId="837" xr:uid="{00000000-0005-0000-0000-00002C040000}"/>
    <cellStyle name="Comma 6 3 4 2" xfId="4208" xr:uid="{00000000-0005-0000-0000-00002D040000}"/>
    <cellStyle name="Comma 6 3 5" xfId="4203" xr:uid="{00000000-0005-0000-0000-00002E040000}"/>
    <cellStyle name="Comma 6 4" xfId="838" xr:uid="{00000000-0005-0000-0000-00002F040000}"/>
    <cellStyle name="Comma 6 4 2" xfId="839" xr:uid="{00000000-0005-0000-0000-000030040000}"/>
    <cellStyle name="Comma 6 4 2 2" xfId="840" xr:uid="{00000000-0005-0000-0000-000031040000}"/>
    <cellStyle name="Comma 6 4 2 2 2" xfId="4211" xr:uid="{00000000-0005-0000-0000-000032040000}"/>
    <cellStyle name="Comma 6 4 2 3" xfId="4210" xr:uid="{00000000-0005-0000-0000-000033040000}"/>
    <cellStyle name="Comma 6 4 3" xfId="841" xr:uid="{00000000-0005-0000-0000-000034040000}"/>
    <cellStyle name="Comma 6 4 3 2" xfId="842" xr:uid="{00000000-0005-0000-0000-000035040000}"/>
    <cellStyle name="Comma 6 4 3 2 2" xfId="4213" xr:uid="{00000000-0005-0000-0000-000036040000}"/>
    <cellStyle name="Comma 6 4 3 3" xfId="4212" xr:uid="{00000000-0005-0000-0000-000037040000}"/>
    <cellStyle name="Comma 6 4 4" xfId="843" xr:uid="{00000000-0005-0000-0000-000038040000}"/>
    <cellStyle name="Comma 6 4 4 2" xfId="4214" xr:uid="{00000000-0005-0000-0000-000039040000}"/>
    <cellStyle name="Comma 6 4 5" xfId="4209" xr:uid="{00000000-0005-0000-0000-00003A040000}"/>
    <cellStyle name="Comma 6 5" xfId="844" xr:uid="{00000000-0005-0000-0000-00003B040000}"/>
    <cellStyle name="Comma 6 5 2" xfId="845" xr:uid="{00000000-0005-0000-0000-00003C040000}"/>
    <cellStyle name="Comma 6 5 2 2" xfId="4216" xr:uid="{00000000-0005-0000-0000-00003D040000}"/>
    <cellStyle name="Comma 6 5 3" xfId="4215" xr:uid="{00000000-0005-0000-0000-00003E040000}"/>
    <cellStyle name="Comma 6 6" xfId="846" xr:uid="{00000000-0005-0000-0000-00003F040000}"/>
    <cellStyle name="Comma 6 6 2" xfId="847" xr:uid="{00000000-0005-0000-0000-000040040000}"/>
    <cellStyle name="Comma 6 6 2 2" xfId="4218" xr:uid="{00000000-0005-0000-0000-000041040000}"/>
    <cellStyle name="Comma 6 6 3" xfId="4217" xr:uid="{00000000-0005-0000-0000-000042040000}"/>
    <cellStyle name="Comma 6 7" xfId="848" xr:uid="{00000000-0005-0000-0000-000043040000}"/>
    <cellStyle name="Comma 6 7 2" xfId="4219" xr:uid="{00000000-0005-0000-0000-000044040000}"/>
    <cellStyle name="Comma 6 8" xfId="4196" xr:uid="{00000000-0005-0000-0000-000045040000}"/>
    <cellStyle name="Comma 7" xfId="849" xr:uid="{00000000-0005-0000-0000-000046040000}"/>
    <cellStyle name="Comma 7 2" xfId="850" xr:uid="{00000000-0005-0000-0000-000047040000}"/>
    <cellStyle name="Comma 7 2 2" xfId="851" xr:uid="{00000000-0005-0000-0000-000048040000}"/>
    <cellStyle name="Comma 7 2 2 2" xfId="852" xr:uid="{00000000-0005-0000-0000-000049040000}"/>
    <cellStyle name="Comma 7 2 2 2 2" xfId="4223" xr:uid="{00000000-0005-0000-0000-00004A040000}"/>
    <cellStyle name="Comma 7 2 2 3" xfId="4222" xr:uid="{00000000-0005-0000-0000-00004B040000}"/>
    <cellStyle name="Comma 7 2 3" xfId="853" xr:uid="{00000000-0005-0000-0000-00004C040000}"/>
    <cellStyle name="Comma 7 2 3 2" xfId="854" xr:uid="{00000000-0005-0000-0000-00004D040000}"/>
    <cellStyle name="Comma 7 2 3 2 2" xfId="4225" xr:uid="{00000000-0005-0000-0000-00004E040000}"/>
    <cellStyle name="Comma 7 2 3 3" xfId="4224" xr:uid="{00000000-0005-0000-0000-00004F040000}"/>
    <cellStyle name="Comma 7 2 4" xfId="855" xr:uid="{00000000-0005-0000-0000-000050040000}"/>
    <cellStyle name="Comma 7 2 4 2" xfId="4226" xr:uid="{00000000-0005-0000-0000-000051040000}"/>
    <cellStyle name="Comma 7 2 5" xfId="4221" xr:uid="{00000000-0005-0000-0000-000052040000}"/>
    <cellStyle name="Comma 7 3" xfId="856" xr:uid="{00000000-0005-0000-0000-000053040000}"/>
    <cellStyle name="Comma 7 3 2" xfId="857" xr:uid="{00000000-0005-0000-0000-000054040000}"/>
    <cellStyle name="Comma 7 3 2 2" xfId="858" xr:uid="{00000000-0005-0000-0000-000055040000}"/>
    <cellStyle name="Comma 7 3 2 2 2" xfId="4229" xr:uid="{00000000-0005-0000-0000-000056040000}"/>
    <cellStyle name="Comma 7 3 2 3" xfId="4228" xr:uid="{00000000-0005-0000-0000-000057040000}"/>
    <cellStyle name="Comma 7 3 3" xfId="859" xr:uid="{00000000-0005-0000-0000-000058040000}"/>
    <cellStyle name="Comma 7 3 3 2" xfId="860" xr:uid="{00000000-0005-0000-0000-000059040000}"/>
    <cellStyle name="Comma 7 3 3 2 2" xfId="4231" xr:uid="{00000000-0005-0000-0000-00005A040000}"/>
    <cellStyle name="Comma 7 3 3 3" xfId="4230" xr:uid="{00000000-0005-0000-0000-00005B040000}"/>
    <cellStyle name="Comma 7 3 4" xfId="861" xr:uid="{00000000-0005-0000-0000-00005C040000}"/>
    <cellStyle name="Comma 7 3 4 2" xfId="4232" xr:uid="{00000000-0005-0000-0000-00005D040000}"/>
    <cellStyle name="Comma 7 3 5" xfId="4227" xr:uid="{00000000-0005-0000-0000-00005E040000}"/>
    <cellStyle name="Comma 7 4" xfId="862" xr:uid="{00000000-0005-0000-0000-00005F040000}"/>
    <cellStyle name="Comma 7 4 2" xfId="863" xr:uid="{00000000-0005-0000-0000-000060040000}"/>
    <cellStyle name="Comma 7 4 2 2" xfId="4234" xr:uid="{00000000-0005-0000-0000-000061040000}"/>
    <cellStyle name="Comma 7 4 3" xfId="4233" xr:uid="{00000000-0005-0000-0000-000062040000}"/>
    <cellStyle name="Comma 7 5" xfId="864" xr:uid="{00000000-0005-0000-0000-000063040000}"/>
    <cellStyle name="Comma 7 5 2" xfId="865" xr:uid="{00000000-0005-0000-0000-000064040000}"/>
    <cellStyle name="Comma 7 5 2 2" xfId="4236" xr:uid="{00000000-0005-0000-0000-000065040000}"/>
    <cellStyle name="Comma 7 5 3" xfId="4235" xr:uid="{00000000-0005-0000-0000-000066040000}"/>
    <cellStyle name="Comma 7 6" xfId="866" xr:uid="{00000000-0005-0000-0000-000067040000}"/>
    <cellStyle name="Comma 7 6 2" xfId="4237" xr:uid="{00000000-0005-0000-0000-000068040000}"/>
    <cellStyle name="Comma 7 7" xfId="867" xr:uid="{00000000-0005-0000-0000-000069040000}"/>
    <cellStyle name="Comma 7 7 2" xfId="4238" xr:uid="{00000000-0005-0000-0000-00006A040000}"/>
    <cellStyle name="Comma 7 8" xfId="868" xr:uid="{00000000-0005-0000-0000-00006B040000}"/>
    <cellStyle name="Comma 7 8 2" xfId="4239" xr:uid="{00000000-0005-0000-0000-00006C040000}"/>
    <cellStyle name="Comma 7 9" xfId="4220" xr:uid="{00000000-0005-0000-0000-00006D040000}"/>
    <cellStyle name="Comma 8" xfId="869" xr:uid="{00000000-0005-0000-0000-00006E040000}"/>
    <cellStyle name="Comma 8 10" xfId="870" xr:uid="{00000000-0005-0000-0000-00006F040000}"/>
    <cellStyle name="Comma 8 10 2" xfId="871" xr:uid="{00000000-0005-0000-0000-000070040000}"/>
    <cellStyle name="Comma 8 10 2 2" xfId="4242" xr:uid="{00000000-0005-0000-0000-000071040000}"/>
    <cellStyle name="Comma 8 10 3" xfId="4241" xr:uid="{00000000-0005-0000-0000-000072040000}"/>
    <cellStyle name="Comma 8 11" xfId="872" xr:uid="{00000000-0005-0000-0000-000073040000}"/>
    <cellStyle name="Comma 8 11 2" xfId="873" xr:uid="{00000000-0005-0000-0000-000074040000}"/>
    <cellStyle name="Comma 8 11 2 2" xfId="4244" xr:uid="{00000000-0005-0000-0000-000075040000}"/>
    <cellStyle name="Comma 8 11 3" xfId="4243" xr:uid="{00000000-0005-0000-0000-000076040000}"/>
    <cellStyle name="Comma 8 12" xfId="874" xr:uid="{00000000-0005-0000-0000-000077040000}"/>
    <cellStyle name="Comma 8 12 2" xfId="4245" xr:uid="{00000000-0005-0000-0000-000078040000}"/>
    <cellStyle name="Comma 8 13" xfId="4240" xr:uid="{00000000-0005-0000-0000-000079040000}"/>
    <cellStyle name="Comma 8 2" xfId="875" xr:uid="{00000000-0005-0000-0000-00007A040000}"/>
    <cellStyle name="Comma 8 2 2" xfId="876" xr:uid="{00000000-0005-0000-0000-00007B040000}"/>
    <cellStyle name="Comma 8 2 2 2" xfId="877" xr:uid="{00000000-0005-0000-0000-00007C040000}"/>
    <cellStyle name="Comma 8 2 2 2 2" xfId="4248" xr:uid="{00000000-0005-0000-0000-00007D040000}"/>
    <cellStyle name="Comma 8 2 2 3" xfId="4247" xr:uid="{00000000-0005-0000-0000-00007E040000}"/>
    <cellStyle name="Comma 8 2 3" xfId="878" xr:uid="{00000000-0005-0000-0000-00007F040000}"/>
    <cellStyle name="Comma 8 2 3 2" xfId="879" xr:uid="{00000000-0005-0000-0000-000080040000}"/>
    <cellStyle name="Comma 8 2 3 2 2" xfId="4250" xr:uid="{00000000-0005-0000-0000-000081040000}"/>
    <cellStyle name="Comma 8 2 3 3" xfId="4249" xr:uid="{00000000-0005-0000-0000-000082040000}"/>
    <cellStyle name="Comma 8 2 4" xfId="880" xr:uid="{00000000-0005-0000-0000-000083040000}"/>
    <cellStyle name="Comma 8 2 4 2" xfId="4251" xr:uid="{00000000-0005-0000-0000-000084040000}"/>
    <cellStyle name="Comma 8 2 5" xfId="4246" xr:uid="{00000000-0005-0000-0000-000085040000}"/>
    <cellStyle name="Comma 8 3" xfId="881" xr:uid="{00000000-0005-0000-0000-000086040000}"/>
    <cellStyle name="Comma 8 3 2" xfId="882" xr:uid="{00000000-0005-0000-0000-000087040000}"/>
    <cellStyle name="Comma 8 3 2 2" xfId="883" xr:uid="{00000000-0005-0000-0000-000088040000}"/>
    <cellStyle name="Comma 8 3 2 2 2" xfId="4254" xr:uid="{00000000-0005-0000-0000-000089040000}"/>
    <cellStyle name="Comma 8 3 2 3" xfId="4253" xr:uid="{00000000-0005-0000-0000-00008A040000}"/>
    <cellStyle name="Comma 8 3 3" xfId="884" xr:uid="{00000000-0005-0000-0000-00008B040000}"/>
    <cellStyle name="Comma 8 3 3 2" xfId="885" xr:uid="{00000000-0005-0000-0000-00008C040000}"/>
    <cellStyle name="Comma 8 3 3 2 2" xfId="4256" xr:uid="{00000000-0005-0000-0000-00008D040000}"/>
    <cellStyle name="Comma 8 3 3 3" xfId="4255" xr:uid="{00000000-0005-0000-0000-00008E040000}"/>
    <cellStyle name="Comma 8 3 4" xfId="886" xr:uid="{00000000-0005-0000-0000-00008F040000}"/>
    <cellStyle name="Comma 8 3 4 2" xfId="4257" xr:uid="{00000000-0005-0000-0000-000090040000}"/>
    <cellStyle name="Comma 8 3 5" xfId="4252" xr:uid="{00000000-0005-0000-0000-000091040000}"/>
    <cellStyle name="Comma 8 4" xfId="887" xr:uid="{00000000-0005-0000-0000-000092040000}"/>
    <cellStyle name="Comma 8 4 2" xfId="888" xr:uid="{00000000-0005-0000-0000-000093040000}"/>
    <cellStyle name="Comma 8 4 2 2" xfId="889" xr:uid="{00000000-0005-0000-0000-000094040000}"/>
    <cellStyle name="Comma 8 4 2 2 2" xfId="4260" xr:uid="{00000000-0005-0000-0000-000095040000}"/>
    <cellStyle name="Comma 8 4 2 3" xfId="4259" xr:uid="{00000000-0005-0000-0000-000096040000}"/>
    <cellStyle name="Comma 8 4 3" xfId="890" xr:uid="{00000000-0005-0000-0000-000097040000}"/>
    <cellStyle name="Comma 8 4 3 2" xfId="891" xr:uid="{00000000-0005-0000-0000-000098040000}"/>
    <cellStyle name="Comma 8 4 3 2 2" xfId="4262" xr:uid="{00000000-0005-0000-0000-000099040000}"/>
    <cellStyle name="Comma 8 4 3 3" xfId="4261" xr:uid="{00000000-0005-0000-0000-00009A040000}"/>
    <cellStyle name="Comma 8 4 4" xfId="892" xr:uid="{00000000-0005-0000-0000-00009B040000}"/>
    <cellStyle name="Comma 8 4 4 2" xfId="4263" xr:uid="{00000000-0005-0000-0000-00009C040000}"/>
    <cellStyle name="Comma 8 4 5" xfId="4258" xr:uid="{00000000-0005-0000-0000-00009D040000}"/>
    <cellStyle name="Comma 8 5" xfId="893" xr:uid="{00000000-0005-0000-0000-00009E040000}"/>
    <cellStyle name="Comma 8 5 2" xfId="894" xr:uid="{00000000-0005-0000-0000-00009F040000}"/>
    <cellStyle name="Comma 8 5 2 2" xfId="895" xr:uid="{00000000-0005-0000-0000-0000A0040000}"/>
    <cellStyle name="Comma 8 5 2 2 2" xfId="4266" xr:uid="{00000000-0005-0000-0000-0000A1040000}"/>
    <cellStyle name="Comma 8 5 2 3" xfId="4265" xr:uid="{00000000-0005-0000-0000-0000A2040000}"/>
    <cellStyle name="Comma 8 5 3" xfId="896" xr:uid="{00000000-0005-0000-0000-0000A3040000}"/>
    <cellStyle name="Comma 8 5 3 2" xfId="897" xr:uid="{00000000-0005-0000-0000-0000A4040000}"/>
    <cellStyle name="Comma 8 5 3 2 2" xfId="4268" xr:uid="{00000000-0005-0000-0000-0000A5040000}"/>
    <cellStyle name="Comma 8 5 3 3" xfId="4267" xr:uid="{00000000-0005-0000-0000-0000A6040000}"/>
    <cellStyle name="Comma 8 5 4" xfId="898" xr:uid="{00000000-0005-0000-0000-0000A7040000}"/>
    <cellStyle name="Comma 8 5 4 2" xfId="4269" xr:uid="{00000000-0005-0000-0000-0000A8040000}"/>
    <cellStyle name="Comma 8 5 5" xfId="4264" xr:uid="{00000000-0005-0000-0000-0000A9040000}"/>
    <cellStyle name="Comma 8 6" xfId="899" xr:uid="{00000000-0005-0000-0000-0000AA040000}"/>
    <cellStyle name="Comma 8 6 2" xfId="900" xr:uid="{00000000-0005-0000-0000-0000AB040000}"/>
    <cellStyle name="Comma 8 6 2 2" xfId="901" xr:uid="{00000000-0005-0000-0000-0000AC040000}"/>
    <cellStyle name="Comma 8 6 2 2 2" xfId="4272" xr:uid="{00000000-0005-0000-0000-0000AD040000}"/>
    <cellStyle name="Comma 8 6 2 3" xfId="4271" xr:uid="{00000000-0005-0000-0000-0000AE040000}"/>
    <cellStyle name="Comma 8 6 3" xfId="902" xr:uid="{00000000-0005-0000-0000-0000AF040000}"/>
    <cellStyle name="Comma 8 6 3 2" xfId="903" xr:uid="{00000000-0005-0000-0000-0000B0040000}"/>
    <cellStyle name="Comma 8 6 3 2 2" xfId="4274" xr:uid="{00000000-0005-0000-0000-0000B1040000}"/>
    <cellStyle name="Comma 8 6 3 3" xfId="4273" xr:uid="{00000000-0005-0000-0000-0000B2040000}"/>
    <cellStyle name="Comma 8 6 4" xfId="904" xr:uid="{00000000-0005-0000-0000-0000B3040000}"/>
    <cellStyle name="Comma 8 6 4 2" xfId="4275" xr:uid="{00000000-0005-0000-0000-0000B4040000}"/>
    <cellStyle name="Comma 8 6 5" xfId="4270" xr:uid="{00000000-0005-0000-0000-0000B5040000}"/>
    <cellStyle name="Comma 8 7" xfId="905" xr:uid="{00000000-0005-0000-0000-0000B6040000}"/>
    <cellStyle name="Comma 8 7 2" xfId="906" xr:uid="{00000000-0005-0000-0000-0000B7040000}"/>
    <cellStyle name="Comma 8 7 2 2" xfId="907" xr:uid="{00000000-0005-0000-0000-0000B8040000}"/>
    <cellStyle name="Comma 8 7 2 2 2" xfId="4278" xr:uid="{00000000-0005-0000-0000-0000B9040000}"/>
    <cellStyle name="Comma 8 7 2 3" xfId="4277" xr:uid="{00000000-0005-0000-0000-0000BA040000}"/>
    <cellStyle name="Comma 8 7 3" xfId="908" xr:uid="{00000000-0005-0000-0000-0000BB040000}"/>
    <cellStyle name="Comma 8 7 3 2" xfId="909" xr:uid="{00000000-0005-0000-0000-0000BC040000}"/>
    <cellStyle name="Comma 8 7 3 2 2" xfId="4280" xr:uid="{00000000-0005-0000-0000-0000BD040000}"/>
    <cellStyle name="Comma 8 7 3 3" xfId="4279" xr:uid="{00000000-0005-0000-0000-0000BE040000}"/>
    <cellStyle name="Comma 8 7 4" xfId="910" xr:uid="{00000000-0005-0000-0000-0000BF040000}"/>
    <cellStyle name="Comma 8 7 4 2" xfId="4281" xr:uid="{00000000-0005-0000-0000-0000C0040000}"/>
    <cellStyle name="Comma 8 7 5" xfId="4276" xr:uid="{00000000-0005-0000-0000-0000C1040000}"/>
    <cellStyle name="Comma 8 8" xfId="911" xr:uid="{00000000-0005-0000-0000-0000C2040000}"/>
    <cellStyle name="Comma 8 8 2" xfId="912" xr:uid="{00000000-0005-0000-0000-0000C3040000}"/>
    <cellStyle name="Comma 8 8 2 2" xfId="913" xr:uid="{00000000-0005-0000-0000-0000C4040000}"/>
    <cellStyle name="Comma 8 8 2 2 2" xfId="4284" xr:uid="{00000000-0005-0000-0000-0000C5040000}"/>
    <cellStyle name="Comma 8 8 2 3" xfId="4283" xr:uid="{00000000-0005-0000-0000-0000C6040000}"/>
    <cellStyle name="Comma 8 8 3" xfId="914" xr:uid="{00000000-0005-0000-0000-0000C7040000}"/>
    <cellStyle name="Comma 8 8 3 2" xfId="915" xr:uid="{00000000-0005-0000-0000-0000C8040000}"/>
    <cellStyle name="Comma 8 8 3 2 2" xfId="4286" xr:uid="{00000000-0005-0000-0000-0000C9040000}"/>
    <cellStyle name="Comma 8 8 3 3" xfId="4285" xr:uid="{00000000-0005-0000-0000-0000CA040000}"/>
    <cellStyle name="Comma 8 8 4" xfId="916" xr:uid="{00000000-0005-0000-0000-0000CB040000}"/>
    <cellStyle name="Comma 8 8 4 2" xfId="4287" xr:uid="{00000000-0005-0000-0000-0000CC040000}"/>
    <cellStyle name="Comma 8 8 5" xfId="4282" xr:uid="{00000000-0005-0000-0000-0000CD040000}"/>
    <cellStyle name="Comma 8 9" xfId="917" xr:uid="{00000000-0005-0000-0000-0000CE040000}"/>
    <cellStyle name="Comma 8 9 2" xfId="918" xr:uid="{00000000-0005-0000-0000-0000CF040000}"/>
    <cellStyle name="Comma 8 9 2 2" xfId="919" xr:uid="{00000000-0005-0000-0000-0000D0040000}"/>
    <cellStyle name="Comma 8 9 2 2 2" xfId="4290" xr:uid="{00000000-0005-0000-0000-0000D1040000}"/>
    <cellStyle name="Comma 8 9 2 3" xfId="4289" xr:uid="{00000000-0005-0000-0000-0000D2040000}"/>
    <cellStyle name="Comma 8 9 3" xfId="920" xr:uid="{00000000-0005-0000-0000-0000D3040000}"/>
    <cellStyle name="Comma 8 9 3 2" xfId="921" xr:uid="{00000000-0005-0000-0000-0000D4040000}"/>
    <cellStyle name="Comma 8 9 3 2 2" xfId="4292" xr:uid="{00000000-0005-0000-0000-0000D5040000}"/>
    <cellStyle name="Comma 8 9 3 3" xfId="4291" xr:uid="{00000000-0005-0000-0000-0000D6040000}"/>
    <cellStyle name="Comma 8 9 4" xfId="922" xr:uid="{00000000-0005-0000-0000-0000D7040000}"/>
    <cellStyle name="Comma 8 9 4 2" xfId="4293" xr:uid="{00000000-0005-0000-0000-0000D8040000}"/>
    <cellStyle name="Comma 8 9 5" xfId="4288" xr:uid="{00000000-0005-0000-0000-0000D9040000}"/>
    <cellStyle name="Comma 9" xfId="923" xr:uid="{00000000-0005-0000-0000-0000DA040000}"/>
    <cellStyle name="Comma 9 2" xfId="924" xr:uid="{00000000-0005-0000-0000-0000DB040000}"/>
    <cellStyle name="Comma 9 2 2" xfId="925" xr:uid="{00000000-0005-0000-0000-0000DC040000}"/>
    <cellStyle name="Comma 9 2 2 2" xfId="926" xr:uid="{00000000-0005-0000-0000-0000DD040000}"/>
    <cellStyle name="Comma 9 2 2 2 2" xfId="4297" xr:uid="{00000000-0005-0000-0000-0000DE040000}"/>
    <cellStyle name="Comma 9 2 2 3" xfId="4296" xr:uid="{00000000-0005-0000-0000-0000DF040000}"/>
    <cellStyle name="Comma 9 2 3" xfId="927" xr:uid="{00000000-0005-0000-0000-0000E0040000}"/>
    <cellStyle name="Comma 9 2 3 2" xfId="928" xr:uid="{00000000-0005-0000-0000-0000E1040000}"/>
    <cellStyle name="Comma 9 2 3 2 2" xfId="4299" xr:uid="{00000000-0005-0000-0000-0000E2040000}"/>
    <cellStyle name="Comma 9 2 3 3" xfId="4298" xr:uid="{00000000-0005-0000-0000-0000E3040000}"/>
    <cellStyle name="Comma 9 2 4" xfId="929" xr:uid="{00000000-0005-0000-0000-0000E4040000}"/>
    <cellStyle name="Comma 9 2 4 2" xfId="4300" xr:uid="{00000000-0005-0000-0000-0000E5040000}"/>
    <cellStyle name="Comma 9 2 5" xfId="4295" xr:uid="{00000000-0005-0000-0000-0000E6040000}"/>
    <cellStyle name="Comma 9 3" xfId="930" xr:uid="{00000000-0005-0000-0000-0000E7040000}"/>
    <cellStyle name="Comma 9 3 2" xfId="931" xr:uid="{00000000-0005-0000-0000-0000E8040000}"/>
    <cellStyle name="Comma 9 3 2 2" xfId="4302" xr:uid="{00000000-0005-0000-0000-0000E9040000}"/>
    <cellStyle name="Comma 9 3 3" xfId="4301" xr:uid="{00000000-0005-0000-0000-0000EA040000}"/>
    <cellStyle name="Comma 9 4" xfId="932" xr:uid="{00000000-0005-0000-0000-0000EB040000}"/>
    <cellStyle name="Comma 9 4 2" xfId="933" xr:uid="{00000000-0005-0000-0000-0000EC040000}"/>
    <cellStyle name="Comma 9 4 2 2" xfId="4304" xr:uid="{00000000-0005-0000-0000-0000ED040000}"/>
    <cellStyle name="Comma 9 4 3" xfId="4303" xr:uid="{00000000-0005-0000-0000-0000EE040000}"/>
    <cellStyle name="Comma 9 5" xfId="934" xr:uid="{00000000-0005-0000-0000-0000EF040000}"/>
    <cellStyle name="Comma 9 5 2" xfId="4305" xr:uid="{00000000-0005-0000-0000-0000F0040000}"/>
    <cellStyle name="Comma 9 6" xfId="4294" xr:uid="{00000000-0005-0000-0000-0000F1040000}"/>
    <cellStyle name="Comma_Oyv-demand template for Industrial commercial and residential data" xfId="11" xr:uid="{00000000-0005-0000-0000-0000F2040000}"/>
    <cellStyle name="Comma0" xfId="935" xr:uid="{00000000-0005-0000-0000-0000F3040000}"/>
    <cellStyle name="Constants" xfId="12" xr:uid="{00000000-0005-0000-0000-0000F4040000}"/>
    <cellStyle name="Currency 2" xfId="936" xr:uid="{00000000-0005-0000-0000-0000F5040000}"/>
    <cellStyle name="Currency 2 2" xfId="937" xr:uid="{00000000-0005-0000-0000-0000F6040000}"/>
    <cellStyle name="Currency 2 3" xfId="938" xr:uid="{00000000-0005-0000-0000-0000F7040000}"/>
    <cellStyle name="Currency 3" xfId="939" xr:uid="{00000000-0005-0000-0000-0000F8040000}"/>
    <cellStyle name="Currency 4" xfId="940" xr:uid="{00000000-0005-0000-0000-0000F9040000}"/>
    <cellStyle name="Currency0" xfId="941" xr:uid="{00000000-0005-0000-0000-0000FA040000}"/>
    <cellStyle name="Date" xfId="942" xr:uid="{00000000-0005-0000-0000-0000FB040000}"/>
    <cellStyle name="Empty_B_border" xfId="13" xr:uid="{00000000-0005-0000-0000-0000FC040000}"/>
    <cellStyle name="Excel Built-in Normal" xfId="14" xr:uid="{00000000-0005-0000-0000-0000FD040000}"/>
    <cellStyle name="Excel Built-in Normal 2" xfId="15" xr:uid="{00000000-0005-0000-0000-0000FE040000}"/>
    <cellStyle name="Excel Built-in Normal 2 2" xfId="943" xr:uid="{00000000-0005-0000-0000-0000FF040000}"/>
    <cellStyle name="Excel Built-in Normal 3" xfId="944" xr:uid="{00000000-0005-0000-0000-000000050000}"/>
    <cellStyle name="Excel Built-in Normal 3 2" xfId="945" xr:uid="{00000000-0005-0000-0000-000001050000}"/>
    <cellStyle name="Excel Built-in Normal 3 3" xfId="946" xr:uid="{00000000-0005-0000-0000-000002050000}"/>
    <cellStyle name="Excel Built-in Normal 3_AGL" xfId="947" xr:uid="{00000000-0005-0000-0000-000003050000}"/>
    <cellStyle name="Excel_BuiltIn_Comma" xfId="16" xr:uid="{00000000-0005-0000-0000-000004050000}"/>
    <cellStyle name="Explanatory Text 2" xfId="948" xr:uid="{00000000-0005-0000-0000-000005050000}"/>
    <cellStyle name="Explanatory Text 2 2" xfId="949" xr:uid="{00000000-0005-0000-0000-000006050000}"/>
    <cellStyle name="Explanatory Text 2 3" xfId="950" xr:uid="{00000000-0005-0000-0000-000007050000}"/>
    <cellStyle name="Explanatory Text 2_AGL" xfId="951" xr:uid="{00000000-0005-0000-0000-000008050000}"/>
    <cellStyle name="Explanatory Text 3" xfId="952" xr:uid="{00000000-0005-0000-0000-000009050000}"/>
    <cellStyle name="Explanatory Text 4" xfId="953" xr:uid="{00000000-0005-0000-0000-00000A050000}"/>
    <cellStyle name="External" xfId="17" xr:uid="{00000000-0005-0000-0000-00000B050000}"/>
    <cellStyle name="External 2" xfId="18" xr:uid="{00000000-0005-0000-0000-00000C050000}"/>
    <cellStyle name="External 2 2" xfId="954" xr:uid="{00000000-0005-0000-0000-00000D050000}"/>
    <cellStyle name="External 2 3" xfId="955" xr:uid="{00000000-0005-0000-0000-00000E050000}"/>
    <cellStyle name="External 2_AGL" xfId="956" xr:uid="{00000000-0005-0000-0000-00000F050000}"/>
    <cellStyle name="External 3" xfId="957" xr:uid="{00000000-0005-0000-0000-000010050000}"/>
    <cellStyle name="External 3 2" xfId="958" xr:uid="{00000000-0005-0000-0000-000011050000}"/>
    <cellStyle name="External 3 3" xfId="959" xr:uid="{00000000-0005-0000-0000-000012050000}"/>
    <cellStyle name="External 3_AGL" xfId="960" xr:uid="{00000000-0005-0000-0000-000013050000}"/>
    <cellStyle name="External 4" xfId="961" xr:uid="{00000000-0005-0000-0000-000014050000}"/>
    <cellStyle name="External 5" xfId="962" xr:uid="{00000000-0005-0000-0000-000015050000}"/>
    <cellStyle name="External_AGL" xfId="963" xr:uid="{00000000-0005-0000-0000-000016050000}"/>
    <cellStyle name="F2" xfId="964" xr:uid="{00000000-0005-0000-0000-000017050000}"/>
    <cellStyle name="F3" xfId="965" xr:uid="{00000000-0005-0000-0000-000018050000}"/>
    <cellStyle name="F4" xfId="966" xr:uid="{00000000-0005-0000-0000-000019050000}"/>
    <cellStyle name="F5" xfId="967" xr:uid="{00000000-0005-0000-0000-00001A050000}"/>
    <cellStyle name="F6" xfId="968" xr:uid="{00000000-0005-0000-0000-00001B050000}"/>
    <cellStyle name="F7" xfId="969" xr:uid="{00000000-0005-0000-0000-00001C050000}"/>
    <cellStyle name="F8" xfId="970" xr:uid="{00000000-0005-0000-0000-00001D050000}"/>
    <cellStyle name="Fixed" xfId="971" xr:uid="{00000000-0005-0000-0000-00001E050000}"/>
    <cellStyle name="Followed Hyperlink" xfId="3926" builtinId="9" hidden="1"/>
    <cellStyle name="Followed Hyperlink" xfId="3928" builtinId="9" hidden="1"/>
    <cellStyle name="Followed Hyperlink" xfId="3930" builtinId="9" hidden="1"/>
    <cellStyle name="Followed Hyperlink" xfId="3932" builtinId="9" hidden="1"/>
    <cellStyle name="Followed Hyperlink" xfId="3934" builtinId="9" hidden="1"/>
    <cellStyle name="Followed Hyperlink" xfId="3936" builtinId="9" hidden="1"/>
    <cellStyle name="Followed Hyperlink" xfId="3938" builtinId="9" hidden="1"/>
    <cellStyle name="Followed Hyperlink" xfId="3940" builtinId="9" hidden="1"/>
    <cellStyle name="Followed Hyperlink" xfId="3942" builtinId="9" hidden="1"/>
    <cellStyle name="Followed Hyperlink" xfId="3944" builtinId="9" hidden="1"/>
    <cellStyle name="Followed Hyperlink" xfId="3946" builtinId="9" hidden="1"/>
    <cellStyle name="Followed Hyperlink 10" xfId="972" xr:uid="{00000000-0005-0000-0000-00002A050000}"/>
    <cellStyle name="Followed Hyperlink 100" xfId="973" xr:uid="{00000000-0005-0000-0000-00002B050000}"/>
    <cellStyle name="Followed Hyperlink 101" xfId="974" xr:uid="{00000000-0005-0000-0000-00002C050000}"/>
    <cellStyle name="Followed Hyperlink 102" xfId="975" xr:uid="{00000000-0005-0000-0000-00002D050000}"/>
    <cellStyle name="Followed Hyperlink 103" xfId="976" xr:uid="{00000000-0005-0000-0000-00002E050000}"/>
    <cellStyle name="Followed Hyperlink 104" xfId="977" xr:uid="{00000000-0005-0000-0000-00002F050000}"/>
    <cellStyle name="Followed Hyperlink 105" xfId="978" xr:uid="{00000000-0005-0000-0000-000030050000}"/>
    <cellStyle name="Followed Hyperlink 106" xfId="979" xr:uid="{00000000-0005-0000-0000-000031050000}"/>
    <cellStyle name="Followed Hyperlink 107" xfId="980" xr:uid="{00000000-0005-0000-0000-000032050000}"/>
    <cellStyle name="Followed Hyperlink 108" xfId="981" xr:uid="{00000000-0005-0000-0000-000033050000}"/>
    <cellStyle name="Followed Hyperlink 109" xfId="982" xr:uid="{00000000-0005-0000-0000-000034050000}"/>
    <cellStyle name="Followed Hyperlink 11" xfId="983" xr:uid="{00000000-0005-0000-0000-000035050000}"/>
    <cellStyle name="Followed Hyperlink 110" xfId="984" xr:uid="{00000000-0005-0000-0000-000036050000}"/>
    <cellStyle name="Followed Hyperlink 111" xfId="985" xr:uid="{00000000-0005-0000-0000-000037050000}"/>
    <cellStyle name="Followed Hyperlink 112" xfId="986" xr:uid="{00000000-0005-0000-0000-000038050000}"/>
    <cellStyle name="Followed Hyperlink 113" xfId="987" xr:uid="{00000000-0005-0000-0000-000039050000}"/>
    <cellStyle name="Followed Hyperlink 114" xfId="988" xr:uid="{00000000-0005-0000-0000-00003A050000}"/>
    <cellStyle name="Followed Hyperlink 115" xfId="989" xr:uid="{00000000-0005-0000-0000-00003B050000}"/>
    <cellStyle name="Followed Hyperlink 116" xfId="990" xr:uid="{00000000-0005-0000-0000-00003C050000}"/>
    <cellStyle name="Followed Hyperlink 117" xfId="991" xr:uid="{00000000-0005-0000-0000-00003D050000}"/>
    <cellStyle name="Followed Hyperlink 118" xfId="992" xr:uid="{00000000-0005-0000-0000-00003E050000}"/>
    <cellStyle name="Followed Hyperlink 119" xfId="993" xr:uid="{00000000-0005-0000-0000-00003F050000}"/>
    <cellStyle name="Followed Hyperlink 12" xfId="994" xr:uid="{00000000-0005-0000-0000-000040050000}"/>
    <cellStyle name="Followed Hyperlink 120" xfId="995" xr:uid="{00000000-0005-0000-0000-000041050000}"/>
    <cellStyle name="Followed Hyperlink 121" xfId="996" xr:uid="{00000000-0005-0000-0000-000042050000}"/>
    <cellStyle name="Followed Hyperlink 122" xfId="997" xr:uid="{00000000-0005-0000-0000-000043050000}"/>
    <cellStyle name="Followed Hyperlink 123" xfId="998" xr:uid="{00000000-0005-0000-0000-000044050000}"/>
    <cellStyle name="Followed Hyperlink 124" xfId="999" xr:uid="{00000000-0005-0000-0000-000045050000}"/>
    <cellStyle name="Followed Hyperlink 125" xfId="1000" xr:uid="{00000000-0005-0000-0000-000046050000}"/>
    <cellStyle name="Followed Hyperlink 126" xfId="1001" xr:uid="{00000000-0005-0000-0000-000047050000}"/>
    <cellStyle name="Followed Hyperlink 127" xfId="1002" xr:uid="{00000000-0005-0000-0000-000048050000}"/>
    <cellStyle name="Followed Hyperlink 128" xfId="1003" xr:uid="{00000000-0005-0000-0000-000049050000}"/>
    <cellStyle name="Followed Hyperlink 129" xfId="1004" xr:uid="{00000000-0005-0000-0000-00004A050000}"/>
    <cellStyle name="Followed Hyperlink 13" xfId="1005" xr:uid="{00000000-0005-0000-0000-00004B050000}"/>
    <cellStyle name="Followed Hyperlink 130" xfId="1006" xr:uid="{00000000-0005-0000-0000-00004C050000}"/>
    <cellStyle name="Followed Hyperlink 131" xfId="1007" xr:uid="{00000000-0005-0000-0000-00004D050000}"/>
    <cellStyle name="Followed Hyperlink 132" xfId="1008" xr:uid="{00000000-0005-0000-0000-00004E050000}"/>
    <cellStyle name="Followed Hyperlink 133" xfId="1009" xr:uid="{00000000-0005-0000-0000-00004F050000}"/>
    <cellStyle name="Followed Hyperlink 134" xfId="1010" xr:uid="{00000000-0005-0000-0000-000050050000}"/>
    <cellStyle name="Followed Hyperlink 135" xfId="1011" xr:uid="{00000000-0005-0000-0000-000051050000}"/>
    <cellStyle name="Followed Hyperlink 136" xfId="1012" xr:uid="{00000000-0005-0000-0000-000052050000}"/>
    <cellStyle name="Followed Hyperlink 137" xfId="1013" xr:uid="{00000000-0005-0000-0000-000053050000}"/>
    <cellStyle name="Followed Hyperlink 138" xfId="1014" xr:uid="{00000000-0005-0000-0000-000054050000}"/>
    <cellStyle name="Followed Hyperlink 139" xfId="1015" xr:uid="{00000000-0005-0000-0000-000055050000}"/>
    <cellStyle name="Followed Hyperlink 14" xfId="1016" xr:uid="{00000000-0005-0000-0000-000056050000}"/>
    <cellStyle name="Followed Hyperlink 140" xfId="1017" xr:uid="{00000000-0005-0000-0000-000057050000}"/>
    <cellStyle name="Followed Hyperlink 141" xfId="1018" xr:uid="{00000000-0005-0000-0000-000058050000}"/>
    <cellStyle name="Followed Hyperlink 142" xfId="1019" xr:uid="{00000000-0005-0000-0000-000059050000}"/>
    <cellStyle name="Followed Hyperlink 143" xfId="1020" xr:uid="{00000000-0005-0000-0000-00005A050000}"/>
    <cellStyle name="Followed Hyperlink 144" xfId="1021" xr:uid="{00000000-0005-0000-0000-00005B050000}"/>
    <cellStyle name="Followed Hyperlink 145" xfId="1022" xr:uid="{00000000-0005-0000-0000-00005C050000}"/>
    <cellStyle name="Followed Hyperlink 146" xfId="1023" xr:uid="{00000000-0005-0000-0000-00005D050000}"/>
    <cellStyle name="Followed Hyperlink 147" xfId="1024" xr:uid="{00000000-0005-0000-0000-00005E050000}"/>
    <cellStyle name="Followed Hyperlink 148" xfId="1025" xr:uid="{00000000-0005-0000-0000-00005F050000}"/>
    <cellStyle name="Followed Hyperlink 149" xfId="1026" xr:uid="{00000000-0005-0000-0000-000060050000}"/>
    <cellStyle name="Followed Hyperlink 15" xfId="1027" xr:uid="{00000000-0005-0000-0000-000061050000}"/>
    <cellStyle name="Followed Hyperlink 150" xfId="1028" xr:uid="{00000000-0005-0000-0000-000062050000}"/>
    <cellStyle name="Followed Hyperlink 151" xfId="1029" xr:uid="{00000000-0005-0000-0000-000063050000}"/>
    <cellStyle name="Followed Hyperlink 152" xfId="1030" xr:uid="{00000000-0005-0000-0000-000064050000}"/>
    <cellStyle name="Followed Hyperlink 153" xfId="1031" xr:uid="{00000000-0005-0000-0000-000065050000}"/>
    <cellStyle name="Followed Hyperlink 154" xfId="1032" xr:uid="{00000000-0005-0000-0000-000066050000}"/>
    <cellStyle name="Followed Hyperlink 155" xfId="1033" xr:uid="{00000000-0005-0000-0000-000067050000}"/>
    <cellStyle name="Followed Hyperlink 156" xfId="1034" xr:uid="{00000000-0005-0000-0000-000068050000}"/>
    <cellStyle name="Followed Hyperlink 157" xfId="1035" xr:uid="{00000000-0005-0000-0000-000069050000}"/>
    <cellStyle name="Followed Hyperlink 158" xfId="1036" xr:uid="{00000000-0005-0000-0000-00006A050000}"/>
    <cellStyle name="Followed Hyperlink 159" xfId="1037" xr:uid="{00000000-0005-0000-0000-00006B050000}"/>
    <cellStyle name="Followed Hyperlink 16" xfId="1038" xr:uid="{00000000-0005-0000-0000-00006C050000}"/>
    <cellStyle name="Followed Hyperlink 160" xfId="1039" xr:uid="{00000000-0005-0000-0000-00006D050000}"/>
    <cellStyle name="Followed Hyperlink 161" xfId="1040" xr:uid="{00000000-0005-0000-0000-00006E050000}"/>
    <cellStyle name="Followed Hyperlink 162" xfId="1041" xr:uid="{00000000-0005-0000-0000-00006F050000}"/>
    <cellStyle name="Followed Hyperlink 163" xfId="1042" xr:uid="{00000000-0005-0000-0000-000070050000}"/>
    <cellStyle name="Followed Hyperlink 164" xfId="1043" xr:uid="{00000000-0005-0000-0000-000071050000}"/>
    <cellStyle name="Followed Hyperlink 165" xfId="1044" xr:uid="{00000000-0005-0000-0000-000072050000}"/>
    <cellStyle name="Followed Hyperlink 166" xfId="1045" xr:uid="{00000000-0005-0000-0000-000073050000}"/>
    <cellStyle name="Followed Hyperlink 167" xfId="1046" xr:uid="{00000000-0005-0000-0000-000074050000}"/>
    <cellStyle name="Followed Hyperlink 168" xfId="1047" xr:uid="{00000000-0005-0000-0000-000075050000}"/>
    <cellStyle name="Followed Hyperlink 169" xfId="1048" xr:uid="{00000000-0005-0000-0000-000076050000}"/>
    <cellStyle name="Followed Hyperlink 17" xfId="1049" xr:uid="{00000000-0005-0000-0000-000077050000}"/>
    <cellStyle name="Followed Hyperlink 170" xfId="1050" xr:uid="{00000000-0005-0000-0000-000078050000}"/>
    <cellStyle name="Followed Hyperlink 171" xfId="1051" xr:uid="{00000000-0005-0000-0000-000079050000}"/>
    <cellStyle name="Followed Hyperlink 172" xfId="1052" xr:uid="{00000000-0005-0000-0000-00007A050000}"/>
    <cellStyle name="Followed Hyperlink 173" xfId="1053" xr:uid="{00000000-0005-0000-0000-00007B050000}"/>
    <cellStyle name="Followed Hyperlink 174" xfId="1054" xr:uid="{00000000-0005-0000-0000-00007C050000}"/>
    <cellStyle name="Followed Hyperlink 175" xfId="1055" xr:uid="{00000000-0005-0000-0000-00007D050000}"/>
    <cellStyle name="Followed Hyperlink 176" xfId="1056" xr:uid="{00000000-0005-0000-0000-00007E050000}"/>
    <cellStyle name="Followed Hyperlink 177" xfId="1057" xr:uid="{00000000-0005-0000-0000-00007F050000}"/>
    <cellStyle name="Followed Hyperlink 178" xfId="1058" xr:uid="{00000000-0005-0000-0000-000080050000}"/>
    <cellStyle name="Followed Hyperlink 179" xfId="1059" xr:uid="{00000000-0005-0000-0000-000081050000}"/>
    <cellStyle name="Followed Hyperlink 18" xfId="1060" xr:uid="{00000000-0005-0000-0000-000082050000}"/>
    <cellStyle name="Followed Hyperlink 180" xfId="1061" xr:uid="{00000000-0005-0000-0000-000083050000}"/>
    <cellStyle name="Followed Hyperlink 181" xfId="1062" xr:uid="{00000000-0005-0000-0000-000084050000}"/>
    <cellStyle name="Followed Hyperlink 182" xfId="1063" xr:uid="{00000000-0005-0000-0000-000085050000}"/>
    <cellStyle name="Followed Hyperlink 183" xfId="1064" xr:uid="{00000000-0005-0000-0000-000086050000}"/>
    <cellStyle name="Followed Hyperlink 184" xfId="1065" xr:uid="{00000000-0005-0000-0000-000087050000}"/>
    <cellStyle name="Followed Hyperlink 185" xfId="1066" xr:uid="{00000000-0005-0000-0000-000088050000}"/>
    <cellStyle name="Followed Hyperlink 186" xfId="1067" xr:uid="{00000000-0005-0000-0000-000089050000}"/>
    <cellStyle name="Followed Hyperlink 187" xfId="1068" xr:uid="{00000000-0005-0000-0000-00008A050000}"/>
    <cellStyle name="Followed Hyperlink 188" xfId="1069" xr:uid="{00000000-0005-0000-0000-00008B050000}"/>
    <cellStyle name="Followed Hyperlink 189" xfId="1070" xr:uid="{00000000-0005-0000-0000-00008C050000}"/>
    <cellStyle name="Followed Hyperlink 19" xfId="1071" xr:uid="{00000000-0005-0000-0000-00008D050000}"/>
    <cellStyle name="Followed Hyperlink 190" xfId="1072" xr:uid="{00000000-0005-0000-0000-00008E050000}"/>
    <cellStyle name="Followed Hyperlink 191" xfId="1073" xr:uid="{00000000-0005-0000-0000-00008F050000}"/>
    <cellStyle name="Followed Hyperlink 192" xfId="1074" xr:uid="{00000000-0005-0000-0000-000090050000}"/>
    <cellStyle name="Followed Hyperlink 193" xfId="1075" xr:uid="{00000000-0005-0000-0000-000091050000}"/>
    <cellStyle name="Followed Hyperlink 194" xfId="1076" xr:uid="{00000000-0005-0000-0000-000092050000}"/>
    <cellStyle name="Followed Hyperlink 195" xfId="1077" xr:uid="{00000000-0005-0000-0000-000093050000}"/>
    <cellStyle name="Followed Hyperlink 196" xfId="1078" xr:uid="{00000000-0005-0000-0000-000094050000}"/>
    <cellStyle name="Followed Hyperlink 197" xfId="1079" xr:uid="{00000000-0005-0000-0000-000095050000}"/>
    <cellStyle name="Followed Hyperlink 198" xfId="1080" xr:uid="{00000000-0005-0000-0000-000096050000}"/>
    <cellStyle name="Followed Hyperlink 199" xfId="1081" xr:uid="{00000000-0005-0000-0000-000097050000}"/>
    <cellStyle name="Followed Hyperlink 2" xfId="1082" xr:uid="{00000000-0005-0000-0000-000098050000}"/>
    <cellStyle name="Followed Hyperlink 20" xfId="1083" xr:uid="{00000000-0005-0000-0000-000099050000}"/>
    <cellStyle name="Followed Hyperlink 200" xfId="1084" xr:uid="{00000000-0005-0000-0000-00009A050000}"/>
    <cellStyle name="Followed Hyperlink 201" xfId="1085" xr:uid="{00000000-0005-0000-0000-00009B050000}"/>
    <cellStyle name="Followed Hyperlink 202" xfId="1086" xr:uid="{00000000-0005-0000-0000-00009C050000}"/>
    <cellStyle name="Followed Hyperlink 203" xfId="1087" xr:uid="{00000000-0005-0000-0000-00009D050000}"/>
    <cellStyle name="Followed Hyperlink 204" xfId="1088" xr:uid="{00000000-0005-0000-0000-00009E050000}"/>
    <cellStyle name="Followed Hyperlink 205" xfId="1089" xr:uid="{00000000-0005-0000-0000-00009F050000}"/>
    <cellStyle name="Followed Hyperlink 206" xfId="1090" xr:uid="{00000000-0005-0000-0000-0000A0050000}"/>
    <cellStyle name="Followed Hyperlink 207" xfId="1091" xr:uid="{00000000-0005-0000-0000-0000A1050000}"/>
    <cellStyle name="Followed Hyperlink 208" xfId="1092" xr:uid="{00000000-0005-0000-0000-0000A2050000}"/>
    <cellStyle name="Followed Hyperlink 209" xfId="1093" xr:uid="{00000000-0005-0000-0000-0000A3050000}"/>
    <cellStyle name="Followed Hyperlink 21" xfId="1094" xr:uid="{00000000-0005-0000-0000-0000A4050000}"/>
    <cellStyle name="Followed Hyperlink 210" xfId="1095" xr:uid="{00000000-0005-0000-0000-0000A5050000}"/>
    <cellStyle name="Followed Hyperlink 211" xfId="1096" xr:uid="{00000000-0005-0000-0000-0000A6050000}"/>
    <cellStyle name="Followed Hyperlink 212" xfId="1097" xr:uid="{00000000-0005-0000-0000-0000A7050000}"/>
    <cellStyle name="Followed Hyperlink 213" xfId="1098" xr:uid="{00000000-0005-0000-0000-0000A8050000}"/>
    <cellStyle name="Followed Hyperlink 214" xfId="1099" xr:uid="{00000000-0005-0000-0000-0000A9050000}"/>
    <cellStyle name="Followed Hyperlink 215" xfId="1100" xr:uid="{00000000-0005-0000-0000-0000AA050000}"/>
    <cellStyle name="Followed Hyperlink 216" xfId="1101" xr:uid="{00000000-0005-0000-0000-0000AB050000}"/>
    <cellStyle name="Followed Hyperlink 217" xfId="1102" xr:uid="{00000000-0005-0000-0000-0000AC050000}"/>
    <cellStyle name="Followed Hyperlink 218" xfId="1103" xr:uid="{00000000-0005-0000-0000-0000AD050000}"/>
    <cellStyle name="Followed Hyperlink 219" xfId="1104" xr:uid="{00000000-0005-0000-0000-0000AE050000}"/>
    <cellStyle name="Followed Hyperlink 22" xfId="1105" xr:uid="{00000000-0005-0000-0000-0000AF050000}"/>
    <cellStyle name="Followed Hyperlink 220" xfId="1106" xr:uid="{00000000-0005-0000-0000-0000B0050000}"/>
    <cellStyle name="Followed Hyperlink 221" xfId="1107" xr:uid="{00000000-0005-0000-0000-0000B1050000}"/>
    <cellStyle name="Followed Hyperlink 222" xfId="1108" xr:uid="{00000000-0005-0000-0000-0000B2050000}"/>
    <cellStyle name="Followed Hyperlink 223" xfId="1109" xr:uid="{00000000-0005-0000-0000-0000B3050000}"/>
    <cellStyle name="Followed Hyperlink 224" xfId="1110" xr:uid="{00000000-0005-0000-0000-0000B4050000}"/>
    <cellStyle name="Followed Hyperlink 225" xfId="1111" xr:uid="{00000000-0005-0000-0000-0000B5050000}"/>
    <cellStyle name="Followed Hyperlink 226" xfId="1112" xr:uid="{00000000-0005-0000-0000-0000B6050000}"/>
    <cellStyle name="Followed Hyperlink 227" xfId="1113" xr:uid="{00000000-0005-0000-0000-0000B7050000}"/>
    <cellStyle name="Followed Hyperlink 228" xfId="1114" xr:uid="{00000000-0005-0000-0000-0000B8050000}"/>
    <cellStyle name="Followed Hyperlink 229" xfId="1115" xr:uid="{00000000-0005-0000-0000-0000B9050000}"/>
    <cellStyle name="Followed Hyperlink 23" xfId="1116" xr:uid="{00000000-0005-0000-0000-0000BA050000}"/>
    <cellStyle name="Followed Hyperlink 230" xfId="1117" xr:uid="{00000000-0005-0000-0000-0000BB050000}"/>
    <cellStyle name="Followed Hyperlink 231" xfId="1118" xr:uid="{00000000-0005-0000-0000-0000BC050000}"/>
    <cellStyle name="Followed Hyperlink 232" xfId="1119" xr:uid="{00000000-0005-0000-0000-0000BD050000}"/>
    <cellStyle name="Followed Hyperlink 233" xfId="1120" xr:uid="{00000000-0005-0000-0000-0000BE050000}"/>
    <cellStyle name="Followed Hyperlink 234" xfId="1121" xr:uid="{00000000-0005-0000-0000-0000BF050000}"/>
    <cellStyle name="Followed Hyperlink 235" xfId="1122" xr:uid="{00000000-0005-0000-0000-0000C0050000}"/>
    <cellStyle name="Followed Hyperlink 236" xfId="1123" xr:uid="{00000000-0005-0000-0000-0000C1050000}"/>
    <cellStyle name="Followed Hyperlink 237" xfId="1124" xr:uid="{00000000-0005-0000-0000-0000C2050000}"/>
    <cellStyle name="Followed Hyperlink 238" xfId="1125" xr:uid="{00000000-0005-0000-0000-0000C3050000}"/>
    <cellStyle name="Followed Hyperlink 239" xfId="1126" xr:uid="{00000000-0005-0000-0000-0000C4050000}"/>
    <cellStyle name="Followed Hyperlink 24" xfId="1127" xr:uid="{00000000-0005-0000-0000-0000C5050000}"/>
    <cellStyle name="Followed Hyperlink 240" xfId="1128" xr:uid="{00000000-0005-0000-0000-0000C6050000}"/>
    <cellStyle name="Followed Hyperlink 241" xfId="1129" xr:uid="{00000000-0005-0000-0000-0000C7050000}"/>
    <cellStyle name="Followed Hyperlink 242" xfId="1130" xr:uid="{00000000-0005-0000-0000-0000C8050000}"/>
    <cellStyle name="Followed Hyperlink 243" xfId="1131" xr:uid="{00000000-0005-0000-0000-0000C9050000}"/>
    <cellStyle name="Followed Hyperlink 244" xfId="1132" xr:uid="{00000000-0005-0000-0000-0000CA050000}"/>
    <cellStyle name="Followed Hyperlink 245" xfId="1133" xr:uid="{00000000-0005-0000-0000-0000CB050000}"/>
    <cellStyle name="Followed Hyperlink 246" xfId="1134" xr:uid="{00000000-0005-0000-0000-0000CC050000}"/>
    <cellStyle name="Followed Hyperlink 247" xfId="1135" xr:uid="{00000000-0005-0000-0000-0000CD050000}"/>
    <cellStyle name="Followed Hyperlink 248" xfId="1136" xr:uid="{00000000-0005-0000-0000-0000CE050000}"/>
    <cellStyle name="Followed Hyperlink 249" xfId="1137" xr:uid="{00000000-0005-0000-0000-0000CF050000}"/>
    <cellStyle name="Followed Hyperlink 25" xfId="1138" xr:uid="{00000000-0005-0000-0000-0000D0050000}"/>
    <cellStyle name="Followed Hyperlink 250" xfId="1139" xr:uid="{00000000-0005-0000-0000-0000D1050000}"/>
    <cellStyle name="Followed Hyperlink 251" xfId="1140" xr:uid="{00000000-0005-0000-0000-0000D2050000}"/>
    <cellStyle name="Followed Hyperlink 252" xfId="1141" xr:uid="{00000000-0005-0000-0000-0000D3050000}"/>
    <cellStyle name="Followed Hyperlink 253" xfId="1142" xr:uid="{00000000-0005-0000-0000-0000D4050000}"/>
    <cellStyle name="Followed Hyperlink 254" xfId="1143" xr:uid="{00000000-0005-0000-0000-0000D5050000}"/>
    <cellStyle name="Followed Hyperlink 255" xfId="1144" xr:uid="{00000000-0005-0000-0000-0000D6050000}"/>
    <cellStyle name="Followed Hyperlink 256" xfId="1145" xr:uid="{00000000-0005-0000-0000-0000D7050000}"/>
    <cellStyle name="Followed Hyperlink 257" xfId="1146" xr:uid="{00000000-0005-0000-0000-0000D8050000}"/>
    <cellStyle name="Followed Hyperlink 258" xfId="1147" xr:uid="{00000000-0005-0000-0000-0000D9050000}"/>
    <cellStyle name="Followed Hyperlink 259" xfId="1148" xr:uid="{00000000-0005-0000-0000-0000DA050000}"/>
    <cellStyle name="Followed Hyperlink 26" xfId="1149" xr:uid="{00000000-0005-0000-0000-0000DB050000}"/>
    <cellStyle name="Followed Hyperlink 260" xfId="1150" xr:uid="{00000000-0005-0000-0000-0000DC050000}"/>
    <cellStyle name="Followed Hyperlink 261" xfId="1151" xr:uid="{00000000-0005-0000-0000-0000DD050000}"/>
    <cellStyle name="Followed Hyperlink 262" xfId="1152" xr:uid="{00000000-0005-0000-0000-0000DE050000}"/>
    <cellStyle name="Followed Hyperlink 263" xfId="1153" xr:uid="{00000000-0005-0000-0000-0000DF050000}"/>
    <cellStyle name="Followed Hyperlink 264" xfId="1154" xr:uid="{00000000-0005-0000-0000-0000E0050000}"/>
    <cellStyle name="Followed Hyperlink 265" xfId="1155" xr:uid="{00000000-0005-0000-0000-0000E1050000}"/>
    <cellStyle name="Followed Hyperlink 266" xfId="1156" xr:uid="{00000000-0005-0000-0000-0000E2050000}"/>
    <cellStyle name="Followed Hyperlink 267" xfId="1157" xr:uid="{00000000-0005-0000-0000-0000E3050000}"/>
    <cellStyle name="Followed Hyperlink 268" xfId="1158" xr:uid="{00000000-0005-0000-0000-0000E4050000}"/>
    <cellStyle name="Followed Hyperlink 269" xfId="1159" xr:uid="{00000000-0005-0000-0000-0000E5050000}"/>
    <cellStyle name="Followed Hyperlink 27" xfId="1160" xr:uid="{00000000-0005-0000-0000-0000E6050000}"/>
    <cellStyle name="Followed Hyperlink 270" xfId="1161" xr:uid="{00000000-0005-0000-0000-0000E7050000}"/>
    <cellStyle name="Followed Hyperlink 271" xfId="1162" xr:uid="{00000000-0005-0000-0000-0000E8050000}"/>
    <cellStyle name="Followed Hyperlink 272" xfId="1163" xr:uid="{00000000-0005-0000-0000-0000E9050000}"/>
    <cellStyle name="Followed Hyperlink 273" xfId="1164" xr:uid="{00000000-0005-0000-0000-0000EA050000}"/>
    <cellStyle name="Followed Hyperlink 274" xfId="1165" xr:uid="{00000000-0005-0000-0000-0000EB050000}"/>
    <cellStyle name="Followed Hyperlink 28" xfId="1166" xr:uid="{00000000-0005-0000-0000-0000EC050000}"/>
    <cellStyle name="Followed Hyperlink 29" xfId="1167" xr:uid="{00000000-0005-0000-0000-0000ED050000}"/>
    <cellStyle name="Followed Hyperlink 3" xfId="1168" xr:uid="{00000000-0005-0000-0000-0000EE050000}"/>
    <cellStyle name="Followed Hyperlink 30" xfId="1169" xr:uid="{00000000-0005-0000-0000-0000EF050000}"/>
    <cellStyle name="Followed Hyperlink 31" xfId="1170" xr:uid="{00000000-0005-0000-0000-0000F0050000}"/>
    <cellStyle name="Followed Hyperlink 32" xfId="1171" xr:uid="{00000000-0005-0000-0000-0000F1050000}"/>
    <cellStyle name="Followed Hyperlink 33" xfId="1172" xr:uid="{00000000-0005-0000-0000-0000F2050000}"/>
    <cellStyle name="Followed Hyperlink 34" xfId="1173" xr:uid="{00000000-0005-0000-0000-0000F3050000}"/>
    <cellStyle name="Followed Hyperlink 35" xfId="1174" xr:uid="{00000000-0005-0000-0000-0000F4050000}"/>
    <cellStyle name="Followed Hyperlink 36" xfId="1175" xr:uid="{00000000-0005-0000-0000-0000F5050000}"/>
    <cellStyle name="Followed Hyperlink 37" xfId="1176" xr:uid="{00000000-0005-0000-0000-0000F6050000}"/>
    <cellStyle name="Followed Hyperlink 38" xfId="1177" xr:uid="{00000000-0005-0000-0000-0000F7050000}"/>
    <cellStyle name="Followed Hyperlink 39" xfId="1178" xr:uid="{00000000-0005-0000-0000-0000F8050000}"/>
    <cellStyle name="Followed Hyperlink 4" xfId="1179" xr:uid="{00000000-0005-0000-0000-0000F9050000}"/>
    <cellStyle name="Followed Hyperlink 40" xfId="1180" xr:uid="{00000000-0005-0000-0000-0000FA050000}"/>
    <cellStyle name="Followed Hyperlink 41" xfId="1181" xr:uid="{00000000-0005-0000-0000-0000FB050000}"/>
    <cellStyle name="Followed Hyperlink 42" xfId="1182" xr:uid="{00000000-0005-0000-0000-0000FC050000}"/>
    <cellStyle name="Followed Hyperlink 43" xfId="1183" xr:uid="{00000000-0005-0000-0000-0000FD050000}"/>
    <cellStyle name="Followed Hyperlink 44" xfId="1184" xr:uid="{00000000-0005-0000-0000-0000FE050000}"/>
    <cellStyle name="Followed Hyperlink 45" xfId="1185" xr:uid="{00000000-0005-0000-0000-0000FF050000}"/>
    <cellStyle name="Followed Hyperlink 46" xfId="1186" xr:uid="{00000000-0005-0000-0000-000000060000}"/>
    <cellStyle name="Followed Hyperlink 47" xfId="1187" xr:uid="{00000000-0005-0000-0000-000001060000}"/>
    <cellStyle name="Followed Hyperlink 48" xfId="1188" xr:uid="{00000000-0005-0000-0000-000002060000}"/>
    <cellStyle name="Followed Hyperlink 49" xfId="1189" xr:uid="{00000000-0005-0000-0000-000003060000}"/>
    <cellStyle name="Followed Hyperlink 5" xfId="1190" xr:uid="{00000000-0005-0000-0000-000004060000}"/>
    <cellStyle name="Followed Hyperlink 50" xfId="1191" xr:uid="{00000000-0005-0000-0000-000005060000}"/>
    <cellStyle name="Followed Hyperlink 51" xfId="1192" xr:uid="{00000000-0005-0000-0000-000006060000}"/>
    <cellStyle name="Followed Hyperlink 52" xfId="1193" xr:uid="{00000000-0005-0000-0000-000007060000}"/>
    <cellStyle name="Followed Hyperlink 53" xfId="1194" xr:uid="{00000000-0005-0000-0000-000008060000}"/>
    <cellStyle name="Followed Hyperlink 54" xfId="1195" xr:uid="{00000000-0005-0000-0000-000009060000}"/>
    <cellStyle name="Followed Hyperlink 55" xfId="1196" xr:uid="{00000000-0005-0000-0000-00000A060000}"/>
    <cellStyle name="Followed Hyperlink 56" xfId="1197" xr:uid="{00000000-0005-0000-0000-00000B060000}"/>
    <cellStyle name="Followed Hyperlink 57" xfId="1198" xr:uid="{00000000-0005-0000-0000-00000C060000}"/>
    <cellStyle name="Followed Hyperlink 58" xfId="1199" xr:uid="{00000000-0005-0000-0000-00000D060000}"/>
    <cellStyle name="Followed Hyperlink 59" xfId="1200" xr:uid="{00000000-0005-0000-0000-00000E060000}"/>
    <cellStyle name="Followed Hyperlink 6" xfId="1201" xr:uid="{00000000-0005-0000-0000-00000F060000}"/>
    <cellStyle name="Followed Hyperlink 60" xfId="1202" xr:uid="{00000000-0005-0000-0000-000010060000}"/>
    <cellStyle name="Followed Hyperlink 61" xfId="1203" xr:uid="{00000000-0005-0000-0000-000011060000}"/>
    <cellStyle name="Followed Hyperlink 62" xfId="1204" xr:uid="{00000000-0005-0000-0000-000012060000}"/>
    <cellStyle name="Followed Hyperlink 63" xfId="1205" xr:uid="{00000000-0005-0000-0000-000013060000}"/>
    <cellStyle name="Followed Hyperlink 64" xfId="1206" xr:uid="{00000000-0005-0000-0000-000014060000}"/>
    <cellStyle name="Followed Hyperlink 65" xfId="1207" xr:uid="{00000000-0005-0000-0000-000015060000}"/>
    <cellStyle name="Followed Hyperlink 66" xfId="1208" xr:uid="{00000000-0005-0000-0000-000016060000}"/>
    <cellStyle name="Followed Hyperlink 67" xfId="1209" xr:uid="{00000000-0005-0000-0000-000017060000}"/>
    <cellStyle name="Followed Hyperlink 68" xfId="1210" xr:uid="{00000000-0005-0000-0000-000018060000}"/>
    <cellStyle name="Followed Hyperlink 69" xfId="1211" xr:uid="{00000000-0005-0000-0000-000019060000}"/>
    <cellStyle name="Followed Hyperlink 7" xfId="1212" xr:uid="{00000000-0005-0000-0000-00001A060000}"/>
    <cellStyle name="Followed Hyperlink 70" xfId="1213" xr:uid="{00000000-0005-0000-0000-00001B060000}"/>
    <cellStyle name="Followed Hyperlink 71" xfId="1214" xr:uid="{00000000-0005-0000-0000-00001C060000}"/>
    <cellStyle name="Followed Hyperlink 72" xfId="1215" xr:uid="{00000000-0005-0000-0000-00001D060000}"/>
    <cellStyle name="Followed Hyperlink 73" xfId="1216" xr:uid="{00000000-0005-0000-0000-00001E060000}"/>
    <cellStyle name="Followed Hyperlink 74" xfId="1217" xr:uid="{00000000-0005-0000-0000-00001F060000}"/>
    <cellStyle name="Followed Hyperlink 75" xfId="1218" xr:uid="{00000000-0005-0000-0000-000020060000}"/>
    <cellStyle name="Followed Hyperlink 76" xfId="1219" xr:uid="{00000000-0005-0000-0000-000021060000}"/>
    <cellStyle name="Followed Hyperlink 77" xfId="1220" xr:uid="{00000000-0005-0000-0000-000022060000}"/>
    <cellStyle name="Followed Hyperlink 78" xfId="1221" xr:uid="{00000000-0005-0000-0000-000023060000}"/>
    <cellStyle name="Followed Hyperlink 79" xfId="1222" xr:uid="{00000000-0005-0000-0000-000024060000}"/>
    <cellStyle name="Followed Hyperlink 8" xfId="1223" xr:uid="{00000000-0005-0000-0000-000025060000}"/>
    <cellStyle name="Followed Hyperlink 80" xfId="1224" xr:uid="{00000000-0005-0000-0000-000026060000}"/>
    <cellStyle name="Followed Hyperlink 81" xfId="1225" xr:uid="{00000000-0005-0000-0000-000027060000}"/>
    <cellStyle name="Followed Hyperlink 82" xfId="1226" xr:uid="{00000000-0005-0000-0000-000028060000}"/>
    <cellStyle name="Followed Hyperlink 83" xfId="1227" xr:uid="{00000000-0005-0000-0000-000029060000}"/>
    <cellStyle name="Followed Hyperlink 84" xfId="1228" xr:uid="{00000000-0005-0000-0000-00002A060000}"/>
    <cellStyle name="Followed Hyperlink 85" xfId="1229" xr:uid="{00000000-0005-0000-0000-00002B060000}"/>
    <cellStyle name="Followed Hyperlink 86" xfId="1230" xr:uid="{00000000-0005-0000-0000-00002C060000}"/>
    <cellStyle name="Followed Hyperlink 87" xfId="1231" xr:uid="{00000000-0005-0000-0000-00002D060000}"/>
    <cellStyle name="Followed Hyperlink 88" xfId="1232" xr:uid="{00000000-0005-0000-0000-00002E060000}"/>
    <cellStyle name="Followed Hyperlink 89" xfId="1233" xr:uid="{00000000-0005-0000-0000-00002F060000}"/>
    <cellStyle name="Followed Hyperlink 9" xfId="1234" xr:uid="{00000000-0005-0000-0000-000030060000}"/>
    <cellStyle name="Followed Hyperlink 90" xfId="1235" xr:uid="{00000000-0005-0000-0000-000031060000}"/>
    <cellStyle name="Followed Hyperlink 91" xfId="1236" xr:uid="{00000000-0005-0000-0000-000032060000}"/>
    <cellStyle name="Followed Hyperlink 92" xfId="1237" xr:uid="{00000000-0005-0000-0000-000033060000}"/>
    <cellStyle name="Followed Hyperlink 93" xfId="1238" xr:uid="{00000000-0005-0000-0000-000034060000}"/>
    <cellStyle name="Followed Hyperlink 94" xfId="1239" xr:uid="{00000000-0005-0000-0000-000035060000}"/>
    <cellStyle name="Followed Hyperlink 95" xfId="1240" xr:uid="{00000000-0005-0000-0000-000036060000}"/>
    <cellStyle name="Followed Hyperlink 96" xfId="1241" xr:uid="{00000000-0005-0000-0000-000037060000}"/>
    <cellStyle name="Followed Hyperlink 97" xfId="1242" xr:uid="{00000000-0005-0000-0000-000038060000}"/>
    <cellStyle name="Followed Hyperlink 98" xfId="1243" xr:uid="{00000000-0005-0000-0000-000039060000}"/>
    <cellStyle name="Followed Hyperlink 99" xfId="1244" xr:uid="{00000000-0005-0000-0000-00003A060000}"/>
    <cellStyle name="Good 2" xfId="1245" xr:uid="{00000000-0005-0000-0000-00003B060000}"/>
    <cellStyle name="Good 2 2" xfId="1246" xr:uid="{00000000-0005-0000-0000-00003C060000}"/>
    <cellStyle name="Good 2 2 2" xfId="1247" xr:uid="{00000000-0005-0000-0000-00003D060000}"/>
    <cellStyle name="Good 2 2 3" xfId="1248" xr:uid="{00000000-0005-0000-0000-00003E060000}"/>
    <cellStyle name="Good 2 2_AGL" xfId="1249" xr:uid="{00000000-0005-0000-0000-00003F060000}"/>
    <cellStyle name="Good 2 3" xfId="1250" xr:uid="{00000000-0005-0000-0000-000040060000}"/>
    <cellStyle name="Good 2 4" xfId="1251" xr:uid="{00000000-0005-0000-0000-000041060000}"/>
    <cellStyle name="Good 2_AGL" xfId="1252" xr:uid="{00000000-0005-0000-0000-000042060000}"/>
    <cellStyle name="Good 3" xfId="1253" xr:uid="{00000000-0005-0000-0000-000043060000}"/>
    <cellStyle name="Good 3 2" xfId="1254" xr:uid="{00000000-0005-0000-0000-000044060000}"/>
    <cellStyle name="Good 3 3" xfId="1255" xr:uid="{00000000-0005-0000-0000-000045060000}"/>
    <cellStyle name="Good 3_AGL" xfId="1256" xr:uid="{00000000-0005-0000-0000-000046060000}"/>
    <cellStyle name="Good 4" xfId="1257" xr:uid="{00000000-0005-0000-0000-000047060000}"/>
    <cellStyle name="Good 5" xfId="1258" xr:uid="{00000000-0005-0000-0000-000048060000}"/>
    <cellStyle name="Header1" xfId="1259" xr:uid="{00000000-0005-0000-0000-000049060000}"/>
    <cellStyle name="Header1 2" xfId="1260" xr:uid="{00000000-0005-0000-0000-00004A060000}"/>
    <cellStyle name="Header2" xfId="1261" xr:uid="{00000000-0005-0000-0000-00004B060000}"/>
    <cellStyle name="Header2 10" xfId="1262" xr:uid="{00000000-0005-0000-0000-00004C060000}"/>
    <cellStyle name="Header2 10 2" xfId="4356" xr:uid="{00000000-0005-0000-0000-00004D060000}"/>
    <cellStyle name="Header2 11" xfId="1263" xr:uid="{00000000-0005-0000-0000-00004E060000}"/>
    <cellStyle name="Header2 11 2" xfId="4355" xr:uid="{00000000-0005-0000-0000-00004F060000}"/>
    <cellStyle name="Header2 12" xfId="4357" xr:uid="{00000000-0005-0000-0000-000050060000}"/>
    <cellStyle name="Header2 2" xfId="1264" xr:uid="{00000000-0005-0000-0000-000051060000}"/>
    <cellStyle name="Header2 2 2" xfId="1265" xr:uid="{00000000-0005-0000-0000-000052060000}"/>
    <cellStyle name="Header2 2 2 2" xfId="4353" xr:uid="{00000000-0005-0000-0000-000053060000}"/>
    <cellStyle name="Header2 2 3" xfId="4354" xr:uid="{00000000-0005-0000-0000-000054060000}"/>
    <cellStyle name="Header2 2_Sheet10" xfId="1266" xr:uid="{00000000-0005-0000-0000-000055060000}"/>
    <cellStyle name="Header2 3" xfId="1267" xr:uid="{00000000-0005-0000-0000-000056060000}"/>
    <cellStyle name="Header2 3 2" xfId="1268" xr:uid="{00000000-0005-0000-0000-000057060000}"/>
    <cellStyle name="Header2 3 2 2" xfId="4351" xr:uid="{00000000-0005-0000-0000-000058060000}"/>
    <cellStyle name="Header2 3 3" xfId="4352" xr:uid="{00000000-0005-0000-0000-000059060000}"/>
    <cellStyle name="Header2 4" xfId="1269" xr:uid="{00000000-0005-0000-0000-00005A060000}"/>
    <cellStyle name="Header2 4 2" xfId="4350" xr:uid="{00000000-0005-0000-0000-00005B060000}"/>
    <cellStyle name="Header2 5" xfId="1270" xr:uid="{00000000-0005-0000-0000-00005C060000}"/>
    <cellStyle name="Header2 5 2" xfId="4349" xr:uid="{00000000-0005-0000-0000-00005D060000}"/>
    <cellStyle name="Header2 6" xfId="1271" xr:uid="{00000000-0005-0000-0000-00005E060000}"/>
    <cellStyle name="Header2 6 2" xfId="4348" xr:uid="{00000000-0005-0000-0000-00005F060000}"/>
    <cellStyle name="Header2 7" xfId="1272" xr:uid="{00000000-0005-0000-0000-000060060000}"/>
    <cellStyle name="Header2 7 2" xfId="4347" xr:uid="{00000000-0005-0000-0000-000061060000}"/>
    <cellStyle name="Header2 8" xfId="1273" xr:uid="{00000000-0005-0000-0000-000062060000}"/>
    <cellStyle name="Header2 8 2" xfId="4346" xr:uid="{00000000-0005-0000-0000-000063060000}"/>
    <cellStyle name="Header2 9" xfId="1274" xr:uid="{00000000-0005-0000-0000-000064060000}"/>
    <cellStyle name="Header2 9 2" xfId="4345" xr:uid="{00000000-0005-0000-0000-000065060000}"/>
    <cellStyle name="Header2_AGL" xfId="1275" xr:uid="{00000000-0005-0000-0000-000066060000}"/>
    <cellStyle name="Heading" xfId="19" xr:uid="{00000000-0005-0000-0000-000067060000}"/>
    <cellStyle name="Heading 1 10" xfId="1276" xr:uid="{00000000-0005-0000-0000-000068060000}"/>
    <cellStyle name="Heading 1 2" xfId="1277" xr:uid="{00000000-0005-0000-0000-000069060000}"/>
    <cellStyle name="Heading 1 2 2" xfId="1278" xr:uid="{00000000-0005-0000-0000-00006A060000}"/>
    <cellStyle name="Heading 1 2 2 2" xfId="1279" xr:uid="{00000000-0005-0000-0000-00006B060000}"/>
    <cellStyle name="Heading 1 2 2 3" xfId="1280" xr:uid="{00000000-0005-0000-0000-00006C060000}"/>
    <cellStyle name="Heading 1 2 2_AGL" xfId="1281" xr:uid="{00000000-0005-0000-0000-00006D060000}"/>
    <cellStyle name="Heading 1 2 3" xfId="1282" xr:uid="{00000000-0005-0000-0000-00006E060000}"/>
    <cellStyle name="Heading 1 2 4" xfId="1283" xr:uid="{00000000-0005-0000-0000-00006F060000}"/>
    <cellStyle name="Heading 1 2 5" xfId="1284" xr:uid="{00000000-0005-0000-0000-000070060000}"/>
    <cellStyle name="Heading 1 2 6" xfId="1285" xr:uid="{00000000-0005-0000-0000-000071060000}"/>
    <cellStyle name="Heading 1 2 7" xfId="1286" xr:uid="{00000000-0005-0000-0000-000072060000}"/>
    <cellStyle name="Heading 1 2 8" xfId="1287" xr:uid="{00000000-0005-0000-0000-000073060000}"/>
    <cellStyle name="Heading 1 2 9" xfId="1288" xr:uid="{00000000-0005-0000-0000-000074060000}"/>
    <cellStyle name="Heading 1 2_AGL" xfId="1289" xr:uid="{00000000-0005-0000-0000-000075060000}"/>
    <cellStyle name="Heading 1 3" xfId="1290" xr:uid="{00000000-0005-0000-0000-000076060000}"/>
    <cellStyle name="Heading 1 3 2" xfId="56" xr:uid="{00000000-0005-0000-0000-000077060000}"/>
    <cellStyle name="Heading 1 3 2 2" xfId="1291" xr:uid="{00000000-0005-0000-0000-000078060000}"/>
    <cellStyle name="Heading 1 3 2 3" xfId="1292" xr:uid="{00000000-0005-0000-0000-000079060000}"/>
    <cellStyle name="Heading 1 3 2_AGL" xfId="1293" xr:uid="{00000000-0005-0000-0000-00007A060000}"/>
    <cellStyle name="Heading 1 3 3" xfId="1294" xr:uid="{00000000-0005-0000-0000-00007B060000}"/>
    <cellStyle name="Heading 1 3 4" xfId="1295" xr:uid="{00000000-0005-0000-0000-00007C060000}"/>
    <cellStyle name="Heading 1 3_AGL" xfId="1296" xr:uid="{00000000-0005-0000-0000-00007D060000}"/>
    <cellStyle name="Heading 1 4" xfId="58" xr:uid="{00000000-0005-0000-0000-00007E060000}"/>
    <cellStyle name="Heading 1 4 2" xfId="1297" xr:uid="{00000000-0005-0000-0000-00007F060000}"/>
    <cellStyle name="Heading 1 4 3" xfId="1298" xr:uid="{00000000-0005-0000-0000-000080060000}"/>
    <cellStyle name="Heading 1 4_AGL" xfId="1299" xr:uid="{00000000-0005-0000-0000-000081060000}"/>
    <cellStyle name="Heading 1 5" xfId="1300" xr:uid="{00000000-0005-0000-0000-000082060000}"/>
    <cellStyle name="Heading 1 6" xfId="1301" xr:uid="{00000000-0005-0000-0000-000083060000}"/>
    <cellStyle name="Heading 1 7" xfId="1302" xr:uid="{00000000-0005-0000-0000-000084060000}"/>
    <cellStyle name="Heading 1 8" xfId="1303" xr:uid="{00000000-0005-0000-0000-000085060000}"/>
    <cellStyle name="Heading 1 9" xfId="1304" xr:uid="{00000000-0005-0000-0000-000086060000}"/>
    <cellStyle name="Heading 2" xfId="20" builtinId="17"/>
    <cellStyle name="Heading 2 2" xfId="1305" xr:uid="{00000000-0005-0000-0000-000088060000}"/>
    <cellStyle name="Heading 2 2 2" xfId="1306" xr:uid="{00000000-0005-0000-0000-000089060000}"/>
    <cellStyle name="Heading 2 2 2 2" xfId="1307" xr:uid="{00000000-0005-0000-0000-00008A060000}"/>
    <cellStyle name="Heading 2 2 2 3" xfId="1308" xr:uid="{00000000-0005-0000-0000-00008B060000}"/>
    <cellStyle name="Heading 2 2 2_AGL" xfId="1309" xr:uid="{00000000-0005-0000-0000-00008C060000}"/>
    <cellStyle name="Heading 2 2 3" xfId="1310" xr:uid="{00000000-0005-0000-0000-00008D060000}"/>
    <cellStyle name="Heading 2 2 4" xfId="1311" xr:uid="{00000000-0005-0000-0000-00008E060000}"/>
    <cellStyle name="Heading 2 2 5" xfId="1312" xr:uid="{00000000-0005-0000-0000-00008F060000}"/>
    <cellStyle name="Heading 2 2 6" xfId="1313" xr:uid="{00000000-0005-0000-0000-000090060000}"/>
    <cellStyle name="Heading 2 2 7" xfId="1314" xr:uid="{00000000-0005-0000-0000-000091060000}"/>
    <cellStyle name="Heading 2 2 8" xfId="1315" xr:uid="{00000000-0005-0000-0000-000092060000}"/>
    <cellStyle name="Heading 2 2 9" xfId="1316" xr:uid="{00000000-0005-0000-0000-000093060000}"/>
    <cellStyle name="Heading 2 2_AGL" xfId="1317" xr:uid="{00000000-0005-0000-0000-000094060000}"/>
    <cellStyle name="Heading 2 3" xfId="1318" xr:uid="{00000000-0005-0000-0000-000095060000}"/>
    <cellStyle name="Heading 2 3 2" xfId="1319" xr:uid="{00000000-0005-0000-0000-000096060000}"/>
    <cellStyle name="Heading 2 3 3" xfId="1320" xr:uid="{00000000-0005-0000-0000-000097060000}"/>
    <cellStyle name="Heading 2 3_AGL" xfId="1321" xr:uid="{00000000-0005-0000-0000-000098060000}"/>
    <cellStyle name="Heading 2 4" xfId="1322" xr:uid="{00000000-0005-0000-0000-000099060000}"/>
    <cellStyle name="Heading 2 4 2" xfId="1323" xr:uid="{00000000-0005-0000-0000-00009A060000}"/>
    <cellStyle name="Heading 2 4 3" xfId="1324" xr:uid="{00000000-0005-0000-0000-00009B060000}"/>
    <cellStyle name="Heading 2 4_AGL" xfId="1325" xr:uid="{00000000-0005-0000-0000-00009C060000}"/>
    <cellStyle name="Heading 2 5" xfId="1326" xr:uid="{00000000-0005-0000-0000-00009D060000}"/>
    <cellStyle name="Heading 2 6" xfId="1327" xr:uid="{00000000-0005-0000-0000-00009E060000}"/>
    <cellStyle name="Heading 3" xfId="21" builtinId="18"/>
    <cellStyle name="Heading 3 2" xfId="22" xr:uid="{00000000-0005-0000-0000-0000A0060000}"/>
    <cellStyle name="Heading 3 2 2" xfId="1328" xr:uid="{00000000-0005-0000-0000-0000A1060000}"/>
    <cellStyle name="Heading 3 2 3" xfId="1329" xr:uid="{00000000-0005-0000-0000-0000A2060000}"/>
    <cellStyle name="Heading 3 2_AGL" xfId="1330" xr:uid="{00000000-0005-0000-0000-0000A3060000}"/>
    <cellStyle name="Heading 3 3" xfId="1331" xr:uid="{00000000-0005-0000-0000-0000A4060000}"/>
    <cellStyle name="Heading 3 3 2" xfId="1332" xr:uid="{00000000-0005-0000-0000-0000A5060000}"/>
    <cellStyle name="Heading 3 3 3" xfId="1333" xr:uid="{00000000-0005-0000-0000-0000A6060000}"/>
    <cellStyle name="Heading 3 3_AGL" xfId="1334" xr:uid="{00000000-0005-0000-0000-0000A7060000}"/>
    <cellStyle name="Heading 3 4" xfId="1335" xr:uid="{00000000-0005-0000-0000-0000A8060000}"/>
    <cellStyle name="Heading 3 4 2" xfId="1336" xr:uid="{00000000-0005-0000-0000-0000A9060000}"/>
    <cellStyle name="Heading 3 4 3" xfId="1337" xr:uid="{00000000-0005-0000-0000-0000AA060000}"/>
    <cellStyle name="Heading 3 4_AGL" xfId="1338" xr:uid="{00000000-0005-0000-0000-0000AB060000}"/>
    <cellStyle name="Heading 3 5" xfId="1339" xr:uid="{00000000-0005-0000-0000-0000AC060000}"/>
    <cellStyle name="Heading 3 6" xfId="1340" xr:uid="{00000000-0005-0000-0000-0000AD060000}"/>
    <cellStyle name="Heading 4" xfId="23" builtinId="19"/>
    <cellStyle name="Heading 4 2" xfId="1341" xr:uid="{00000000-0005-0000-0000-0000AF060000}"/>
    <cellStyle name="Heading 4 2 2" xfId="1342" xr:uid="{00000000-0005-0000-0000-0000B0060000}"/>
    <cellStyle name="Heading 4 2 2 2" xfId="1343" xr:uid="{00000000-0005-0000-0000-0000B1060000}"/>
    <cellStyle name="Heading 4 2 2 3" xfId="1344" xr:uid="{00000000-0005-0000-0000-0000B2060000}"/>
    <cellStyle name="Heading 4 2 2_AGL" xfId="1345" xr:uid="{00000000-0005-0000-0000-0000B3060000}"/>
    <cellStyle name="Heading 4 2 3" xfId="1346" xr:uid="{00000000-0005-0000-0000-0000B4060000}"/>
    <cellStyle name="Heading 4 2 4" xfId="1347" xr:uid="{00000000-0005-0000-0000-0000B5060000}"/>
    <cellStyle name="Heading 4 2 5" xfId="1348" xr:uid="{00000000-0005-0000-0000-0000B6060000}"/>
    <cellStyle name="Heading 4 2 6" xfId="1349" xr:uid="{00000000-0005-0000-0000-0000B7060000}"/>
    <cellStyle name="Heading 4 2 7" xfId="1350" xr:uid="{00000000-0005-0000-0000-0000B8060000}"/>
    <cellStyle name="Heading 4 2 8" xfId="1351" xr:uid="{00000000-0005-0000-0000-0000B9060000}"/>
    <cellStyle name="Heading 4 2 9" xfId="1352" xr:uid="{00000000-0005-0000-0000-0000BA060000}"/>
    <cellStyle name="Heading 4 2_AGL" xfId="1353" xr:uid="{00000000-0005-0000-0000-0000BB060000}"/>
    <cellStyle name="Heading 4 3" xfId="1354" xr:uid="{00000000-0005-0000-0000-0000BC060000}"/>
    <cellStyle name="Heading 4 3 2" xfId="1355" xr:uid="{00000000-0005-0000-0000-0000BD060000}"/>
    <cellStyle name="Heading 4 3 3" xfId="1356" xr:uid="{00000000-0005-0000-0000-0000BE060000}"/>
    <cellStyle name="Heading 4 3_AGL" xfId="1357" xr:uid="{00000000-0005-0000-0000-0000BF060000}"/>
    <cellStyle name="Heading 4 4" xfId="1358" xr:uid="{00000000-0005-0000-0000-0000C0060000}"/>
    <cellStyle name="Heading 4 5" xfId="1359" xr:uid="{00000000-0005-0000-0000-0000C1060000}"/>
    <cellStyle name="Heading 5" xfId="1360" xr:uid="{00000000-0005-0000-0000-0000C2060000}"/>
    <cellStyle name="Heading 6" xfId="1361" xr:uid="{00000000-0005-0000-0000-0000C3060000}"/>
    <cellStyle name="Heading1" xfId="24" xr:uid="{00000000-0005-0000-0000-0000C4060000}"/>
    <cellStyle name="Heading1 2" xfId="1362" xr:uid="{00000000-0005-0000-0000-0000C5060000}"/>
    <cellStyle name="Heading1 3" xfId="1363" xr:uid="{00000000-0005-0000-0000-0000C6060000}"/>
    <cellStyle name="Heading1_AGL" xfId="1364" xr:uid="{00000000-0005-0000-0000-0000C7060000}"/>
    <cellStyle name="Headline" xfId="25" xr:uid="{00000000-0005-0000-0000-0000C8060000}"/>
    <cellStyle name="Hyperlink" xfId="3925" builtinId="8" hidden="1"/>
    <cellStyle name="Hyperlink" xfId="3927" builtinId="8" hidden="1"/>
    <cellStyle name="Hyperlink" xfId="3929" builtinId="8" hidden="1"/>
    <cellStyle name="Hyperlink" xfId="3931" builtinId="8" hidden="1"/>
    <cellStyle name="Hyperlink" xfId="3933" builtinId="8" hidden="1"/>
    <cellStyle name="Hyperlink" xfId="3935" builtinId="8" hidden="1"/>
    <cellStyle name="Hyperlink" xfId="3937" builtinId="8" hidden="1"/>
    <cellStyle name="Hyperlink" xfId="3939" builtinId="8" hidden="1"/>
    <cellStyle name="Hyperlink" xfId="3941" builtinId="8" hidden="1"/>
    <cellStyle name="Hyperlink" xfId="3943" builtinId="8" hidden="1"/>
    <cellStyle name="Hyperlink" xfId="3945" builtinId="8" hidden="1"/>
    <cellStyle name="Hyperlink" xfId="4430" builtinId="8"/>
    <cellStyle name="Hyperlink 10" xfId="1365" xr:uid="{00000000-0005-0000-0000-0000D4060000}"/>
    <cellStyle name="Hyperlink 10 2" xfId="1366" xr:uid="{00000000-0005-0000-0000-0000D5060000}"/>
    <cellStyle name="Hyperlink 10 3" xfId="1367" xr:uid="{00000000-0005-0000-0000-0000D6060000}"/>
    <cellStyle name="Hyperlink 10 9" xfId="1368" xr:uid="{00000000-0005-0000-0000-0000D7060000}"/>
    <cellStyle name="Hyperlink 10_AGL" xfId="1369" xr:uid="{00000000-0005-0000-0000-0000D8060000}"/>
    <cellStyle name="Hyperlink 100" xfId="1370" xr:uid="{00000000-0005-0000-0000-0000D9060000}"/>
    <cellStyle name="Hyperlink 100 2" xfId="1371" xr:uid="{00000000-0005-0000-0000-0000DA060000}"/>
    <cellStyle name="Hyperlink 100 3" xfId="1372" xr:uid="{00000000-0005-0000-0000-0000DB060000}"/>
    <cellStyle name="Hyperlink 100 9" xfId="1373" xr:uid="{00000000-0005-0000-0000-0000DC060000}"/>
    <cellStyle name="Hyperlink 100_AGL" xfId="1374" xr:uid="{00000000-0005-0000-0000-0000DD060000}"/>
    <cellStyle name="Hyperlink 101" xfId="1375" xr:uid="{00000000-0005-0000-0000-0000DE060000}"/>
    <cellStyle name="Hyperlink 101 2" xfId="1376" xr:uid="{00000000-0005-0000-0000-0000DF060000}"/>
    <cellStyle name="Hyperlink 101 3" xfId="1377" xr:uid="{00000000-0005-0000-0000-0000E0060000}"/>
    <cellStyle name="Hyperlink 101 9" xfId="1378" xr:uid="{00000000-0005-0000-0000-0000E1060000}"/>
    <cellStyle name="Hyperlink 101_AGL" xfId="1379" xr:uid="{00000000-0005-0000-0000-0000E2060000}"/>
    <cellStyle name="Hyperlink 102" xfId="1380" xr:uid="{00000000-0005-0000-0000-0000E3060000}"/>
    <cellStyle name="Hyperlink 102 2" xfId="1381" xr:uid="{00000000-0005-0000-0000-0000E4060000}"/>
    <cellStyle name="Hyperlink 102 3" xfId="1382" xr:uid="{00000000-0005-0000-0000-0000E5060000}"/>
    <cellStyle name="Hyperlink 102 9" xfId="1383" xr:uid="{00000000-0005-0000-0000-0000E6060000}"/>
    <cellStyle name="Hyperlink 102_AGL" xfId="1384" xr:uid="{00000000-0005-0000-0000-0000E7060000}"/>
    <cellStyle name="Hyperlink 103" xfId="1385" xr:uid="{00000000-0005-0000-0000-0000E8060000}"/>
    <cellStyle name="Hyperlink 103 2" xfId="1386" xr:uid="{00000000-0005-0000-0000-0000E9060000}"/>
    <cellStyle name="Hyperlink 103 3" xfId="1387" xr:uid="{00000000-0005-0000-0000-0000EA060000}"/>
    <cellStyle name="Hyperlink 103 9" xfId="1388" xr:uid="{00000000-0005-0000-0000-0000EB060000}"/>
    <cellStyle name="Hyperlink 103_AGL" xfId="1389" xr:uid="{00000000-0005-0000-0000-0000EC060000}"/>
    <cellStyle name="Hyperlink 104" xfId="1390" xr:uid="{00000000-0005-0000-0000-0000ED060000}"/>
    <cellStyle name="Hyperlink 104 2" xfId="1391" xr:uid="{00000000-0005-0000-0000-0000EE060000}"/>
    <cellStyle name="Hyperlink 104 3" xfId="1392" xr:uid="{00000000-0005-0000-0000-0000EF060000}"/>
    <cellStyle name="Hyperlink 104 9" xfId="1393" xr:uid="{00000000-0005-0000-0000-0000F0060000}"/>
    <cellStyle name="Hyperlink 104_AGL" xfId="1394" xr:uid="{00000000-0005-0000-0000-0000F1060000}"/>
    <cellStyle name="Hyperlink 105" xfId="1395" xr:uid="{00000000-0005-0000-0000-0000F2060000}"/>
    <cellStyle name="Hyperlink 105 2" xfId="1396" xr:uid="{00000000-0005-0000-0000-0000F3060000}"/>
    <cellStyle name="Hyperlink 105 3" xfId="1397" xr:uid="{00000000-0005-0000-0000-0000F4060000}"/>
    <cellStyle name="Hyperlink 105 9" xfId="1398" xr:uid="{00000000-0005-0000-0000-0000F5060000}"/>
    <cellStyle name="Hyperlink 105_AGL" xfId="1399" xr:uid="{00000000-0005-0000-0000-0000F6060000}"/>
    <cellStyle name="Hyperlink 106" xfId="1400" xr:uid="{00000000-0005-0000-0000-0000F7060000}"/>
    <cellStyle name="Hyperlink 106 2" xfId="1401" xr:uid="{00000000-0005-0000-0000-0000F8060000}"/>
    <cellStyle name="Hyperlink 106 3" xfId="1402" xr:uid="{00000000-0005-0000-0000-0000F9060000}"/>
    <cellStyle name="Hyperlink 106 9" xfId="1403" xr:uid="{00000000-0005-0000-0000-0000FA060000}"/>
    <cellStyle name="Hyperlink 106_AGL" xfId="1404" xr:uid="{00000000-0005-0000-0000-0000FB060000}"/>
    <cellStyle name="Hyperlink 107" xfId="1405" xr:uid="{00000000-0005-0000-0000-0000FC060000}"/>
    <cellStyle name="Hyperlink 107 2" xfId="1406" xr:uid="{00000000-0005-0000-0000-0000FD060000}"/>
    <cellStyle name="Hyperlink 107 3" xfId="1407" xr:uid="{00000000-0005-0000-0000-0000FE060000}"/>
    <cellStyle name="Hyperlink 107 9" xfId="1408" xr:uid="{00000000-0005-0000-0000-0000FF060000}"/>
    <cellStyle name="Hyperlink 107_AGL" xfId="1409" xr:uid="{00000000-0005-0000-0000-000000070000}"/>
    <cellStyle name="Hyperlink 108" xfId="1410" xr:uid="{00000000-0005-0000-0000-000001070000}"/>
    <cellStyle name="Hyperlink 108 2" xfId="1411" xr:uid="{00000000-0005-0000-0000-000002070000}"/>
    <cellStyle name="Hyperlink 108 3" xfId="1412" xr:uid="{00000000-0005-0000-0000-000003070000}"/>
    <cellStyle name="Hyperlink 108 9" xfId="1413" xr:uid="{00000000-0005-0000-0000-000004070000}"/>
    <cellStyle name="Hyperlink 108_AGL" xfId="1414" xr:uid="{00000000-0005-0000-0000-000005070000}"/>
    <cellStyle name="Hyperlink 109" xfId="1415" xr:uid="{00000000-0005-0000-0000-000006070000}"/>
    <cellStyle name="Hyperlink 109 2" xfId="1416" xr:uid="{00000000-0005-0000-0000-000007070000}"/>
    <cellStyle name="Hyperlink 109 3" xfId="1417" xr:uid="{00000000-0005-0000-0000-000008070000}"/>
    <cellStyle name="Hyperlink 109 9" xfId="1418" xr:uid="{00000000-0005-0000-0000-000009070000}"/>
    <cellStyle name="Hyperlink 109_AGL" xfId="1419" xr:uid="{00000000-0005-0000-0000-00000A070000}"/>
    <cellStyle name="Hyperlink 11" xfId="1420" xr:uid="{00000000-0005-0000-0000-00000B070000}"/>
    <cellStyle name="Hyperlink 11 2" xfId="1421" xr:uid="{00000000-0005-0000-0000-00000C070000}"/>
    <cellStyle name="Hyperlink 11 3" xfId="1422" xr:uid="{00000000-0005-0000-0000-00000D070000}"/>
    <cellStyle name="Hyperlink 11 9" xfId="1423" xr:uid="{00000000-0005-0000-0000-00000E070000}"/>
    <cellStyle name="Hyperlink 11_AGL" xfId="1424" xr:uid="{00000000-0005-0000-0000-00000F070000}"/>
    <cellStyle name="Hyperlink 110" xfId="1425" xr:uid="{00000000-0005-0000-0000-000010070000}"/>
    <cellStyle name="Hyperlink 110 2" xfId="1426" xr:uid="{00000000-0005-0000-0000-000011070000}"/>
    <cellStyle name="Hyperlink 110 3" xfId="1427" xr:uid="{00000000-0005-0000-0000-000012070000}"/>
    <cellStyle name="Hyperlink 110 9" xfId="1428" xr:uid="{00000000-0005-0000-0000-000013070000}"/>
    <cellStyle name="Hyperlink 110_AGL" xfId="1429" xr:uid="{00000000-0005-0000-0000-000014070000}"/>
    <cellStyle name="Hyperlink 111" xfId="1430" xr:uid="{00000000-0005-0000-0000-000015070000}"/>
    <cellStyle name="Hyperlink 111 2" xfId="1431" xr:uid="{00000000-0005-0000-0000-000016070000}"/>
    <cellStyle name="Hyperlink 111 3" xfId="1432" xr:uid="{00000000-0005-0000-0000-000017070000}"/>
    <cellStyle name="Hyperlink 111 9" xfId="1433" xr:uid="{00000000-0005-0000-0000-000018070000}"/>
    <cellStyle name="Hyperlink 111_AGL" xfId="1434" xr:uid="{00000000-0005-0000-0000-000019070000}"/>
    <cellStyle name="Hyperlink 112" xfId="1435" xr:uid="{00000000-0005-0000-0000-00001A070000}"/>
    <cellStyle name="Hyperlink 113" xfId="1436" xr:uid="{00000000-0005-0000-0000-00001B070000}"/>
    <cellStyle name="Hyperlink 114" xfId="1437" xr:uid="{00000000-0005-0000-0000-00001C070000}"/>
    <cellStyle name="Hyperlink 115" xfId="1438" xr:uid="{00000000-0005-0000-0000-00001D070000}"/>
    <cellStyle name="Hyperlink 116" xfId="1439" xr:uid="{00000000-0005-0000-0000-00001E070000}"/>
    <cellStyle name="Hyperlink 117" xfId="1440" xr:uid="{00000000-0005-0000-0000-00001F070000}"/>
    <cellStyle name="Hyperlink 118" xfId="1441" xr:uid="{00000000-0005-0000-0000-000020070000}"/>
    <cellStyle name="Hyperlink 119" xfId="1442" xr:uid="{00000000-0005-0000-0000-000021070000}"/>
    <cellStyle name="Hyperlink 12" xfId="1443" xr:uid="{00000000-0005-0000-0000-000022070000}"/>
    <cellStyle name="Hyperlink 12 2" xfId="1444" xr:uid="{00000000-0005-0000-0000-000023070000}"/>
    <cellStyle name="Hyperlink 12 3" xfId="1445" xr:uid="{00000000-0005-0000-0000-000024070000}"/>
    <cellStyle name="Hyperlink 12 9" xfId="1446" xr:uid="{00000000-0005-0000-0000-000025070000}"/>
    <cellStyle name="Hyperlink 12_AGL" xfId="1447" xr:uid="{00000000-0005-0000-0000-000026070000}"/>
    <cellStyle name="Hyperlink 120" xfId="1448" xr:uid="{00000000-0005-0000-0000-000027070000}"/>
    <cellStyle name="Hyperlink 121" xfId="1449" xr:uid="{00000000-0005-0000-0000-000028070000}"/>
    <cellStyle name="Hyperlink 122" xfId="1450" xr:uid="{00000000-0005-0000-0000-000029070000}"/>
    <cellStyle name="Hyperlink 123" xfId="1451" xr:uid="{00000000-0005-0000-0000-00002A070000}"/>
    <cellStyle name="Hyperlink 124" xfId="1452" xr:uid="{00000000-0005-0000-0000-00002B070000}"/>
    <cellStyle name="Hyperlink 125" xfId="1453" xr:uid="{00000000-0005-0000-0000-00002C070000}"/>
    <cellStyle name="Hyperlink 126" xfId="1454" xr:uid="{00000000-0005-0000-0000-00002D070000}"/>
    <cellStyle name="Hyperlink 127" xfId="1455" xr:uid="{00000000-0005-0000-0000-00002E070000}"/>
    <cellStyle name="Hyperlink 128" xfId="1456" xr:uid="{00000000-0005-0000-0000-00002F070000}"/>
    <cellStyle name="Hyperlink 129" xfId="1457" xr:uid="{00000000-0005-0000-0000-000030070000}"/>
    <cellStyle name="Hyperlink 13" xfId="1458" xr:uid="{00000000-0005-0000-0000-000031070000}"/>
    <cellStyle name="Hyperlink 13 2" xfId="1459" xr:uid="{00000000-0005-0000-0000-000032070000}"/>
    <cellStyle name="Hyperlink 13 3" xfId="1460" xr:uid="{00000000-0005-0000-0000-000033070000}"/>
    <cellStyle name="Hyperlink 13 9" xfId="1461" xr:uid="{00000000-0005-0000-0000-000034070000}"/>
    <cellStyle name="Hyperlink 13_AGL" xfId="1462" xr:uid="{00000000-0005-0000-0000-000035070000}"/>
    <cellStyle name="Hyperlink 130" xfId="1463" xr:uid="{00000000-0005-0000-0000-000036070000}"/>
    <cellStyle name="Hyperlink 131" xfId="1464" xr:uid="{00000000-0005-0000-0000-000037070000}"/>
    <cellStyle name="Hyperlink 132" xfId="1465" xr:uid="{00000000-0005-0000-0000-000038070000}"/>
    <cellStyle name="Hyperlink 133" xfId="1466" xr:uid="{00000000-0005-0000-0000-000039070000}"/>
    <cellStyle name="Hyperlink 134" xfId="1467" xr:uid="{00000000-0005-0000-0000-00003A070000}"/>
    <cellStyle name="Hyperlink 135" xfId="1468" xr:uid="{00000000-0005-0000-0000-00003B070000}"/>
    <cellStyle name="Hyperlink 136" xfId="1469" xr:uid="{00000000-0005-0000-0000-00003C070000}"/>
    <cellStyle name="Hyperlink 137" xfId="1470" xr:uid="{00000000-0005-0000-0000-00003D070000}"/>
    <cellStyle name="Hyperlink 138" xfId="1471" xr:uid="{00000000-0005-0000-0000-00003E070000}"/>
    <cellStyle name="Hyperlink 139" xfId="1472" xr:uid="{00000000-0005-0000-0000-00003F070000}"/>
    <cellStyle name="Hyperlink 14" xfId="1473" xr:uid="{00000000-0005-0000-0000-000040070000}"/>
    <cellStyle name="Hyperlink 14 2" xfId="1474" xr:uid="{00000000-0005-0000-0000-000041070000}"/>
    <cellStyle name="Hyperlink 14 3" xfId="1475" xr:uid="{00000000-0005-0000-0000-000042070000}"/>
    <cellStyle name="Hyperlink 14 9" xfId="1476" xr:uid="{00000000-0005-0000-0000-000043070000}"/>
    <cellStyle name="Hyperlink 14_AGL" xfId="1477" xr:uid="{00000000-0005-0000-0000-000044070000}"/>
    <cellStyle name="Hyperlink 140" xfId="1478" xr:uid="{00000000-0005-0000-0000-000045070000}"/>
    <cellStyle name="Hyperlink 141" xfId="1479" xr:uid="{00000000-0005-0000-0000-000046070000}"/>
    <cellStyle name="Hyperlink 142" xfId="1480" xr:uid="{00000000-0005-0000-0000-000047070000}"/>
    <cellStyle name="Hyperlink 143" xfId="1481" xr:uid="{00000000-0005-0000-0000-000048070000}"/>
    <cellStyle name="Hyperlink 144" xfId="1482" xr:uid="{00000000-0005-0000-0000-000049070000}"/>
    <cellStyle name="Hyperlink 145" xfId="1483" xr:uid="{00000000-0005-0000-0000-00004A070000}"/>
    <cellStyle name="Hyperlink 146" xfId="1484" xr:uid="{00000000-0005-0000-0000-00004B070000}"/>
    <cellStyle name="Hyperlink 147" xfId="1485" xr:uid="{00000000-0005-0000-0000-00004C070000}"/>
    <cellStyle name="Hyperlink 148" xfId="1486" xr:uid="{00000000-0005-0000-0000-00004D070000}"/>
    <cellStyle name="Hyperlink 149" xfId="1487" xr:uid="{00000000-0005-0000-0000-00004E070000}"/>
    <cellStyle name="Hyperlink 15" xfId="1488" xr:uid="{00000000-0005-0000-0000-00004F070000}"/>
    <cellStyle name="Hyperlink 15 2" xfId="1489" xr:uid="{00000000-0005-0000-0000-000050070000}"/>
    <cellStyle name="Hyperlink 15 3" xfId="1490" xr:uid="{00000000-0005-0000-0000-000051070000}"/>
    <cellStyle name="Hyperlink 15 9" xfId="1491" xr:uid="{00000000-0005-0000-0000-000052070000}"/>
    <cellStyle name="Hyperlink 15_AGL" xfId="1492" xr:uid="{00000000-0005-0000-0000-000053070000}"/>
    <cellStyle name="Hyperlink 150" xfId="1493" xr:uid="{00000000-0005-0000-0000-000054070000}"/>
    <cellStyle name="Hyperlink 151" xfId="1494" xr:uid="{00000000-0005-0000-0000-000055070000}"/>
    <cellStyle name="Hyperlink 152" xfId="1495" xr:uid="{00000000-0005-0000-0000-000056070000}"/>
    <cellStyle name="Hyperlink 153" xfId="1496" xr:uid="{00000000-0005-0000-0000-000057070000}"/>
    <cellStyle name="Hyperlink 154" xfId="1497" xr:uid="{00000000-0005-0000-0000-000058070000}"/>
    <cellStyle name="Hyperlink 155" xfId="1498" xr:uid="{00000000-0005-0000-0000-000059070000}"/>
    <cellStyle name="Hyperlink 156" xfId="1499" xr:uid="{00000000-0005-0000-0000-00005A070000}"/>
    <cellStyle name="Hyperlink 157" xfId="1500" xr:uid="{00000000-0005-0000-0000-00005B070000}"/>
    <cellStyle name="Hyperlink 158" xfId="1501" xr:uid="{00000000-0005-0000-0000-00005C070000}"/>
    <cellStyle name="Hyperlink 159" xfId="1502" xr:uid="{00000000-0005-0000-0000-00005D070000}"/>
    <cellStyle name="Hyperlink 16" xfId="1503" xr:uid="{00000000-0005-0000-0000-00005E070000}"/>
    <cellStyle name="Hyperlink 16 2" xfId="1504" xr:uid="{00000000-0005-0000-0000-00005F070000}"/>
    <cellStyle name="Hyperlink 16 3" xfId="1505" xr:uid="{00000000-0005-0000-0000-000060070000}"/>
    <cellStyle name="Hyperlink 16 9" xfId="1506" xr:uid="{00000000-0005-0000-0000-000061070000}"/>
    <cellStyle name="Hyperlink 16_AGL" xfId="1507" xr:uid="{00000000-0005-0000-0000-000062070000}"/>
    <cellStyle name="Hyperlink 160" xfId="1508" xr:uid="{00000000-0005-0000-0000-000063070000}"/>
    <cellStyle name="Hyperlink 161" xfId="1509" xr:uid="{00000000-0005-0000-0000-000064070000}"/>
    <cellStyle name="Hyperlink 162" xfId="1510" xr:uid="{00000000-0005-0000-0000-000065070000}"/>
    <cellStyle name="Hyperlink 163" xfId="1511" xr:uid="{00000000-0005-0000-0000-000066070000}"/>
    <cellStyle name="Hyperlink 164" xfId="1512" xr:uid="{00000000-0005-0000-0000-000067070000}"/>
    <cellStyle name="Hyperlink 165" xfId="1513" xr:uid="{00000000-0005-0000-0000-000068070000}"/>
    <cellStyle name="Hyperlink 166" xfId="1514" xr:uid="{00000000-0005-0000-0000-000069070000}"/>
    <cellStyle name="Hyperlink 167" xfId="1515" xr:uid="{00000000-0005-0000-0000-00006A070000}"/>
    <cellStyle name="Hyperlink 168" xfId="1516" xr:uid="{00000000-0005-0000-0000-00006B070000}"/>
    <cellStyle name="Hyperlink 169" xfId="1517" xr:uid="{00000000-0005-0000-0000-00006C070000}"/>
    <cellStyle name="Hyperlink 17" xfId="1518" xr:uid="{00000000-0005-0000-0000-00006D070000}"/>
    <cellStyle name="Hyperlink 17 2" xfId="1519" xr:uid="{00000000-0005-0000-0000-00006E070000}"/>
    <cellStyle name="Hyperlink 17 3" xfId="1520" xr:uid="{00000000-0005-0000-0000-00006F070000}"/>
    <cellStyle name="Hyperlink 17 9" xfId="1521" xr:uid="{00000000-0005-0000-0000-000070070000}"/>
    <cellStyle name="Hyperlink 17_AGL" xfId="1522" xr:uid="{00000000-0005-0000-0000-000071070000}"/>
    <cellStyle name="Hyperlink 170" xfId="1523" xr:uid="{00000000-0005-0000-0000-000072070000}"/>
    <cellStyle name="Hyperlink 171" xfId="1524" xr:uid="{00000000-0005-0000-0000-000073070000}"/>
    <cellStyle name="Hyperlink 172" xfId="1525" xr:uid="{00000000-0005-0000-0000-000074070000}"/>
    <cellStyle name="Hyperlink 173" xfId="1526" xr:uid="{00000000-0005-0000-0000-000075070000}"/>
    <cellStyle name="Hyperlink 174" xfId="1527" xr:uid="{00000000-0005-0000-0000-000076070000}"/>
    <cellStyle name="Hyperlink 175" xfId="1528" xr:uid="{00000000-0005-0000-0000-000077070000}"/>
    <cellStyle name="Hyperlink 176" xfId="1529" xr:uid="{00000000-0005-0000-0000-000078070000}"/>
    <cellStyle name="Hyperlink 177" xfId="1530" xr:uid="{00000000-0005-0000-0000-000079070000}"/>
    <cellStyle name="Hyperlink 178" xfId="1531" xr:uid="{00000000-0005-0000-0000-00007A070000}"/>
    <cellStyle name="Hyperlink 179" xfId="1532" xr:uid="{00000000-0005-0000-0000-00007B070000}"/>
    <cellStyle name="Hyperlink 18" xfId="1533" xr:uid="{00000000-0005-0000-0000-00007C070000}"/>
    <cellStyle name="Hyperlink 18 2" xfId="1534" xr:uid="{00000000-0005-0000-0000-00007D070000}"/>
    <cellStyle name="Hyperlink 18 3" xfId="1535" xr:uid="{00000000-0005-0000-0000-00007E070000}"/>
    <cellStyle name="Hyperlink 18 9" xfId="1536" xr:uid="{00000000-0005-0000-0000-00007F070000}"/>
    <cellStyle name="Hyperlink 18_AGL" xfId="1537" xr:uid="{00000000-0005-0000-0000-000080070000}"/>
    <cellStyle name="Hyperlink 180" xfId="1538" xr:uid="{00000000-0005-0000-0000-000081070000}"/>
    <cellStyle name="Hyperlink 181" xfId="1539" xr:uid="{00000000-0005-0000-0000-000082070000}"/>
    <cellStyle name="Hyperlink 182" xfId="1540" xr:uid="{00000000-0005-0000-0000-000083070000}"/>
    <cellStyle name="Hyperlink 183" xfId="1541" xr:uid="{00000000-0005-0000-0000-000084070000}"/>
    <cellStyle name="Hyperlink 184" xfId="1542" xr:uid="{00000000-0005-0000-0000-000085070000}"/>
    <cellStyle name="Hyperlink 185" xfId="1543" xr:uid="{00000000-0005-0000-0000-000086070000}"/>
    <cellStyle name="Hyperlink 186" xfId="1544" xr:uid="{00000000-0005-0000-0000-000087070000}"/>
    <cellStyle name="Hyperlink 187" xfId="1545" xr:uid="{00000000-0005-0000-0000-000088070000}"/>
    <cellStyle name="Hyperlink 188" xfId="1546" xr:uid="{00000000-0005-0000-0000-000089070000}"/>
    <cellStyle name="Hyperlink 189" xfId="1547" xr:uid="{00000000-0005-0000-0000-00008A070000}"/>
    <cellStyle name="Hyperlink 19" xfId="1548" xr:uid="{00000000-0005-0000-0000-00008B070000}"/>
    <cellStyle name="Hyperlink 19 2" xfId="1549" xr:uid="{00000000-0005-0000-0000-00008C070000}"/>
    <cellStyle name="Hyperlink 19 3" xfId="1550" xr:uid="{00000000-0005-0000-0000-00008D070000}"/>
    <cellStyle name="Hyperlink 19 9" xfId="1551" xr:uid="{00000000-0005-0000-0000-00008E070000}"/>
    <cellStyle name="Hyperlink 19_AGL" xfId="1552" xr:uid="{00000000-0005-0000-0000-00008F070000}"/>
    <cellStyle name="Hyperlink 190" xfId="1553" xr:uid="{00000000-0005-0000-0000-000090070000}"/>
    <cellStyle name="Hyperlink 191" xfId="1554" xr:uid="{00000000-0005-0000-0000-000091070000}"/>
    <cellStyle name="Hyperlink 192" xfId="1555" xr:uid="{00000000-0005-0000-0000-000092070000}"/>
    <cellStyle name="Hyperlink 193" xfId="1556" xr:uid="{00000000-0005-0000-0000-000093070000}"/>
    <cellStyle name="Hyperlink 194" xfId="1557" xr:uid="{00000000-0005-0000-0000-000094070000}"/>
    <cellStyle name="Hyperlink 195" xfId="1558" xr:uid="{00000000-0005-0000-0000-000095070000}"/>
    <cellStyle name="Hyperlink 196" xfId="1559" xr:uid="{00000000-0005-0000-0000-000096070000}"/>
    <cellStyle name="Hyperlink 197" xfId="1560" xr:uid="{00000000-0005-0000-0000-000097070000}"/>
    <cellStyle name="Hyperlink 198" xfId="1561" xr:uid="{00000000-0005-0000-0000-000098070000}"/>
    <cellStyle name="Hyperlink 199" xfId="1562" xr:uid="{00000000-0005-0000-0000-000099070000}"/>
    <cellStyle name="Hyperlink 2" xfId="26" xr:uid="{00000000-0005-0000-0000-00009A070000}"/>
    <cellStyle name="Hyperlink 2 2" xfId="1563" xr:uid="{00000000-0005-0000-0000-00009B070000}"/>
    <cellStyle name="Hyperlink 2 2 2" xfId="1564" xr:uid="{00000000-0005-0000-0000-00009C070000}"/>
    <cellStyle name="Hyperlink 2 2 3" xfId="1565" xr:uid="{00000000-0005-0000-0000-00009D070000}"/>
    <cellStyle name="Hyperlink 2 2 4" xfId="1566" xr:uid="{00000000-0005-0000-0000-00009E070000}"/>
    <cellStyle name="Hyperlink 2 2_AGL" xfId="1567" xr:uid="{00000000-0005-0000-0000-00009F070000}"/>
    <cellStyle name="Hyperlink 2 20" xfId="1568" xr:uid="{00000000-0005-0000-0000-0000A0070000}"/>
    <cellStyle name="Hyperlink 2 21" xfId="1569" xr:uid="{00000000-0005-0000-0000-0000A1070000}"/>
    <cellStyle name="Hyperlink 2 22" xfId="1570" xr:uid="{00000000-0005-0000-0000-0000A2070000}"/>
    <cellStyle name="Hyperlink 2 23" xfId="1571" xr:uid="{00000000-0005-0000-0000-0000A3070000}"/>
    <cellStyle name="Hyperlink 2 24" xfId="1572" xr:uid="{00000000-0005-0000-0000-0000A4070000}"/>
    <cellStyle name="Hyperlink 2 25" xfId="1573" xr:uid="{00000000-0005-0000-0000-0000A5070000}"/>
    <cellStyle name="Hyperlink 2 26" xfId="1574" xr:uid="{00000000-0005-0000-0000-0000A6070000}"/>
    <cellStyle name="Hyperlink 2 27" xfId="1575" xr:uid="{00000000-0005-0000-0000-0000A7070000}"/>
    <cellStyle name="Hyperlink 2 28" xfId="1576" xr:uid="{00000000-0005-0000-0000-0000A8070000}"/>
    <cellStyle name="Hyperlink 2 3" xfId="1577" xr:uid="{00000000-0005-0000-0000-0000A9070000}"/>
    <cellStyle name="Hyperlink 2 4" xfId="1578" xr:uid="{00000000-0005-0000-0000-0000AA070000}"/>
    <cellStyle name="Hyperlink 2 5" xfId="1579" xr:uid="{00000000-0005-0000-0000-0000AB070000}"/>
    <cellStyle name="Hyperlink 2 6" xfId="1580" xr:uid="{00000000-0005-0000-0000-0000AC070000}"/>
    <cellStyle name="Hyperlink 2 7" xfId="1581" xr:uid="{00000000-0005-0000-0000-0000AD070000}"/>
    <cellStyle name="Hyperlink 2 8" xfId="1582" xr:uid="{00000000-0005-0000-0000-0000AE070000}"/>
    <cellStyle name="Hyperlink 2 9" xfId="1583" xr:uid="{00000000-0005-0000-0000-0000AF070000}"/>
    <cellStyle name="Hyperlink 2_AGL" xfId="1584" xr:uid="{00000000-0005-0000-0000-0000B0070000}"/>
    <cellStyle name="Hyperlink 20" xfId="1585" xr:uid="{00000000-0005-0000-0000-0000B1070000}"/>
    <cellStyle name="Hyperlink 20 2" xfId="1586" xr:uid="{00000000-0005-0000-0000-0000B2070000}"/>
    <cellStyle name="Hyperlink 20 3" xfId="1587" xr:uid="{00000000-0005-0000-0000-0000B3070000}"/>
    <cellStyle name="Hyperlink 20 9" xfId="1588" xr:uid="{00000000-0005-0000-0000-0000B4070000}"/>
    <cellStyle name="Hyperlink 20_AGL" xfId="1589" xr:uid="{00000000-0005-0000-0000-0000B5070000}"/>
    <cellStyle name="Hyperlink 200" xfId="1590" xr:uid="{00000000-0005-0000-0000-0000B6070000}"/>
    <cellStyle name="Hyperlink 201" xfId="1591" xr:uid="{00000000-0005-0000-0000-0000B7070000}"/>
    <cellStyle name="Hyperlink 202" xfId="1592" xr:uid="{00000000-0005-0000-0000-0000B8070000}"/>
    <cellStyle name="Hyperlink 203" xfId="1593" xr:uid="{00000000-0005-0000-0000-0000B9070000}"/>
    <cellStyle name="Hyperlink 204" xfId="1594" xr:uid="{00000000-0005-0000-0000-0000BA070000}"/>
    <cellStyle name="Hyperlink 205" xfId="1595" xr:uid="{00000000-0005-0000-0000-0000BB070000}"/>
    <cellStyle name="Hyperlink 206" xfId="1596" xr:uid="{00000000-0005-0000-0000-0000BC070000}"/>
    <cellStyle name="Hyperlink 207" xfId="1597" xr:uid="{00000000-0005-0000-0000-0000BD070000}"/>
    <cellStyle name="Hyperlink 208" xfId="1598" xr:uid="{00000000-0005-0000-0000-0000BE070000}"/>
    <cellStyle name="Hyperlink 209" xfId="1599" xr:uid="{00000000-0005-0000-0000-0000BF070000}"/>
    <cellStyle name="Hyperlink 21" xfId="1600" xr:uid="{00000000-0005-0000-0000-0000C0070000}"/>
    <cellStyle name="Hyperlink 21 2" xfId="1601" xr:uid="{00000000-0005-0000-0000-0000C1070000}"/>
    <cellStyle name="Hyperlink 21 3" xfId="1602" xr:uid="{00000000-0005-0000-0000-0000C2070000}"/>
    <cellStyle name="Hyperlink 21 9" xfId="1603" xr:uid="{00000000-0005-0000-0000-0000C3070000}"/>
    <cellStyle name="Hyperlink 21_AGL" xfId="1604" xr:uid="{00000000-0005-0000-0000-0000C4070000}"/>
    <cellStyle name="Hyperlink 210" xfId="1605" xr:uid="{00000000-0005-0000-0000-0000C5070000}"/>
    <cellStyle name="Hyperlink 211" xfId="1606" xr:uid="{00000000-0005-0000-0000-0000C6070000}"/>
    <cellStyle name="Hyperlink 212" xfId="1607" xr:uid="{00000000-0005-0000-0000-0000C7070000}"/>
    <cellStyle name="Hyperlink 213" xfId="1608" xr:uid="{00000000-0005-0000-0000-0000C8070000}"/>
    <cellStyle name="Hyperlink 214" xfId="1609" xr:uid="{00000000-0005-0000-0000-0000C9070000}"/>
    <cellStyle name="Hyperlink 215" xfId="1610" xr:uid="{00000000-0005-0000-0000-0000CA070000}"/>
    <cellStyle name="Hyperlink 216" xfId="1611" xr:uid="{00000000-0005-0000-0000-0000CB070000}"/>
    <cellStyle name="Hyperlink 217" xfId="1612" xr:uid="{00000000-0005-0000-0000-0000CC070000}"/>
    <cellStyle name="Hyperlink 218" xfId="1613" xr:uid="{00000000-0005-0000-0000-0000CD070000}"/>
    <cellStyle name="Hyperlink 219" xfId="1614" xr:uid="{00000000-0005-0000-0000-0000CE070000}"/>
    <cellStyle name="Hyperlink 22" xfId="1615" xr:uid="{00000000-0005-0000-0000-0000CF070000}"/>
    <cellStyle name="Hyperlink 22 2" xfId="1616" xr:uid="{00000000-0005-0000-0000-0000D0070000}"/>
    <cellStyle name="Hyperlink 22 3" xfId="1617" xr:uid="{00000000-0005-0000-0000-0000D1070000}"/>
    <cellStyle name="Hyperlink 22 9" xfId="1618" xr:uid="{00000000-0005-0000-0000-0000D2070000}"/>
    <cellStyle name="Hyperlink 22_AGL" xfId="1619" xr:uid="{00000000-0005-0000-0000-0000D3070000}"/>
    <cellStyle name="Hyperlink 220" xfId="1620" xr:uid="{00000000-0005-0000-0000-0000D4070000}"/>
    <cellStyle name="Hyperlink 221" xfId="1621" xr:uid="{00000000-0005-0000-0000-0000D5070000}"/>
    <cellStyle name="Hyperlink 222" xfId="1622" xr:uid="{00000000-0005-0000-0000-0000D6070000}"/>
    <cellStyle name="Hyperlink 223" xfId="1623" xr:uid="{00000000-0005-0000-0000-0000D7070000}"/>
    <cellStyle name="Hyperlink 224" xfId="1624" xr:uid="{00000000-0005-0000-0000-0000D8070000}"/>
    <cellStyle name="Hyperlink 225" xfId="1625" xr:uid="{00000000-0005-0000-0000-0000D9070000}"/>
    <cellStyle name="Hyperlink 226" xfId="1626" xr:uid="{00000000-0005-0000-0000-0000DA070000}"/>
    <cellStyle name="Hyperlink 227" xfId="1627" xr:uid="{00000000-0005-0000-0000-0000DB070000}"/>
    <cellStyle name="Hyperlink 228" xfId="1628" xr:uid="{00000000-0005-0000-0000-0000DC070000}"/>
    <cellStyle name="Hyperlink 229" xfId="1629" xr:uid="{00000000-0005-0000-0000-0000DD070000}"/>
    <cellStyle name="Hyperlink 23" xfId="1630" xr:uid="{00000000-0005-0000-0000-0000DE070000}"/>
    <cellStyle name="Hyperlink 23 2" xfId="1631" xr:uid="{00000000-0005-0000-0000-0000DF070000}"/>
    <cellStyle name="Hyperlink 23 3" xfId="1632" xr:uid="{00000000-0005-0000-0000-0000E0070000}"/>
    <cellStyle name="Hyperlink 23 9" xfId="1633" xr:uid="{00000000-0005-0000-0000-0000E1070000}"/>
    <cellStyle name="Hyperlink 23_AGL" xfId="1634" xr:uid="{00000000-0005-0000-0000-0000E2070000}"/>
    <cellStyle name="Hyperlink 230" xfId="1635" xr:uid="{00000000-0005-0000-0000-0000E3070000}"/>
    <cellStyle name="Hyperlink 24" xfId="1636" xr:uid="{00000000-0005-0000-0000-0000E4070000}"/>
    <cellStyle name="Hyperlink 24 2" xfId="1637" xr:uid="{00000000-0005-0000-0000-0000E5070000}"/>
    <cellStyle name="Hyperlink 24 3" xfId="1638" xr:uid="{00000000-0005-0000-0000-0000E6070000}"/>
    <cellStyle name="Hyperlink 24 9" xfId="1639" xr:uid="{00000000-0005-0000-0000-0000E7070000}"/>
    <cellStyle name="Hyperlink 24_AGL" xfId="1640" xr:uid="{00000000-0005-0000-0000-0000E8070000}"/>
    <cellStyle name="Hyperlink 25" xfId="1641" xr:uid="{00000000-0005-0000-0000-0000E9070000}"/>
    <cellStyle name="Hyperlink 25 2" xfId="1642" xr:uid="{00000000-0005-0000-0000-0000EA070000}"/>
    <cellStyle name="Hyperlink 25 3" xfId="1643" xr:uid="{00000000-0005-0000-0000-0000EB070000}"/>
    <cellStyle name="Hyperlink 25 9" xfId="1644" xr:uid="{00000000-0005-0000-0000-0000EC070000}"/>
    <cellStyle name="Hyperlink 25_AGL" xfId="1645" xr:uid="{00000000-0005-0000-0000-0000ED070000}"/>
    <cellStyle name="Hyperlink 26" xfId="1646" xr:uid="{00000000-0005-0000-0000-0000EE070000}"/>
    <cellStyle name="Hyperlink 26 2" xfId="1647" xr:uid="{00000000-0005-0000-0000-0000EF070000}"/>
    <cellStyle name="Hyperlink 26 3" xfId="1648" xr:uid="{00000000-0005-0000-0000-0000F0070000}"/>
    <cellStyle name="Hyperlink 26 9" xfId="1649" xr:uid="{00000000-0005-0000-0000-0000F1070000}"/>
    <cellStyle name="Hyperlink 26_AGL" xfId="1650" xr:uid="{00000000-0005-0000-0000-0000F2070000}"/>
    <cellStyle name="Hyperlink 27" xfId="1651" xr:uid="{00000000-0005-0000-0000-0000F3070000}"/>
    <cellStyle name="Hyperlink 27 2" xfId="1652" xr:uid="{00000000-0005-0000-0000-0000F4070000}"/>
    <cellStyle name="Hyperlink 27 3" xfId="1653" xr:uid="{00000000-0005-0000-0000-0000F5070000}"/>
    <cellStyle name="Hyperlink 27 9" xfId="1654" xr:uid="{00000000-0005-0000-0000-0000F6070000}"/>
    <cellStyle name="Hyperlink 27_AGL" xfId="1655" xr:uid="{00000000-0005-0000-0000-0000F7070000}"/>
    <cellStyle name="Hyperlink 28" xfId="1656" xr:uid="{00000000-0005-0000-0000-0000F8070000}"/>
    <cellStyle name="Hyperlink 28 2" xfId="1657" xr:uid="{00000000-0005-0000-0000-0000F9070000}"/>
    <cellStyle name="Hyperlink 28 3" xfId="1658" xr:uid="{00000000-0005-0000-0000-0000FA070000}"/>
    <cellStyle name="Hyperlink 28 9" xfId="1659" xr:uid="{00000000-0005-0000-0000-0000FB070000}"/>
    <cellStyle name="Hyperlink 28_AGL" xfId="1660" xr:uid="{00000000-0005-0000-0000-0000FC070000}"/>
    <cellStyle name="Hyperlink 29" xfId="1661" xr:uid="{00000000-0005-0000-0000-0000FD070000}"/>
    <cellStyle name="Hyperlink 29 2" xfId="1662" xr:uid="{00000000-0005-0000-0000-0000FE070000}"/>
    <cellStyle name="Hyperlink 29 3" xfId="1663" xr:uid="{00000000-0005-0000-0000-0000FF070000}"/>
    <cellStyle name="Hyperlink 29 9" xfId="1664" xr:uid="{00000000-0005-0000-0000-000000080000}"/>
    <cellStyle name="Hyperlink 29_AGL" xfId="1665" xr:uid="{00000000-0005-0000-0000-000001080000}"/>
    <cellStyle name="Hyperlink 3" xfId="1666" xr:uid="{00000000-0005-0000-0000-000002080000}"/>
    <cellStyle name="Hyperlink 3 2" xfId="1667" xr:uid="{00000000-0005-0000-0000-000003080000}"/>
    <cellStyle name="Hyperlink 3 3" xfId="1668" xr:uid="{00000000-0005-0000-0000-000004080000}"/>
    <cellStyle name="Hyperlink 3 9" xfId="1669" xr:uid="{00000000-0005-0000-0000-000005080000}"/>
    <cellStyle name="Hyperlink 3_AGL" xfId="1670" xr:uid="{00000000-0005-0000-0000-000006080000}"/>
    <cellStyle name="Hyperlink 30" xfId="1671" xr:uid="{00000000-0005-0000-0000-000007080000}"/>
    <cellStyle name="Hyperlink 30 2" xfId="1672" xr:uid="{00000000-0005-0000-0000-000008080000}"/>
    <cellStyle name="Hyperlink 30 3" xfId="1673" xr:uid="{00000000-0005-0000-0000-000009080000}"/>
    <cellStyle name="Hyperlink 30 9" xfId="1674" xr:uid="{00000000-0005-0000-0000-00000A080000}"/>
    <cellStyle name="Hyperlink 30_AGL" xfId="1675" xr:uid="{00000000-0005-0000-0000-00000B080000}"/>
    <cellStyle name="Hyperlink 31" xfId="1676" xr:uid="{00000000-0005-0000-0000-00000C080000}"/>
    <cellStyle name="Hyperlink 31 2" xfId="1677" xr:uid="{00000000-0005-0000-0000-00000D080000}"/>
    <cellStyle name="Hyperlink 31 3" xfId="1678" xr:uid="{00000000-0005-0000-0000-00000E080000}"/>
    <cellStyle name="Hyperlink 31 9" xfId="1679" xr:uid="{00000000-0005-0000-0000-00000F080000}"/>
    <cellStyle name="Hyperlink 31_AGL" xfId="1680" xr:uid="{00000000-0005-0000-0000-000010080000}"/>
    <cellStyle name="Hyperlink 32" xfId="1681" xr:uid="{00000000-0005-0000-0000-000011080000}"/>
    <cellStyle name="Hyperlink 32 2" xfId="1682" xr:uid="{00000000-0005-0000-0000-000012080000}"/>
    <cellStyle name="Hyperlink 32 3" xfId="1683" xr:uid="{00000000-0005-0000-0000-000013080000}"/>
    <cellStyle name="Hyperlink 32 9" xfId="1684" xr:uid="{00000000-0005-0000-0000-000014080000}"/>
    <cellStyle name="Hyperlink 32_AGL" xfId="1685" xr:uid="{00000000-0005-0000-0000-000015080000}"/>
    <cellStyle name="Hyperlink 33" xfId="1686" xr:uid="{00000000-0005-0000-0000-000016080000}"/>
    <cellStyle name="Hyperlink 33 2" xfId="1687" xr:uid="{00000000-0005-0000-0000-000017080000}"/>
    <cellStyle name="Hyperlink 33 3" xfId="1688" xr:uid="{00000000-0005-0000-0000-000018080000}"/>
    <cellStyle name="Hyperlink 33 9" xfId="1689" xr:uid="{00000000-0005-0000-0000-000019080000}"/>
    <cellStyle name="Hyperlink 33_AGL" xfId="1690" xr:uid="{00000000-0005-0000-0000-00001A080000}"/>
    <cellStyle name="Hyperlink 34" xfId="1691" xr:uid="{00000000-0005-0000-0000-00001B080000}"/>
    <cellStyle name="Hyperlink 34 2" xfId="1692" xr:uid="{00000000-0005-0000-0000-00001C080000}"/>
    <cellStyle name="Hyperlink 34 3" xfId="1693" xr:uid="{00000000-0005-0000-0000-00001D080000}"/>
    <cellStyle name="Hyperlink 34 9" xfId="1694" xr:uid="{00000000-0005-0000-0000-00001E080000}"/>
    <cellStyle name="Hyperlink 34_AGL" xfId="1695" xr:uid="{00000000-0005-0000-0000-00001F080000}"/>
    <cellStyle name="Hyperlink 35" xfId="1696" xr:uid="{00000000-0005-0000-0000-000020080000}"/>
    <cellStyle name="Hyperlink 35 2" xfId="1697" xr:uid="{00000000-0005-0000-0000-000021080000}"/>
    <cellStyle name="Hyperlink 35 3" xfId="1698" xr:uid="{00000000-0005-0000-0000-000022080000}"/>
    <cellStyle name="Hyperlink 35 9" xfId="1699" xr:uid="{00000000-0005-0000-0000-000023080000}"/>
    <cellStyle name="Hyperlink 35_AGL" xfId="1700" xr:uid="{00000000-0005-0000-0000-000024080000}"/>
    <cellStyle name="Hyperlink 36" xfId="1701" xr:uid="{00000000-0005-0000-0000-000025080000}"/>
    <cellStyle name="Hyperlink 36 2" xfId="1702" xr:uid="{00000000-0005-0000-0000-000026080000}"/>
    <cellStyle name="Hyperlink 36 3" xfId="1703" xr:uid="{00000000-0005-0000-0000-000027080000}"/>
    <cellStyle name="Hyperlink 36 9" xfId="1704" xr:uid="{00000000-0005-0000-0000-000028080000}"/>
    <cellStyle name="Hyperlink 36_AGL" xfId="1705" xr:uid="{00000000-0005-0000-0000-000029080000}"/>
    <cellStyle name="Hyperlink 37" xfId="1706" xr:uid="{00000000-0005-0000-0000-00002A080000}"/>
    <cellStyle name="Hyperlink 37 2" xfId="1707" xr:uid="{00000000-0005-0000-0000-00002B080000}"/>
    <cellStyle name="Hyperlink 37 3" xfId="1708" xr:uid="{00000000-0005-0000-0000-00002C080000}"/>
    <cellStyle name="Hyperlink 37 9" xfId="1709" xr:uid="{00000000-0005-0000-0000-00002D080000}"/>
    <cellStyle name="Hyperlink 37_AGL" xfId="1710" xr:uid="{00000000-0005-0000-0000-00002E080000}"/>
    <cellStyle name="Hyperlink 38" xfId="1711" xr:uid="{00000000-0005-0000-0000-00002F080000}"/>
    <cellStyle name="Hyperlink 38 2" xfId="1712" xr:uid="{00000000-0005-0000-0000-000030080000}"/>
    <cellStyle name="Hyperlink 38 3" xfId="1713" xr:uid="{00000000-0005-0000-0000-000031080000}"/>
    <cellStyle name="Hyperlink 38 9" xfId="1714" xr:uid="{00000000-0005-0000-0000-000032080000}"/>
    <cellStyle name="Hyperlink 38_AGL" xfId="1715" xr:uid="{00000000-0005-0000-0000-000033080000}"/>
    <cellStyle name="Hyperlink 39" xfId="1716" xr:uid="{00000000-0005-0000-0000-000034080000}"/>
    <cellStyle name="Hyperlink 39 2" xfId="1717" xr:uid="{00000000-0005-0000-0000-000035080000}"/>
    <cellStyle name="Hyperlink 39 3" xfId="1718" xr:uid="{00000000-0005-0000-0000-000036080000}"/>
    <cellStyle name="Hyperlink 39 9" xfId="1719" xr:uid="{00000000-0005-0000-0000-000037080000}"/>
    <cellStyle name="Hyperlink 39_AGL" xfId="1720" xr:uid="{00000000-0005-0000-0000-000038080000}"/>
    <cellStyle name="Hyperlink 4" xfId="1721" xr:uid="{00000000-0005-0000-0000-000039080000}"/>
    <cellStyle name="Hyperlink 4 2" xfId="1722" xr:uid="{00000000-0005-0000-0000-00003A080000}"/>
    <cellStyle name="Hyperlink 4 3" xfId="1723" xr:uid="{00000000-0005-0000-0000-00003B080000}"/>
    <cellStyle name="Hyperlink 4 9" xfId="1724" xr:uid="{00000000-0005-0000-0000-00003C080000}"/>
    <cellStyle name="Hyperlink 4_AGL" xfId="1725" xr:uid="{00000000-0005-0000-0000-00003D080000}"/>
    <cellStyle name="Hyperlink 40" xfId="1726" xr:uid="{00000000-0005-0000-0000-00003E080000}"/>
    <cellStyle name="Hyperlink 40 2" xfId="1727" xr:uid="{00000000-0005-0000-0000-00003F080000}"/>
    <cellStyle name="Hyperlink 40 3" xfId="1728" xr:uid="{00000000-0005-0000-0000-000040080000}"/>
    <cellStyle name="Hyperlink 40 9" xfId="1729" xr:uid="{00000000-0005-0000-0000-000041080000}"/>
    <cellStyle name="Hyperlink 40_AGL" xfId="1730" xr:uid="{00000000-0005-0000-0000-000042080000}"/>
    <cellStyle name="Hyperlink 41" xfId="1731" xr:uid="{00000000-0005-0000-0000-000043080000}"/>
    <cellStyle name="Hyperlink 41 2" xfId="1732" xr:uid="{00000000-0005-0000-0000-000044080000}"/>
    <cellStyle name="Hyperlink 41 3" xfId="1733" xr:uid="{00000000-0005-0000-0000-000045080000}"/>
    <cellStyle name="Hyperlink 41 9" xfId="1734" xr:uid="{00000000-0005-0000-0000-000046080000}"/>
    <cellStyle name="Hyperlink 41_AGL" xfId="1735" xr:uid="{00000000-0005-0000-0000-000047080000}"/>
    <cellStyle name="Hyperlink 42" xfId="1736" xr:uid="{00000000-0005-0000-0000-000048080000}"/>
    <cellStyle name="Hyperlink 42 2" xfId="1737" xr:uid="{00000000-0005-0000-0000-000049080000}"/>
    <cellStyle name="Hyperlink 42 3" xfId="1738" xr:uid="{00000000-0005-0000-0000-00004A080000}"/>
    <cellStyle name="Hyperlink 42 9" xfId="1739" xr:uid="{00000000-0005-0000-0000-00004B080000}"/>
    <cellStyle name="Hyperlink 42_AGL" xfId="1740" xr:uid="{00000000-0005-0000-0000-00004C080000}"/>
    <cellStyle name="Hyperlink 43" xfId="1741" xr:uid="{00000000-0005-0000-0000-00004D080000}"/>
    <cellStyle name="Hyperlink 43 2" xfId="1742" xr:uid="{00000000-0005-0000-0000-00004E080000}"/>
    <cellStyle name="Hyperlink 43 3" xfId="1743" xr:uid="{00000000-0005-0000-0000-00004F080000}"/>
    <cellStyle name="Hyperlink 43 9" xfId="1744" xr:uid="{00000000-0005-0000-0000-000050080000}"/>
    <cellStyle name="Hyperlink 43_AGL" xfId="1745" xr:uid="{00000000-0005-0000-0000-000051080000}"/>
    <cellStyle name="Hyperlink 44" xfId="1746" xr:uid="{00000000-0005-0000-0000-000052080000}"/>
    <cellStyle name="Hyperlink 44 2" xfId="1747" xr:uid="{00000000-0005-0000-0000-000053080000}"/>
    <cellStyle name="Hyperlink 44 3" xfId="1748" xr:uid="{00000000-0005-0000-0000-000054080000}"/>
    <cellStyle name="Hyperlink 44 9" xfId="1749" xr:uid="{00000000-0005-0000-0000-000055080000}"/>
    <cellStyle name="Hyperlink 44_AGL" xfId="1750" xr:uid="{00000000-0005-0000-0000-000056080000}"/>
    <cellStyle name="Hyperlink 45" xfId="1751" xr:uid="{00000000-0005-0000-0000-000057080000}"/>
    <cellStyle name="Hyperlink 45 2" xfId="1752" xr:uid="{00000000-0005-0000-0000-000058080000}"/>
    <cellStyle name="Hyperlink 45 3" xfId="1753" xr:uid="{00000000-0005-0000-0000-000059080000}"/>
    <cellStyle name="Hyperlink 45 9" xfId="1754" xr:uid="{00000000-0005-0000-0000-00005A080000}"/>
    <cellStyle name="Hyperlink 45_AGL" xfId="1755" xr:uid="{00000000-0005-0000-0000-00005B080000}"/>
    <cellStyle name="Hyperlink 46" xfId="1756" xr:uid="{00000000-0005-0000-0000-00005C080000}"/>
    <cellStyle name="Hyperlink 46 2" xfId="1757" xr:uid="{00000000-0005-0000-0000-00005D080000}"/>
    <cellStyle name="Hyperlink 46 3" xfId="1758" xr:uid="{00000000-0005-0000-0000-00005E080000}"/>
    <cellStyle name="Hyperlink 46 9" xfId="1759" xr:uid="{00000000-0005-0000-0000-00005F080000}"/>
    <cellStyle name="Hyperlink 46_AGL" xfId="1760" xr:uid="{00000000-0005-0000-0000-000060080000}"/>
    <cellStyle name="Hyperlink 47" xfId="1761" xr:uid="{00000000-0005-0000-0000-000061080000}"/>
    <cellStyle name="Hyperlink 47 2" xfId="1762" xr:uid="{00000000-0005-0000-0000-000062080000}"/>
    <cellStyle name="Hyperlink 47 3" xfId="1763" xr:uid="{00000000-0005-0000-0000-000063080000}"/>
    <cellStyle name="Hyperlink 47 9" xfId="1764" xr:uid="{00000000-0005-0000-0000-000064080000}"/>
    <cellStyle name="Hyperlink 47_AGL" xfId="1765" xr:uid="{00000000-0005-0000-0000-000065080000}"/>
    <cellStyle name="Hyperlink 48" xfId="1766" xr:uid="{00000000-0005-0000-0000-000066080000}"/>
    <cellStyle name="Hyperlink 48 2" xfId="1767" xr:uid="{00000000-0005-0000-0000-000067080000}"/>
    <cellStyle name="Hyperlink 48 3" xfId="1768" xr:uid="{00000000-0005-0000-0000-000068080000}"/>
    <cellStyle name="Hyperlink 48 9" xfId="1769" xr:uid="{00000000-0005-0000-0000-000069080000}"/>
    <cellStyle name="Hyperlink 48_AGL" xfId="1770" xr:uid="{00000000-0005-0000-0000-00006A080000}"/>
    <cellStyle name="Hyperlink 49" xfId="1771" xr:uid="{00000000-0005-0000-0000-00006B080000}"/>
    <cellStyle name="Hyperlink 49 2" xfId="1772" xr:uid="{00000000-0005-0000-0000-00006C080000}"/>
    <cellStyle name="Hyperlink 49 3" xfId="1773" xr:uid="{00000000-0005-0000-0000-00006D080000}"/>
    <cellStyle name="Hyperlink 49 9" xfId="1774" xr:uid="{00000000-0005-0000-0000-00006E080000}"/>
    <cellStyle name="Hyperlink 49_AGL" xfId="1775" xr:uid="{00000000-0005-0000-0000-00006F080000}"/>
    <cellStyle name="Hyperlink 5" xfId="1776" xr:uid="{00000000-0005-0000-0000-000070080000}"/>
    <cellStyle name="Hyperlink 5 2" xfId="1777" xr:uid="{00000000-0005-0000-0000-000071080000}"/>
    <cellStyle name="Hyperlink 5 3" xfId="1778" xr:uid="{00000000-0005-0000-0000-000072080000}"/>
    <cellStyle name="Hyperlink 5 9" xfId="1779" xr:uid="{00000000-0005-0000-0000-000073080000}"/>
    <cellStyle name="Hyperlink 5_AGL" xfId="1780" xr:uid="{00000000-0005-0000-0000-000074080000}"/>
    <cellStyle name="Hyperlink 50" xfId="1781" xr:uid="{00000000-0005-0000-0000-000075080000}"/>
    <cellStyle name="Hyperlink 50 2" xfId="1782" xr:uid="{00000000-0005-0000-0000-000076080000}"/>
    <cellStyle name="Hyperlink 50 3" xfId="1783" xr:uid="{00000000-0005-0000-0000-000077080000}"/>
    <cellStyle name="Hyperlink 50 9" xfId="1784" xr:uid="{00000000-0005-0000-0000-000078080000}"/>
    <cellStyle name="Hyperlink 50_AGL" xfId="1785" xr:uid="{00000000-0005-0000-0000-000079080000}"/>
    <cellStyle name="Hyperlink 51" xfId="1786" xr:uid="{00000000-0005-0000-0000-00007A080000}"/>
    <cellStyle name="Hyperlink 51 2" xfId="1787" xr:uid="{00000000-0005-0000-0000-00007B080000}"/>
    <cellStyle name="Hyperlink 51 3" xfId="1788" xr:uid="{00000000-0005-0000-0000-00007C080000}"/>
    <cellStyle name="Hyperlink 51 9" xfId="1789" xr:uid="{00000000-0005-0000-0000-00007D080000}"/>
    <cellStyle name="Hyperlink 51_AGL" xfId="1790" xr:uid="{00000000-0005-0000-0000-00007E080000}"/>
    <cellStyle name="Hyperlink 52" xfId="1791" xr:uid="{00000000-0005-0000-0000-00007F080000}"/>
    <cellStyle name="Hyperlink 52 2" xfId="1792" xr:uid="{00000000-0005-0000-0000-000080080000}"/>
    <cellStyle name="Hyperlink 52 3" xfId="1793" xr:uid="{00000000-0005-0000-0000-000081080000}"/>
    <cellStyle name="Hyperlink 52 9" xfId="1794" xr:uid="{00000000-0005-0000-0000-000082080000}"/>
    <cellStyle name="Hyperlink 52_AGL" xfId="1795" xr:uid="{00000000-0005-0000-0000-000083080000}"/>
    <cellStyle name="Hyperlink 53" xfId="1796" xr:uid="{00000000-0005-0000-0000-000084080000}"/>
    <cellStyle name="Hyperlink 53 2" xfId="1797" xr:uid="{00000000-0005-0000-0000-000085080000}"/>
    <cellStyle name="Hyperlink 53 3" xfId="1798" xr:uid="{00000000-0005-0000-0000-000086080000}"/>
    <cellStyle name="Hyperlink 53 9" xfId="1799" xr:uid="{00000000-0005-0000-0000-000087080000}"/>
    <cellStyle name="Hyperlink 53_AGL" xfId="1800" xr:uid="{00000000-0005-0000-0000-000088080000}"/>
    <cellStyle name="Hyperlink 54" xfId="1801" xr:uid="{00000000-0005-0000-0000-000089080000}"/>
    <cellStyle name="Hyperlink 54 2" xfId="1802" xr:uid="{00000000-0005-0000-0000-00008A080000}"/>
    <cellStyle name="Hyperlink 54 3" xfId="1803" xr:uid="{00000000-0005-0000-0000-00008B080000}"/>
    <cellStyle name="Hyperlink 54 9" xfId="1804" xr:uid="{00000000-0005-0000-0000-00008C080000}"/>
    <cellStyle name="Hyperlink 54_AGL" xfId="1805" xr:uid="{00000000-0005-0000-0000-00008D080000}"/>
    <cellStyle name="Hyperlink 55" xfId="1806" xr:uid="{00000000-0005-0000-0000-00008E080000}"/>
    <cellStyle name="Hyperlink 55 2" xfId="1807" xr:uid="{00000000-0005-0000-0000-00008F080000}"/>
    <cellStyle name="Hyperlink 55 3" xfId="1808" xr:uid="{00000000-0005-0000-0000-000090080000}"/>
    <cellStyle name="Hyperlink 55 9" xfId="1809" xr:uid="{00000000-0005-0000-0000-000091080000}"/>
    <cellStyle name="Hyperlink 55_AGL" xfId="1810" xr:uid="{00000000-0005-0000-0000-000092080000}"/>
    <cellStyle name="Hyperlink 56" xfId="1811" xr:uid="{00000000-0005-0000-0000-000093080000}"/>
    <cellStyle name="Hyperlink 56 2" xfId="1812" xr:uid="{00000000-0005-0000-0000-000094080000}"/>
    <cellStyle name="Hyperlink 56 3" xfId="1813" xr:uid="{00000000-0005-0000-0000-000095080000}"/>
    <cellStyle name="Hyperlink 56 9" xfId="1814" xr:uid="{00000000-0005-0000-0000-000096080000}"/>
    <cellStyle name="Hyperlink 56_AGL" xfId="1815" xr:uid="{00000000-0005-0000-0000-000097080000}"/>
    <cellStyle name="Hyperlink 57" xfId="1816" xr:uid="{00000000-0005-0000-0000-000098080000}"/>
    <cellStyle name="Hyperlink 57 2" xfId="1817" xr:uid="{00000000-0005-0000-0000-000099080000}"/>
    <cellStyle name="Hyperlink 57 3" xfId="1818" xr:uid="{00000000-0005-0000-0000-00009A080000}"/>
    <cellStyle name="Hyperlink 57 9" xfId="1819" xr:uid="{00000000-0005-0000-0000-00009B080000}"/>
    <cellStyle name="Hyperlink 57_AGL" xfId="1820" xr:uid="{00000000-0005-0000-0000-00009C080000}"/>
    <cellStyle name="Hyperlink 58" xfId="1821" xr:uid="{00000000-0005-0000-0000-00009D080000}"/>
    <cellStyle name="Hyperlink 58 2" xfId="1822" xr:uid="{00000000-0005-0000-0000-00009E080000}"/>
    <cellStyle name="Hyperlink 58 3" xfId="1823" xr:uid="{00000000-0005-0000-0000-00009F080000}"/>
    <cellStyle name="Hyperlink 58 9" xfId="1824" xr:uid="{00000000-0005-0000-0000-0000A0080000}"/>
    <cellStyle name="Hyperlink 58_AGL" xfId="1825" xr:uid="{00000000-0005-0000-0000-0000A1080000}"/>
    <cellStyle name="Hyperlink 59" xfId="1826" xr:uid="{00000000-0005-0000-0000-0000A2080000}"/>
    <cellStyle name="Hyperlink 59 2" xfId="1827" xr:uid="{00000000-0005-0000-0000-0000A3080000}"/>
    <cellStyle name="Hyperlink 59 3" xfId="1828" xr:uid="{00000000-0005-0000-0000-0000A4080000}"/>
    <cellStyle name="Hyperlink 59 9" xfId="1829" xr:uid="{00000000-0005-0000-0000-0000A5080000}"/>
    <cellStyle name="Hyperlink 59_AGL" xfId="1830" xr:uid="{00000000-0005-0000-0000-0000A6080000}"/>
    <cellStyle name="Hyperlink 6" xfId="1831" xr:uid="{00000000-0005-0000-0000-0000A7080000}"/>
    <cellStyle name="Hyperlink 6 2" xfId="1832" xr:uid="{00000000-0005-0000-0000-0000A8080000}"/>
    <cellStyle name="Hyperlink 6 3" xfId="1833" xr:uid="{00000000-0005-0000-0000-0000A9080000}"/>
    <cellStyle name="Hyperlink 6 9" xfId="1834" xr:uid="{00000000-0005-0000-0000-0000AA080000}"/>
    <cellStyle name="Hyperlink 6_AGL" xfId="1835" xr:uid="{00000000-0005-0000-0000-0000AB080000}"/>
    <cellStyle name="Hyperlink 60" xfId="1836" xr:uid="{00000000-0005-0000-0000-0000AC080000}"/>
    <cellStyle name="Hyperlink 60 2" xfId="1837" xr:uid="{00000000-0005-0000-0000-0000AD080000}"/>
    <cellStyle name="Hyperlink 60 3" xfId="1838" xr:uid="{00000000-0005-0000-0000-0000AE080000}"/>
    <cellStyle name="Hyperlink 60 9" xfId="1839" xr:uid="{00000000-0005-0000-0000-0000AF080000}"/>
    <cellStyle name="Hyperlink 60_AGL" xfId="1840" xr:uid="{00000000-0005-0000-0000-0000B0080000}"/>
    <cellStyle name="Hyperlink 61" xfId="1841" xr:uid="{00000000-0005-0000-0000-0000B1080000}"/>
    <cellStyle name="Hyperlink 61 2" xfId="1842" xr:uid="{00000000-0005-0000-0000-0000B2080000}"/>
    <cellStyle name="Hyperlink 61 3" xfId="1843" xr:uid="{00000000-0005-0000-0000-0000B3080000}"/>
    <cellStyle name="Hyperlink 61 9" xfId="1844" xr:uid="{00000000-0005-0000-0000-0000B4080000}"/>
    <cellStyle name="Hyperlink 61_AGL" xfId="1845" xr:uid="{00000000-0005-0000-0000-0000B5080000}"/>
    <cellStyle name="Hyperlink 62" xfId="1846" xr:uid="{00000000-0005-0000-0000-0000B6080000}"/>
    <cellStyle name="Hyperlink 62 2" xfId="1847" xr:uid="{00000000-0005-0000-0000-0000B7080000}"/>
    <cellStyle name="Hyperlink 62 3" xfId="1848" xr:uid="{00000000-0005-0000-0000-0000B8080000}"/>
    <cellStyle name="Hyperlink 62 9" xfId="1849" xr:uid="{00000000-0005-0000-0000-0000B9080000}"/>
    <cellStyle name="Hyperlink 62_AGL" xfId="1850" xr:uid="{00000000-0005-0000-0000-0000BA080000}"/>
    <cellStyle name="Hyperlink 63" xfId="1851" xr:uid="{00000000-0005-0000-0000-0000BB080000}"/>
    <cellStyle name="Hyperlink 63 2" xfId="1852" xr:uid="{00000000-0005-0000-0000-0000BC080000}"/>
    <cellStyle name="Hyperlink 63 3" xfId="1853" xr:uid="{00000000-0005-0000-0000-0000BD080000}"/>
    <cellStyle name="Hyperlink 63 9" xfId="1854" xr:uid="{00000000-0005-0000-0000-0000BE080000}"/>
    <cellStyle name="Hyperlink 63_AGL" xfId="1855" xr:uid="{00000000-0005-0000-0000-0000BF080000}"/>
    <cellStyle name="Hyperlink 64" xfId="1856" xr:uid="{00000000-0005-0000-0000-0000C0080000}"/>
    <cellStyle name="Hyperlink 64 2" xfId="1857" xr:uid="{00000000-0005-0000-0000-0000C1080000}"/>
    <cellStyle name="Hyperlink 64 3" xfId="1858" xr:uid="{00000000-0005-0000-0000-0000C2080000}"/>
    <cellStyle name="Hyperlink 64 9" xfId="1859" xr:uid="{00000000-0005-0000-0000-0000C3080000}"/>
    <cellStyle name="Hyperlink 64_AGL" xfId="1860" xr:uid="{00000000-0005-0000-0000-0000C4080000}"/>
    <cellStyle name="Hyperlink 65" xfId="1861" xr:uid="{00000000-0005-0000-0000-0000C5080000}"/>
    <cellStyle name="Hyperlink 65 2" xfId="1862" xr:uid="{00000000-0005-0000-0000-0000C6080000}"/>
    <cellStyle name="Hyperlink 65 3" xfId="1863" xr:uid="{00000000-0005-0000-0000-0000C7080000}"/>
    <cellStyle name="Hyperlink 65 9" xfId="1864" xr:uid="{00000000-0005-0000-0000-0000C8080000}"/>
    <cellStyle name="Hyperlink 65_AGL" xfId="1865" xr:uid="{00000000-0005-0000-0000-0000C9080000}"/>
    <cellStyle name="Hyperlink 66" xfId="1866" xr:uid="{00000000-0005-0000-0000-0000CA080000}"/>
    <cellStyle name="Hyperlink 66 2" xfId="1867" xr:uid="{00000000-0005-0000-0000-0000CB080000}"/>
    <cellStyle name="Hyperlink 66 3" xfId="1868" xr:uid="{00000000-0005-0000-0000-0000CC080000}"/>
    <cellStyle name="Hyperlink 66 9" xfId="1869" xr:uid="{00000000-0005-0000-0000-0000CD080000}"/>
    <cellStyle name="Hyperlink 66_AGL" xfId="1870" xr:uid="{00000000-0005-0000-0000-0000CE080000}"/>
    <cellStyle name="Hyperlink 67" xfId="1871" xr:uid="{00000000-0005-0000-0000-0000CF080000}"/>
    <cellStyle name="Hyperlink 67 2" xfId="1872" xr:uid="{00000000-0005-0000-0000-0000D0080000}"/>
    <cellStyle name="Hyperlink 67 3" xfId="1873" xr:uid="{00000000-0005-0000-0000-0000D1080000}"/>
    <cellStyle name="Hyperlink 67 9" xfId="1874" xr:uid="{00000000-0005-0000-0000-0000D2080000}"/>
    <cellStyle name="Hyperlink 67_AGL" xfId="1875" xr:uid="{00000000-0005-0000-0000-0000D3080000}"/>
    <cellStyle name="Hyperlink 68" xfId="1876" xr:uid="{00000000-0005-0000-0000-0000D4080000}"/>
    <cellStyle name="Hyperlink 68 2" xfId="1877" xr:uid="{00000000-0005-0000-0000-0000D5080000}"/>
    <cellStyle name="Hyperlink 68 3" xfId="1878" xr:uid="{00000000-0005-0000-0000-0000D6080000}"/>
    <cellStyle name="Hyperlink 68 9" xfId="1879" xr:uid="{00000000-0005-0000-0000-0000D7080000}"/>
    <cellStyle name="Hyperlink 68_AGL" xfId="1880" xr:uid="{00000000-0005-0000-0000-0000D8080000}"/>
    <cellStyle name="Hyperlink 69" xfId="1881" xr:uid="{00000000-0005-0000-0000-0000D9080000}"/>
    <cellStyle name="Hyperlink 69 2" xfId="1882" xr:uid="{00000000-0005-0000-0000-0000DA080000}"/>
    <cellStyle name="Hyperlink 69 3" xfId="1883" xr:uid="{00000000-0005-0000-0000-0000DB080000}"/>
    <cellStyle name="Hyperlink 69 9" xfId="1884" xr:uid="{00000000-0005-0000-0000-0000DC080000}"/>
    <cellStyle name="Hyperlink 69_AGL" xfId="1885" xr:uid="{00000000-0005-0000-0000-0000DD080000}"/>
    <cellStyle name="Hyperlink 7" xfId="1886" xr:uid="{00000000-0005-0000-0000-0000DE080000}"/>
    <cellStyle name="Hyperlink 7 2" xfId="1887" xr:uid="{00000000-0005-0000-0000-0000DF080000}"/>
    <cellStyle name="Hyperlink 7 3" xfId="1888" xr:uid="{00000000-0005-0000-0000-0000E0080000}"/>
    <cellStyle name="Hyperlink 7 9" xfId="1889" xr:uid="{00000000-0005-0000-0000-0000E1080000}"/>
    <cellStyle name="Hyperlink 7_AGL" xfId="1890" xr:uid="{00000000-0005-0000-0000-0000E2080000}"/>
    <cellStyle name="Hyperlink 70" xfId="1891" xr:uid="{00000000-0005-0000-0000-0000E3080000}"/>
    <cellStyle name="Hyperlink 70 2" xfId="1892" xr:uid="{00000000-0005-0000-0000-0000E4080000}"/>
    <cellStyle name="Hyperlink 70 3" xfId="1893" xr:uid="{00000000-0005-0000-0000-0000E5080000}"/>
    <cellStyle name="Hyperlink 70 9" xfId="1894" xr:uid="{00000000-0005-0000-0000-0000E6080000}"/>
    <cellStyle name="Hyperlink 70_AGL" xfId="1895" xr:uid="{00000000-0005-0000-0000-0000E7080000}"/>
    <cellStyle name="Hyperlink 71" xfId="1896" xr:uid="{00000000-0005-0000-0000-0000E8080000}"/>
    <cellStyle name="Hyperlink 71 2" xfId="1897" xr:uid="{00000000-0005-0000-0000-0000E9080000}"/>
    <cellStyle name="Hyperlink 71 3" xfId="1898" xr:uid="{00000000-0005-0000-0000-0000EA080000}"/>
    <cellStyle name="Hyperlink 71 9" xfId="1899" xr:uid="{00000000-0005-0000-0000-0000EB080000}"/>
    <cellStyle name="Hyperlink 71_AGL" xfId="1900" xr:uid="{00000000-0005-0000-0000-0000EC080000}"/>
    <cellStyle name="Hyperlink 72" xfId="1901" xr:uid="{00000000-0005-0000-0000-0000ED080000}"/>
    <cellStyle name="Hyperlink 72 2" xfId="1902" xr:uid="{00000000-0005-0000-0000-0000EE080000}"/>
    <cellStyle name="Hyperlink 72 3" xfId="1903" xr:uid="{00000000-0005-0000-0000-0000EF080000}"/>
    <cellStyle name="Hyperlink 72 9" xfId="1904" xr:uid="{00000000-0005-0000-0000-0000F0080000}"/>
    <cellStyle name="Hyperlink 72_AGL" xfId="1905" xr:uid="{00000000-0005-0000-0000-0000F1080000}"/>
    <cellStyle name="Hyperlink 73" xfId="1906" xr:uid="{00000000-0005-0000-0000-0000F2080000}"/>
    <cellStyle name="Hyperlink 73 2" xfId="1907" xr:uid="{00000000-0005-0000-0000-0000F3080000}"/>
    <cellStyle name="Hyperlink 73 3" xfId="1908" xr:uid="{00000000-0005-0000-0000-0000F4080000}"/>
    <cellStyle name="Hyperlink 73 9" xfId="1909" xr:uid="{00000000-0005-0000-0000-0000F5080000}"/>
    <cellStyle name="Hyperlink 73_AGL" xfId="1910" xr:uid="{00000000-0005-0000-0000-0000F6080000}"/>
    <cellStyle name="Hyperlink 74" xfId="1911" xr:uid="{00000000-0005-0000-0000-0000F7080000}"/>
    <cellStyle name="Hyperlink 74 2" xfId="1912" xr:uid="{00000000-0005-0000-0000-0000F8080000}"/>
    <cellStyle name="Hyperlink 74 3" xfId="1913" xr:uid="{00000000-0005-0000-0000-0000F9080000}"/>
    <cellStyle name="Hyperlink 74 9" xfId="1914" xr:uid="{00000000-0005-0000-0000-0000FA080000}"/>
    <cellStyle name="Hyperlink 74_AGL" xfId="1915" xr:uid="{00000000-0005-0000-0000-0000FB080000}"/>
    <cellStyle name="Hyperlink 75" xfId="1916" xr:uid="{00000000-0005-0000-0000-0000FC080000}"/>
    <cellStyle name="Hyperlink 75 2" xfId="1917" xr:uid="{00000000-0005-0000-0000-0000FD080000}"/>
    <cellStyle name="Hyperlink 75 3" xfId="1918" xr:uid="{00000000-0005-0000-0000-0000FE080000}"/>
    <cellStyle name="Hyperlink 75 9" xfId="1919" xr:uid="{00000000-0005-0000-0000-0000FF080000}"/>
    <cellStyle name="Hyperlink 75_AGL" xfId="1920" xr:uid="{00000000-0005-0000-0000-000000090000}"/>
    <cellStyle name="Hyperlink 76" xfId="1921" xr:uid="{00000000-0005-0000-0000-000001090000}"/>
    <cellStyle name="Hyperlink 76 2" xfId="1922" xr:uid="{00000000-0005-0000-0000-000002090000}"/>
    <cellStyle name="Hyperlink 76 3" xfId="1923" xr:uid="{00000000-0005-0000-0000-000003090000}"/>
    <cellStyle name="Hyperlink 76 9" xfId="1924" xr:uid="{00000000-0005-0000-0000-000004090000}"/>
    <cellStyle name="Hyperlink 76_AGL" xfId="1925" xr:uid="{00000000-0005-0000-0000-000005090000}"/>
    <cellStyle name="Hyperlink 77" xfId="1926" xr:uid="{00000000-0005-0000-0000-000006090000}"/>
    <cellStyle name="Hyperlink 77 2" xfId="1927" xr:uid="{00000000-0005-0000-0000-000007090000}"/>
    <cellStyle name="Hyperlink 77 3" xfId="1928" xr:uid="{00000000-0005-0000-0000-000008090000}"/>
    <cellStyle name="Hyperlink 77 9" xfId="1929" xr:uid="{00000000-0005-0000-0000-000009090000}"/>
    <cellStyle name="Hyperlink 77_AGL" xfId="1930" xr:uid="{00000000-0005-0000-0000-00000A090000}"/>
    <cellStyle name="Hyperlink 78" xfId="1931" xr:uid="{00000000-0005-0000-0000-00000B090000}"/>
    <cellStyle name="Hyperlink 78 2" xfId="1932" xr:uid="{00000000-0005-0000-0000-00000C090000}"/>
    <cellStyle name="Hyperlink 78 3" xfId="1933" xr:uid="{00000000-0005-0000-0000-00000D090000}"/>
    <cellStyle name="Hyperlink 78 9" xfId="1934" xr:uid="{00000000-0005-0000-0000-00000E090000}"/>
    <cellStyle name="Hyperlink 78_AGL" xfId="1935" xr:uid="{00000000-0005-0000-0000-00000F090000}"/>
    <cellStyle name="Hyperlink 79" xfId="1936" xr:uid="{00000000-0005-0000-0000-000010090000}"/>
    <cellStyle name="Hyperlink 79 2" xfId="1937" xr:uid="{00000000-0005-0000-0000-000011090000}"/>
    <cellStyle name="Hyperlink 79 3" xfId="1938" xr:uid="{00000000-0005-0000-0000-000012090000}"/>
    <cellStyle name="Hyperlink 79 9" xfId="1939" xr:uid="{00000000-0005-0000-0000-000013090000}"/>
    <cellStyle name="Hyperlink 79_AGL" xfId="1940" xr:uid="{00000000-0005-0000-0000-000014090000}"/>
    <cellStyle name="Hyperlink 8" xfId="1941" xr:uid="{00000000-0005-0000-0000-000015090000}"/>
    <cellStyle name="Hyperlink 8 2" xfId="1942" xr:uid="{00000000-0005-0000-0000-000016090000}"/>
    <cellStyle name="Hyperlink 8 3" xfId="1943" xr:uid="{00000000-0005-0000-0000-000017090000}"/>
    <cellStyle name="Hyperlink 8 9" xfId="1944" xr:uid="{00000000-0005-0000-0000-000018090000}"/>
    <cellStyle name="Hyperlink 8_AGL" xfId="1945" xr:uid="{00000000-0005-0000-0000-000019090000}"/>
    <cellStyle name="Hyperlink 80" xfId="1946" xr:uid="{00000000-0005-0000-0000-00001A090000}"/>
    <cellStyle name="Hyperlink 80 2" xfId="1947" xr:uid="{00000000-0005-0000-0000-00001B090000}"/>
    <cellStyle name="Hyperlink 80 3" xfId="1948" xr:uid="{00000000-0005-0000-0000-00001C090000}"/>
    <cellStyle name="Hyperlink 80 9" xfId="1949" xr:uid="{00000000-0005-0000-0000-00001D090000}"/>
    <cellStyle name="Hyperlink 80_AGL" xfId="1950" xr:uid="{00000000-0005-0000-0000-00001E090000}"/>
    <cellStyle name="Hyperlink 81" xfId="1951" xr:uid="{00000000-0005-0000-0000-00001F090000}"/>
    <cellStyle name="Hyperlink 81 2" xfId="1952" xr:uid="{00000000-0005-0000-0000-000020090000}"/>
    <cellStyle name="Hyperlink 81 3" xfId="1953" xr:uid="{00000000-0005-0000-0000-000021090000}"/>
    <cellStyle name="Hyperlink 81 9" xfId="1954" xr:uid="{00000000-0005-0000-0000-000022090000}"/>
    <cellStyle name="Hyperlink 81_AGL" xfId="1955" xr:uid="{00000000-0005-0000-0000-000023090000}"/>
    <cellStyle name="Hyperlink 82" xfId="1956" xr:uid="{00000000-0005-0000-0000-000024090000}"/>
    <cellStyle name="Hyperlink 82 2" xfId="1957" xr:uid="{00000000-0005-0000-0000-000025090000}"/>
    <cellStyle name="Hyperlink 82 3" xfId="1958" xr:uid="{00000000-0005-0000-0000-000026090000}"/>
    <cellStyle name="Hyperlink 82 9" xfId="1959" xr:uid="{00000000-0005-0000-0000-000027090000}"/>
    <cellStyle name="Hyperlink 82_AGL" xfId="1960" xr:uid="{00000000-0005-0000-0000-000028090000}"/>
    <cellStyle name="Hyperlink 83" xfId="1961" xr:uid="{00000000-0005-0000-0000-000029090000}"/>
    <cellStyle name="Hyperlink 83 2" xfId="1962" xr:uid="{00000000-0005-0000-0000-00002A090000}"/>
    <cellStyle name="Hyperlink 83 3" xfId="1963" xr:uid="{00000000-0005-0000-0000-00002B090000}"/>
    <cellStyle name="Hyperlink 83 9" xfId="1964" xr:uid="{00000000-0005-0000-0000-00002C090000}"/>
    <cellStyle name="Hyperlink 83_AGL" xfId="1965" xr:uid="{00000000-0005-0000-0000-00002D090000}"/>
    <cellStyle name="Hyperlink 84" xfId="1966" xr:uid="{00000000-0005-0000-0000-00002E090000}"/>
    <cellStyle name="Hyperlink 84 2" xfId="1967" xr:uid="{00000000-0005-0000-0000-00002F090000}"/>
    <cellStyle name="Hyperlink 84 3" xfId="1968" xr:uid="{00000000-0005-0000-0000-000030090000}"/>
    <cellStyle name="Hyperlink 84 9" xfId="1969" xr:uid="{00000000-0005-0000-0000-000031090000}"/>
    <cellStyle name="Hyperlink 84_AGL" xfId="1970" xr:uid="{00000000-0005-0000-0000-000032090000}"/>
    <cellStyle name="Hyperlink 85" xfId="1971" xr:uid="{00000000-0005-0000-0000-000033090000}"/>
    <cellStyle name="Hyperlink 85 2" xfId="1972" xr:uid="{00000000-0005-0000-0000-000034090000}"/>
    <cellStyle name="Hyperlink 85 3" xfId="1973" xr:uid="{00000000-0005-0000-0000-000035090000}"/>
    <cellStyle name="Hyperlink 85 9" xfId="1974" xr:uid="{00000000-0005-0000-0000-000036090000}"/>
    <cellStyle name="Hyperlink 85_AGL" xfId="1975" xr:uid="{00000000-0005-0000-0000-000037090000}"/>
    <cellStyle name="Hyperlink 86" xfId="1976" xr:uid="{00000000-0005-0000-0000-000038090000}"/>
    <cellStyle name="Hyperlink 86 2" xfId="1977" xr:uid="{00000000-0005-0000-0000-000039090000}"/>
    <cellStyle name="Hyperlink 86 3" xfId="1978" xr:uid="{00000000-0005-0000-0000-00003A090000}"/>
    <cellStyle name="Hyperlink 86 9" xfId="1979" xr:uid="{00000000-0005-0000-0000-00003B090000}"/>
    <cellStyle name="Hyperlink 86_AGL" xfId="1980" xr:uid="{00000000-0005-0000-0000-00003C090000}"/>
    <cellStyle name="Hyperlink 87" xfId="1981" xr:uid="{00000000-0005-0000-0000-00003D090000}"/>
    <cellStyle name="Hyperlink 87 2" xfId="1982" xr:uid="{00000000-0005-0000-0000-00003E090000}"/>
    <cellStyle name="Hyperlink 87 3" xfId="1983" xr:uid="{00000000-0005-0000-0000-00003F090000}"/>
    <cellStyle name="Hyperlink 87 9" xfId="1984" xr:uid="{00000000-0005-0000-0000-000040090000}"/>
    <cellStyle name="Hyperlink 87_AGL" xfId="1985" xr:uid="{00000000-0005-0000-0000-000041090000}"/>
    <cellStyle name="Hyperlink 88" xfId="1986" xr:uid="{00000000-0005-0000-0000-000042090000}"/>
    <cellStyle name="Hyperlink 88 2" xfId="1987" xr:uid="{00000000-0005-0000-0000-000043090000}"/>
    <cellStyle name="Hyperlink 88 3" xfId="1988" xr:uid="{00000000-0005-0000-0000-000044090000}"/>
    <cellStyle name="Hyperlink 88 9" xfId="1989" xr:uid="{00000000-0005-0000-0000-000045090000}"/>
    <cellStyle name="Hyperlink 88_AGL" xfId="1990" xr:uid="{00000000-0005-0000-0000-000046090000}"/>
    <cellStyle name="Hyperlink 89" xfId="1991" xr:uid="{00000000-0005-0000-0000-000047090000}"/>
    <cellStyle name="Hyperlink 89 2" xfId="1992" xr:uid="{00000000-0005-0000-0000-000048090000}"/>
    <cellStyle name="Hyperlink 89 3" xfId="1993" xr:uid="{00000000-0005-0000-0000-000049090000}"/>
    <cellStyle name="Hyperlink 89 9" xfId="1994" xr:uid="{00000000-0005-0000-0000-00004A090000}"/>
    <cellStyle name="Hyperlink 89_AGL" xfId="1995" xr:uid="{00000000-0005-0000-0000-00004B090000}"/>
    <cellStyle name="Hyperlink 9" xfId="1996" xr:uid="{00000000-0005-0000-0000-00004C090000}"/>
    <cellStyle name="Hyperlink 9 2" xfId="1997" xr:uid="{00000000-0005-0000-0000-00004D090000}"/>
    <cellStyle name="Hyperlink 9 3" xfId="1998" xr:uid="{00000000-0005-0000-0000-00004E090000}"/>
    <cellStyle name="Hyperlink 9 9" xfId="1999" xr:uid="{00000000-0005-0000-0000-00004F090000}"/>
    <cellStyle name="Hyperlink 9_AGL" xfId="2000" xr:uid="{00000000-0005-0000-0000-000050090000}"/>
    <cellStyle name="Hyperlink 90" xfId="2001" xr:uid="{00000000-0005-0000-0000-000051090000}"/>
    <cellStyle name="Hyperlink 90 2" xfId="2002" xr:uid="{00000000-0005-0000-0000-000052090000}"/>
    <cellStyle name="Hyperlink 90 3" xfId="2003" xr:uid="{00000000-0005-0000-0000-000053090000}"/>
    <cellStyle name="Hyperlink 90 9" xfId="2004" xr:uid="{00000000-0005-0000-0000-000054090000}"/>
    <cellStyle name="Hyperlink 90_AGL" xfId="2005" xr:uid="{00000000-0005-0000-0000-000055090000}"/>
    <cellStyle name="Hyperlink 91" xfId="2006" xr:uid="{00000000-0005-0000-0000-000056090000}"/>
    <cellStyle name="Hyperlink 91 2" xfId="2007" xr:uid="{00000000-0005-0000-0000-000057090000}"/>
    <cellStyle name="Hyperlink 91 3" xfId="2008" xr:uid="{00000000-0005-0000-0000-000058090000}"/>
    <cellStyle name="Hyperlink 91 9" xfId="2009" xr:uid="{00000000-0005-0000-0000-000059090000}"/>
    <cellStyle name="Hyperlink 91_AGL" xfId="2010" xr:uid="{00000000-0005-0000-0000-00005A090000}"/>
    <cellStyle name="Hyperlink 92" xfId="2011" xr:uid="{00000000-0005-0000-0000-00005B090000}"/>
    <cellStyle name="Hyperlink 92 2" xfId="2012" xr:uid="{00000000-0005-0000-0000-00005C090000}"/>
    <cellStyle name="Hyperlink 92 3" xfId="2013" xr:uid="{00000000-0005-0000-0000-00005D090000}"/>
    <cellStyle name="Hyperlink 92 9" xfId="2014" xr:uid="{00000000-0005-0000-0000-00005E090000}"/>
    <cellStyle name="Hyperlink 92_AGL" xfId="2015" xr:uid="{00000000-0005-0000-0000-00005F090000}"/>
    <cellStyle name="Hyperlink 93" xfId="2016" xr:uid="{00000000-0005-0000-0000-000060090000}"/>
    <cellStyle name="Hyperlink 93 2" xfId="2017" xr:uid="{00000000-0005-0000-0000-000061090000}"/>
    <cellStyle name="Hyperlink 93 3" xfId="2018" xr:uid="{00000000-0005-0000-0000-000062090000}"/>
    <cellStyle name="Hyperlink 93 9" xfId="2019" xr:uid="{00000000-0005-0000-0000-000063090000}"/>
    <cellStyle name="Hyperlink 93_AGL" xfId="2020" xr:uid="{00000000-0005-0000-0000-000064090000}"/>
    <cellStyle name="Hyperlink 94" xfId="2021" xr:uid="{00000000-0005-0000-0000-000065090000}"/>
    <cellStyle name="Hyperlink 94 2" xfId="2022" xr:uid="{00000000-0005-0000-0000-000066090000}"/>
    <cellStyle name="Hyperlink 94 3" xfId="2023" xr:uid="{00000000-0005-0000-0000-000067090000}"/>
    <cellStyle name="Hyperlink 94 9" xfId="2024" xr:uid="{00000000-0005-0000-0000-000068090000}"/>
    <cellStyle name="Hyperlink 94_AGL" xfId="2025" xr:uid="{00000000-0005-0000-0000-000069090000}"/>
    <cellStyle name="Hyperlink 95" xfId="2026" xr:uid="{00000000-0005-0000-0000-00006A090000}"/>
    <cellStyle name="Hyperlink 95 2" xfId="2027" xr:uid="{00000000-0005-0000-0000-00006B090000}"/>
    <cellStyle name="Hyperlink 95 3" xfId="2028" xr:uid="{00000000-0005-0000-0000-00006C090000}"/>
    <cellStyle name="Hyperlink 95 9" xfId="2029" xr:uid="{00000000-0005-0000-0000-00006D090000}"/>
    <cellStyle name="Hyperlink 95_AGL" xfId="2030" xr:uid="{00000000-0005-0000-0000-00006E090000}"/>
    <cellStyle name="Hyperlink 96" xfId="2031" xr:uid="{00000000-0005-0000-0000-00006F090000}"/>
    <cellStyle name="Hyperlink 96 2" xfId="2032" xr:uid="{00000000-0005-0000-0000-000070090000}"/>
    <cellStyle name="Hyperlink 96 3" xfId="2033" xr:uid="{00000000-0005-0000-0000-000071090000}"/>
    <cellStyle name="Hyperlink 96 9" xfId="2034" xr:uid="{00000000-0005-0000-0000-000072090000}"/>
    <cellStyle name="Hyperlink 96_AGL" xfId="2035" xr:uid="{00000000-0005-0000-0000-000073090000}"/>
    <cellStyle name="Hyperlink 97" xfId="2036" xr:uid="{00000000-0005-0000-0000-000074090000}"/>
    <cellStyle name="Hyperlink 97 2" xfId="2037" xr:uid="{00000000-0005-0000-0000-000075090000}"/>
    <cellStyle name="Hyperlink 97 3" xfId="2038" xr:uid="{00000000-0005-0000-0000-000076090000}"/>
    <cellStyle name="Hyperlink 97 9" xfId="2039" xr:uid="{00000000-0005-0000-0000-000077090000}"/>
    <cellStyle name="Hyperlink 97_AGL" xfId="2040" xr:uid="{00000000-0005-0000-0000-000078090000}"/>
    <cellStyle name="Hyperlink 98" xfId="2041" xr:uid="{00000000-0005-0000-0000-000079090000}"/>
    <cellStyle name="Hyperlink 98 2" xfId="2042" xr:uid="{00000000-0005-0000-0000-00007A090000}"/>
    <cellStyle name="Hyperlink 98 3" xfId="2043" xr:uid="{00000000-0005-0000-0000-00007B090000}"/>
    <cellStyle name="Hyperlink 98 9" xfId="2044" xr:uid="{00000000-0005-0000-0000-00007C090000}"/>
    <cellStyle name="Hyperlink 98_AGL" xfId="2045" xr:uid="{00000000-0005-0000-0000-00007D090000}"/>
    <cellStyle name="Hyperlink 99" xfId="2046" xr:uid="{00000000-0005-0000-0000-00007E090000}"/>
    <cellStyle name="Hyperlink 99 2" xfId="2047" xr:uid="{00000000-0005-0000-0000-00007F090000}"/>
    <cellStyle name="Hyperlink 99 3" xfId="2048" xr:uid="{00000000-0005-0000-0000-000080090000}"/>
    <cellStyle name="Hyperlink 99 9" xfId="2049" xr:uid="{00000000-0005-0000-0000-000081090000}"/>
    <cellStyle name="Hyperlink 99_AGL" xfId="2050" xr:uid="{00000000-0005-0000-0000-000082090000}"/>
    <cellStyle name="Input" xfId="27" builtinId="20"/>
    <cellStyle name="Input 2" xfId="28" xr:uid="{00000000-0005-0000-0000-000084090000}"/>
    <cellStyle name="Input 2 10" xfId="2051" xr:uid="{00000000-0005-0000-0000-000085090000}"/>
    <cellStyle name="Input 2 2" xfId="2052" xr:uid="{00000000-0005-0000-0000-000086090000}"/>
    <cellStyle name="Input 2 2 2" xfId="2053" xr:uid="{00000000-0005-0000-0000-000087090000}"/>
    <cellStyle name="Input 2 2 2 2" xfId="2054" xr:uid="{00000000-0005-0000-0000-000088090000}"/>
    <cellStyle name="Input 2 2 2 2 2" xfId="4322" xr:uid="{00000000-0005-0000-0000-000089090000}"/>
    <cellStyle name="Input 2 2 2 2 3" xfId="4325" xr:uid="{00000000-0005-0000-0000-00008A090000}"/>
    <cellStyle name="Input 2 2 2 3" xfId="4323" xr:uid="{00000000-0005-0000-0000-00008B090000}"/>
    <cellStyle name="Input 2 2 2 4" xfId="4324" xr:uid="{00000000-0005-0000-0000-00008C090000}"/>
    <cellStyle name="Input 2 2 2_Sheet10" xfId="2055" xr:uid="{00000000-0005-0000-0000-00008D090000}"/>
    <cellStyle name="Input 2 2 3" xfId="2056" xr:uid="{00000000-0005-0000-0000-00008E090000}"/>
    <cellStyle name="Input 2 2 3 2" xfId="4321" xr:uid="{00000000-0005-0000-0000-00008F090000}"/>
    <cellStyle name="Input 2 2 3 3" xfId="4326" xr:uid="{00000000-0005-0000-0000-000090090000}"/>
    <cellStyle name="Input 2 2_AGL" xfId="2057" xr:uid="{00000000-0005-0000-0000-000091090000}"/>
    <cellStyle name="Input 2 3" xfId="2058" xr:uid="{00000000-0005-0000-0000-000092090000}"/>
    <cellStyle name="Input 2 3 2" xfId="2059" xr:uid="{00000000-0005-0000-0000-000093090000}"/>
    <cellStyle name="Input 2 3 2 2" xfId="2060" xr:uid="{00000000-0005-0000-0000-000094090000}"/>
    <cellStyle name="Input 2 3 2 2 2" xfId="4319" xr:uid="{00000000-0005-0000-0000-000095090000}"/>
    <cellStyle name="Input 2 3 2 2 3" xfId="4328" xr:uid="{00000000-0005-0000-0000-000096090000}"/>
    <cellStyle name="Input 2 3 2 3" xfId="4320" xr:uid="{00000000-0005-0000-0000-000097090000}"/>
    <cellStyle name="Input 2 3 2 4" xfId="4327" xr:uid="{00000000-0005-0000-0000-000098090000}"/>
    <cellStyle name="Input 2 3 2_Sheet10" xfId="2061" xr:uid="{00000000-0005-0000-0000-000099090000}"/>
    <cellStyle name="Input 2 3 3" xfId="2062" xr:uid="{00000000-0005-0000-0000-00009A090000}"/>
    <cellStyle name="Input 2 3 3 2" xfId="4318" xr:uid="{00000000-0005-0000-0000-00009B090000}"/>
    <cellStyle name="Input 2 3 3 3" xfId="4329" xr:uid="{00000000-0005-0000-0000-00009C090000}"/>
    <cellStyle name="Input 2 3_AGL" xfId="2063" xr:uid="{00000000-0005-0000-0000-00009D090000}"/>
    <cellStyle name="Input 2 4" xfId="2064" xr:uid="{00000000-0005-0000-0000-00009E090000}"/>
    <cellStyle name="Input 2 4 2" xfId="2065" xr:uid="{00000000-0005-0000-0000-00009F090000}"/>
    <cellStyle name="Input 2 4 2 2" xfId="4316" xr:uid="{00000000-0005-0000-0000-0000A0090000}"/>
    <cellStyle name="Input 2 4 2 3" xfId="4331" xr:uid="{00000000-0005-0000-0000-0000A1090000}"/>
    <cellStyle name="Input 2 4 3" xfId="4317" xr:uid="{00000000-0005-0000-0000-0000A2090000}"/>
    <cellStyle name="Input 2 4 4" xfId="4330" xr:uid="{00000000-0005-0000-0000-0000A3090000}"/>
    <cellStyle name="Input 2 4_Sheet10" xfId="2066" xr:uid="{00000000-0005-0000-0000-0000A4090000}"/>
    <cellStyle name="Input 2 5" xfId="2067" xr:uid="{00000000-0005-0000-0000-0000A5090000}"/>
    <cellStyle name="Input 2 5 2" xfId="4315" xr:uid="{00000000-0005-0000-0000-0000A6090000}"/>
    <cellStyle name="Input 2 5 3" xfId="4332" xr:uid="{00000000-0005-0000-0000-0000A7090000}"/>
    <cellStyle name="Input 2 6" xfId="2068" xr:uid="{00000000-0005-0000-0000-0000A8090000}"/>
    <cellStyle name="Input 2 7" xfId="2069" xr:uid="{00000000-0005-0000-0000-0000A9090000}"/>
    <cellStyle name="Input 2 8" xfId="2070" xr:uid="{00000000-0005-0000-0000-0000AA090000}"/>
    <cellStyle name="Input 2 9" xfId="2071" xr:uid="{00000000-0005-0000-0000-0000AB090000}"/>
    <cellStyle name="Input 2_AGL" xfId="2072" xr:uid="{00000000-0005-0000-0000-0000AC090000}"/>
    <cellStyle name="Input 3" xfId="2073" xr:uid="{00000000-0005-0000-0000-0000AD090000}"/>
    <cellStyle name="Input 3 10" xfId="2074" xr:uid="{00000000-0005-0000-0000-0000AE090000}"/>
    <cellStyle name="Input 3 2" xfId="2075" xr:uid="{00000000-0005-0000-0000-0000AF090000}"/>
    <cellStyle name="Input 3 2 2" xfId="2076" xr:uid="{00000000-0005-0000-0000-0000B0090000}"/>
    <cellStyle name="Input 3 2 2 2" xfId="4313" xr:uid="{00000000-0005-0000-0000-0000B1090000}"/>
    <cellStyle name="Input 3 2 2 3" xfId="4334" xr:uid="{00000000-0005-0000-0000-0000B2090000}"/>
    <cellStyle name="Input 3 2 3" xfId="4314" xr:uid="{00000000-0005-0000-0000-0000B3090000}"/>
    <cellStyle name="Input 3 2 4" xfId="4333" xr:uid="{00000000-0005-0000-0000-0000B4090000}"/>
    <cellStyle name="Input 3 2_Sheet10" xfId="2077" xr:uid="{00000000-0005-0000-0000-0000B5090000}"/>
    <cellStyle name="Input 3 3" xfId="2078" xr:uid="{00000000-0005-0000-0000-0000B6090000}"/>
    <cellStyle name="Input 3 3 2" xfId="4312" xr:uid="{00000000-0005-0000-0000-0000B7090000}"/>
    <cellStyle name="Input 3 3 3" xfId="4335" xr:uid="{00000000-0005-0000-0000-0000B8090000}"/>
    <cellStyle name="Input 3 4" xfId="2079" xr:uid="{00000000-0005-0000-0000-0000B9090000}"/>
    <cellStyle name="Input 3 5" xfId="2080" xr:uid="{00000000-0005-0000-0000-0000BA090000}"/>
    <cellStyle name="Input 3 6" xfId="2081" xr:uid="{00000000-0005-0000-0000-0000BB090000}"/>
    <cellStyle name="Input 3 7" xfId="2082" xr:uid="{00000000-0005-0000-0000-0000BC090000}"/>
    <cellStyle name="Input 3 8" xfId="2083" xr:uid="{00000000-0005-0000-0000-0000BD090000}"/>
    <cellStyle name="Input 3 9" xfId="2084" xr:uid="{00000000-0005-0000-0000-0000BE090000}"/>
    <cellStyle name="Input 3_AGL" xfId="2085" xr:uid="{00000000-0005-0000-0000-0000BF090000}"/>
    <cellStyle name="Input 4" xfId="2086" xr:uid="{00000000-0005-0000-0000-0000C0090000}"/>
    <cellStyle name="Input 4 2" xfId="2087" xr:uid="{00000000-0005-0000-0000-0000C1090000}"/>
    <cellStyle name="Input 4 2 2" xfId="2088" xr:uid="{00000000-0005-0000-0000-0000C2090000}"/>
    <cellStyle name="Input 4 2 2 2" xfId="4310" xr:uid="{00000000-0005-0000-0000-0000C3090000}"/>
    <cellStyle name="Input 4 2 2 3" xfId="4337" xr:uid="{00000000-0005-0000-0000-0000C4090000}"/>
    <cellStyle name="Input 4 2 3" xfId="4311" xr:uid="{00000000-0005-0000-0000-0000C5090000}"/>
    <cellStyle name="Input 4 2 4" xfId="4336" xr:uid="{00000000-0005-0000-0000-0000C6090000}"/>
    <cellStyle name="Input 4 2_Sheet10" xfId="2089" xr:uid="{00000000-0005-0000-0000-0000C7090000}"/>
    <cellStyle name="Input 4 3" xfId="2090" xr:uid="{00000000-0005-0000-0000-0000C8090000}"/>
    <cellStyle name="Input 4 3 2" xfId="4309" xr:uid="{00000000-0005-0000-0000-0000C9090000}"/>
    <cellStyle name="Input 4 3 3" xfId="4338" xr:uid="{00000000-0005-0000-0000-0000CA090000}"/>
    <cellStyle name="Input 4_AGL" xfId="2091" xr:uid="{00000000-0005-0000-0000-0000CB090000}"/>
    <cellStyle name="Input 5" xfId="2092" xr:uid="{00000000-0005-0000-0000-0000CC090000}"/>
    <cellStyle name="Input 5 2" xfId="2093" xr:uid="{00000000-0005-0000-0000-0000CD090000}"/>
    <cellStyle name="Input 5 2 2" xfId="4307" xr:uid="{00000000-0005-0000-0000-0000CE090000}"/>
    <cellStyle name="Input 5 2 3" xfId="4340" xr:uid="{00000000-0005-0000-0000-0000CF090000}"/>
    <cellStyle name="Input 5 3" xfId="4308" xr:uid="{00000000-0005-0000-0000-0000D0090000}"/>
    <cellStyle name="Input 5 4" xfId="4339" xr:uid="{00000000-0005-0000-0000-0000D1090000}"/>
    <cellStyle name="Input 5_Sheet10" xfId="2094" xr:uid="{00000000-0005-0000-0000-0000D2090000}"/>
    <cellStyle name="Input 6" xfId="2095" xr:uid="{00000000-0005-0000-0000-0000D3090000}"/>
    <cellStyle name="Input 6 2" xfId="4306" xr:uid="{00000000-0005-0000-0000-0000D4090000}"/>
    <cellStyle name="Input 6 3" xfId="4341" xr:uid="{00000000-0005-0000-0000-0000D5090000}"/>
    <cellStyle name="Interm selection" xfId="2096" xr:uid="{00000000-0005-0000-0000-0000D6090000}"/>
    <cellStyle name="Intermediate/scenario user input" xfId="2097" xr:uid="{00000000-0005-0000-0000-0000D7090000}"/>
    <cellStyle name="Intermediate/scenario user input 2" xfId="2098" xr:uid="{00000000-0005-0000-0000-0000D8090000}"/>
    <cellStyle name="Intermediate/scenario user input 2 2" xfId="2099" xr:uid="{00000000-0005-0000-0000-0000D9090000}"/>
    <cellStyle name="Intermediate/scenario user input 2 2 2" xfId="4343" xr:uid="{00000000-0005-0000-0000-0000DA090000}"/>
    <cellStyle name="Intermediate/scenario user input 2 3" xfId="4342" xr:uid="{00000000-0005-0000-0000-0000DB090000}"/>
    <cellStyle name="Intermediate/scenario user input 2_Sheet10" xfId="2100" xr:uid="{00000000-0005-0000-0000-0000DC090000}"/>
    <cellStyle name="Intermediate/scenario user input 3" xfId="2101" xr:uid="{00000000-0005-0000-0000-0000DD090000}"/>
    <cellStyle name="Intermediate/scenario user input 3 2" xfId="4344" xr:uid="{00000000-0005-0000-0000-0000DE090000}"/>
    <cellStyle name="Intermediate/scenario user input_AGL" xfId="2102" xr:uid="{00000000-0005-0000-0000-0000DF090000}"/>
    <cellStyle name="L_Green" xfId="2103" xr:uid="{00000000-0005-0000-0000-0000E0090000}"/>
    <cellStyle name="Linked" xfId="29" xr:uid="{00000000-0005-0000-0000-0000E1090000}"/>
    <cellStyle name="Linked 2" xfId="2104" xr:uid="{00000000-0005-0000-0000-0000E2090000}"/>
    <cellStyle name="Linked 2 2" xfId="2105" xr:uid="{00000000-0005-0000-0000-0000E3090000}"/>
    <cellStyle name="Linked 2 2 2" xfId="2106" xr:uid="{00000000-0005-0000-0000-0000E4090000}"/>
    <cellStyle name="Linked 2 2 3" xfId="2107" xr:uid="{00000000-0005-0000-0000-0000E5090000}"/>
    <cellStyle name="Linked 2 2_AGL" xfId="2108" xr:uid="{00000000-0005-0000-0000-0000E6090000}"/>
    <cellStyle name="Linked 2 3" xfId="2109" xr:uid="{00000000-0005-0000-0000-0000E7090000}"/>
    <cellStyle name="Linked 2 4" xfId="2110" xr:uid="{00000000-0005-0000-0000-0000E8090000}"/>
    <cellStyle name="Linked 2_AGL" xfId="2111" xr:uid="{00000000-0005-0000-0000-0000E9090000}"/>
    <cellStyle name="Linked 3" xfId="2112" xr:uid="{00000000-0005-0000-0000-0000EA090000}"/>
    <cellStyle name="Linked 4" xfId="2113" xr:uid="{00000000-0005-0000-0000-0000EB090000}"/>
    <cellStyle name="Linked Cell 2" xfId="2114" xr:uid="{00000000-0005-0000-0000-0000EC090000}"/>
    <cellStyle name="Linked Cell 2 2" xfId="2115" xr:uid="{00000000-0005-0000-0000-0000ED090000}"/>
    <cellStyle name="Linked Cell 2 3" xfId="2116" xr:uid="{00000000-0005-0000-0000-0000EE090000}"/>
    <cellStyle name="Linked Cell 2_AGL" xfId="2117" xr:uid="{00000000-0005-0000-0000-0000EF090000}"/>
    <cellStyle name="Linked Cell 3" xfId="2118" xr:uid="{00000000-0005-0000-0000-0000F0090000}"/>
    <cellStyle name="Linked Cell 4" xfId="2119" xr:uid="{00000000-0005-0000-0000-0000F1090000}"/>
    <cellStyle name="Neutral" xfId="30" builtinId="28"/>
    <cellStyle name="Neutral 2" xfId="2120" xr:uid="{00000000-0005-0000-0000-0000F3090000}"/>
    <cellStyle name="Neutral 2 2" xfId="2121" xr:uid="{00000000-0005-0000-0000-0000F4090000}"/>
    <cellStyle name="Neutral 2 3" xfId="2122" xr:uid="{00000000-0005-0000-0000-0000F5090000}"/>
    <cellStyle name="Neutral 2_AGL" xfId="2123" xr:uid="{00000000-0005-0000-0000-0000F6090000}"/>
    <cellStyle name="Neutral 3" xfId="2124" xr:uid="{00000000-0005-0000-0000-0000F7090000}"/>
    <cellStyle name="Neutral 3 2" xfId="2125" xr:uid="{00000000-0005-0000-0000-0000F8090000}"/>
    <cellStyle name="Neutral 3 3" xfId="2126" xr:uid="{00000000-0005-0000-0000-0000F9090000}"/>
    <cellStyle name="Neutral 3_AGL" xfId="2127" xr:uid="{00000000-0005-0000-0000-0000FA090000}"/>
    <cellStyle name="Neutral 4" xfId="2128" xr:uid="{00000000-0005-0000-0000-0000FB090000}"/>
    <cellStyle name="Neutral 4 2" xfId="2129" xr:uid="{00000000-0005-0000-0000-0000FC090000}"/>
    <cellStyle name="Neutral 4 3" xfId="2130" xr:uid="{00000000-0005-0000-0000-0000FD090000}"/>
    <cellStyle name="Neutral 4_AGL" xfId="2131" xr:uid="{00000000-0005-0000-0000-0000FE090000}"/>
    <cellStyle name="Neutral 5" xfId="2132" xr:uid="{00000000-0005-0000-0000-0000FF090000}"/>
    <cellStyle name="Neutral 6" xfId="2133" xr:uid="{00000000-0005-0000-0000-0000000A0000}"/>
    <cellStyle name="Normal" xfId="0" builtinId="0"/>
    <cellStyle name="Normal - Style1" xfId="2134" xr:uid="{00000000-0005-0000-0000-0000020A0000}"/>
    <cellStyle name="Normal 10" xfId="60" xr:uid="{00000000-0005-0000-0000-0000030A0000}"/>
    <cellStyle name="Normal 10 2" xfId="2135" xr:uid="{00000000-0005-0000-0000-0000040A0000}"/>
    <cellStyle name="Normal 10 2 2" xfId="2136" xr:uid="{00000000-0005-0000-0000-0000050A0000}"/>
    <cellStyle name="Normal 10 2 2 2" xfId="2137" xr:uid="{00000000-0005-0000-0000-0000060A0000}"/>
    <cellStyle name="Normal 10 2 3" xfId="2138" xr:uid="{00000000-0005-0000-0000-0000070A0000}"/>
    <cellStyle name="Normal 10 2 3 2" xfId="2139" xr:uid="{00000000-0005-0000-0000-0000080A0000}"/>
    <cellStyle name="Normal 10 2 4" xfId="2140" xr:uid="{00000000-0005-0000-0000-0000090A0000}"/>
    <cellStyle name="Normal 10 2_AGL" xfId="2141" xr:uid="{00000000-0005-0000-0000-00000A0A0000}"/>
    <cellStyle name="Normal 10 3" xfId="2142" xr:uid="{00000000-0005-0000-0000-00000B0A0000}"/>
    <cellStyle name="Normal 10 3 2" xfId="2143" xr:uid="{00000000-0005-0000-0000-00000C0A0000}"/>
    <cellStyle name="Normal 10 3 2 2" xfId="2144" xr:uid="{00000000-0005-0000-0000-00000D0A0000}"/>
    <cellStyle name="Normal 10 3 3" xfId="2145" xr:uid="{00000000-0005-0000-0000-00000E0A0000}"/>
    <cellStyle name="Normal 10 3 3 2" xfId="2146" xr:uid="{00000000-0005-0000-0000-00000F0A0000}"/>
    <cellStyle name="Normal 10 3 4" xfId="2147" xr:uid="{00000000-0005-0000-0000-0000100A0000}"/>
    <cellStyle name="Normal 10 3_AGL" xfId="2148" xr:uid="{00000000-0005-0000-0000-0000110A0000}"/>
    <cellStyle name="Normal 10 4" xfId="2149" xr:uid="{00000000-0005-0000-0000-0000120A0000}"/>
    <cellStyle name="Normal 10 4 2" xfId="2150" xr:uid="{00000000-0005-0000-0000-0000130A0000}"/>
    <cellStyle name="Normal 10 4 2 2" xfId="2151" xr:uid="{00000000-0005-0000-0000-0000140A0000}"/>
    <cellStyle name="Normal 10 4 3" xfId="2152" xr:uid="{00000000-0005-0000-0000-0000150A0000}"/>
    <cellStyle name="Normal 10 4 3 2" xfId="2153" xr:uid="{00000000-0005-0000-0000-0000160A0000}"/>
    <cellStyle name="Normal 10 4 4" xfId="2154" xr:uid="{00000000-0005-0000-0000-0000170A0000}"/>
    <cellStyle name="Normal 10 4_AGL" xfId="2155" xr:uid="{00000000-0005-0000-0000-0000180A0000}"/>
    <cellStyle name="Normal 10 5" xfId="2156" xr:uid="{00000000-0005-0000-0000-0000190A0000}"/>
    <cellStyle name="Normal 10 5 2" xfId="2157" xr:uid="{00000000-0005-0000-0000-00001A0A0000}"/>
    <cellStyle name="Normal 10 6" xfId="2158" xr:uid="{00000000-0005-0000-0000-00001B0A0000}"/>
    <cellStyle name="Normal 10 6 2" xfId="2159" xr:uid="{00000000-0005-0000-0000-00001C0A0000}"/>
    <cellStyle name="Normal 10 7" xfId="2160" xr:uid="{00000000-0005-0000-0000-00001D0A0000}"/>
    <cellStyle name="Normal 10_AGL" xfId="2161" xr:uid="{00000000-0005-0000-0000-00001E0A0000}"/>
    <cellStyle name="Normal 11" xfId="2162" xr:uid="{00000000-0005-0000-0000-00001F0A0000}"/>
    <cellStyle name="Normal 11 2" xfId="2163" xr:uid="{00000000-0005-0000-0000-0000200A0000}"/>
    <cellStyle name="Normal 11 2 2" xfId="2164" xr:uid="{00000000-0005-0000-0000-0000210A0000}"/>
    <cellStyle name="Normal 11 2 2 2" xfId="2165" xr:uid="{00000000-0005-0000-0000-0000220A0000}"/>
    <cellStyle name="Normal 11 2 3" xfId="2166" xr:uid="{00000000-0005-0000-0000-0000230A0000}"/>
    <cellStyle name="Normal 11 2 3 2" xfId="2167" xr:uid="{00000000-0005-0000-0000-0000240A0000}"/>
    <cellStyle name="Normal 11 2 4" xfId="2168" xr:uid="{00000000-0005-0000-0000-0000250A0000}"/>
    <cellStyle name="Normal 11 2_AGL" xfId="2169" xr:uid="{00000000-0005-0000-0000-0000260A0000}"/>
    <cellStyle name="Normal 11 3" xfId="2170" xr:uid="{00000000-0005-0000-0000-0000270A0000}"/>
    <cellStyle name="Normal 11 3 2" xfId="2171" xr:uid="{00000000-0005-0000-0000-0000280A0000}"/>
    <cellStyle name="Normal 11 3 2 2" xfId="2172" xr:uid="{00000000-0005-0000-0000-0000290A0000}"/>
    <cellStyle name="Normal 11 3 3" xfId="2173" xr:uid="{00000000-0005-0000-0000-00002A0A0000}"/>
    <cellStyle name="Normal 11 3 3 2" xfId="2174" xr:uid="{00000000-0005-0000-0000-00002B0A0000}"/>
    <cellStyle name="Normal 11 3 4" xfId="2175" xr:uid="{00000000-0005-0000-0000-00002C0A0000}"/>
    <cellStyle name="Normal 11 3_AGL" xfId="2176" xr:uid="{00000000-0005-0000-0000-00002D0A0000}"/>
    <cellStyle name="Normal 11 4" xfId="2177" xr:uid="{00000000-0005-0000-0000-00002E0A0000}"/>
    <cellStyle name="Normal 11 4 2" xfId="2178" xr:uid="{00000000-0005-0000-0000-00002F0A0000}"/>
    <cellStyle name="Normal 11 5" xfId="2179" xr:uid="{00000000-0005-0000-0000-0000300A0000}"/>
    <cellStyle name="Normal 11 5 2" xfId="2180" xr:uid="{00000000-0005-0000-0000-0000310A0000}"/>
    <cellStyle name="Normal 11 6" xfId="2181" xr:uid="{00000000-0005-0000-0000-0000320A0000}"/>
    <cellStyle name="Normal 11_AGL" xfId="2182" xr:uid="{00000000-0005-0000-0000-0000330A0000}"/>
    <cellStyle name="Normal 12" xfId="2183" xr:uid="{00000000-0005-0000-0000-0000340A0000}"/>
    <cellStyle name="Normal 12 10" xfId="2184" xr:uid="{00000000-0005-0000-0000-0000350A0000}"/>
    <cellStyle name="Normal 12 10 2" xfId="2185" xr:uid="{00000000-0005-0000-0000-0000360A0000}"/>
    <cellStyle name="Normal 12 11" xfId="2186" xr:uid="{00000000-0005-0000-0000-0000370A0000}"/>
    <cellStyle name="Normal 12 11 2" xfId="2187" xr:uid="{00000000-0005-0000-0000-0000380A0000}"/>
    <cellStyle name="Normal 12 12" xfId="2188" xr:uid="{00000000-0005-0000-0000-0000390A0000}"/>
    <cellStyle name="Normal 12 2" xfId="2189" xr:uid="{00000000-0005-0000-0000-00003A0A0000}"/>
    <cellStyle name="Normal 12 2 2" xfId="2190" xr:uid="{00000000-0005-0000-0000-00003B0A0000}"/>
    <cellStyle name="Normal 12 2 2 2" xfId="2191" xr:uid="{00000000-0005-0000-0000-00003C0A0000}"/>
    <cellStyle name="Normal 12 2 3" xfId="2192" xr:uid="{00000000-0005-0000-0000-00003D0A0000}"/>
    <cellStyle name="Normal 12 2 3 2" xfId="2193" xr:uid="{00000000-0005-0000-0000-00003E0A0000}"/>
    <cellStyle name="Normal 12 2 4" xfId="2194" xr:uid="{00000000-0005-0000-0000-00003F0A0000}"/>
    <cellStyle name="Normal 12 2_AGL" xfId="2195" xr:uid="{00000000-0005-0000-0000-0000400A0000}"/>
    <cellStyle name="Normal 12 3" xfId="2196" xr:uid="{00000000-0005-0000-0000-0000410A0000}"/>
    <cellStyle name="Normal 12 3 2" xfId="2197" xr:uid="{00000000-0005-0000-0000-0000420A0000}"/>
    <cellStyle name="Normal 12 3 2 2" xfId="2198" xr:uid="{00000000-0005-0000-0000-0000430A0000}"/>
    <cellStyle name="Normal 12 3 3" xfId="2199" xr:uid="{00000000-0005-0000-0000-0000440A0000}"/>
    <cellStyle name="Normal 12 3 3 2" xfId="2200" xr:uid="{00000000-0005-0000-0000-0000450A0000}"/>
    <cellStyle name="Normal 12 3 4" xfId="2201" xr:uid="{00000000-0005-0000-0000-0000460A0000}"/>
    <cellStyle name="Normal 12 3_AGL" xfId="2202" xr:uid="{00000000-0005-0000-0000-0000470A0000}"/>
    <cellStyle name="Normal 12 4" xfId="2203" xr:uid="{00000000-0005-0000-0000-0000480A0000}"/>
    <cellStyle name="Normal 12 4 2" xfId="2204" xr:uid="{00000000-0005-0000-0000-0000490A0000}"/>
    <cellStyle name="Normal 12 4 2 2" xfId="2205" xr:uid="{00000000-0005-0000-0000-00004A0A0000}"/>
    <cellStyle name="Normal 12 4 3" xfId="2206" xr:uid="{00000000-0005-0000-0000-00004B0A0000}"/>
    <cellStyle name="Normal 12 4 3 2" xfId="2207" xr:uid="{00000000-0005-0000-0000-00004C0A0000}"/>
    <cellStyle name="Normal 12 4 4" xfId="2208" xr:uid="{00000000-0005-0000-0000-00004D0A0000}"/>
    <cellStyle name="Normal 12 4_AGL" xfId="2209" xr:uid="{00000000-0005-0000-0000-00004E0A0000}"/>
    <cellStyle name="Normal 12 5" xfId="2210" xr:uid="{00000000-0005-0000-0000-00004F0A0000}"/>
    <cellStyle name="Normal 12 5 2" xfId="2211" xr:uid="{00000000-0005-0000-0000-0000500A0000}"/>
    <cellStyle name="Normal 12 5 2 2" xfId="2212" xr:uid="{00000000-0005-0000-0000-0000510A0000}"/>
    <cellStyle name="Normal 12 5 3" xfId="2213" xr:uid="{00000000-0005-0000-0000-0000520A0000}"/>
    <cellStyle name="Normal 12 5 3 2" xfId="2214" xr:uid="{00000000-0005-0000-0000-0000530A0000}"/>
    <cellStyle name="Normal 12 5 4" xfId="2215" xr:uid="{00000000-0005-0000-0000-0000540A0000}"/>
    <cellStyle name="Normal 12 5_AGL" xfId="2216" xr:uid="{00000000-0005-0000-0000-0000550A0000}"/>
    <cellStyle name="Normal 12 6" xfId="2217" xr:uid="{00000000-0005-0000-0000-0000560A0000}"/>
    <cellStyle name="Normal 12 6 2" xfId="2218" xr:uid="{00000000-0005-0000-0000-0000570A0000}"/>
    <cellStyle name="Normal 12 6 2 2" xfId="2219" xr:uid="{00000000-0005-0000-0000-0000580A0000}"/>
    <cellStyle name="Normal 12 6 3" xfId="2220" xr:uid="{00000000-0005-0000-0000-0000590A0000}"/>
    <cellStyle name="Normal 12 6 3 2" xfId="2221" xr:uid="{00000000-0005-0000-0000-00005A0A0000}"/>
    <cellStyle name="Normal 12 6 4" xfId="2222" xr:uid="{00000000-0005-0000-0000-00005B0A0000}"/>
    <cellStyle name="Normal 12 6_AGL" xfId="2223" xr:uid="{00000000-0005-0000-0000-00005C0A0000}"/>
    <cellStyle name="Normal 12 7" xfId="2224" xr:uid="{00000000-0005-0000-0000-00005D0A0000}"/>
    <cellStyle name="Normal 12 7 2" xfId="2225" xr:uid="{00000000-0005-0000-0000-00005E0A0000}"/>
    <cellStyle name="Normal 12 7 2 2" xfId="2226" xr:uid="{00000000-0005-0000-0000-00005F0A0000}"/>
    <cellStyle name="Normal 12 7 3" xfId="2227" xr:uid="{00000000-0005-0000-0000-0000600A0000}"/>
    <cellStyle name="Normal 12 7 3 2" xfId="2228" xr:uid="{00000000-0005-0000-0000-0000610A0000}"/>
    <cellStyle name="Normal 12 7 4" xfId="2229" xr:uid="{00000000-0005-0000-0000-0000620A0000}"/>
    <cellStyle name="Normal 12 7_AGL" xfId="2230" xr:uid="{00000000-0005-0000-0000-0000630A0000}"/>
    <cellStyle name="Normal 12 8" xfId="2231" xr:uid="{00000000-0005-0000-0000-0000640A0000}"/>
    <cellStyle name="Normal 12 8 2" xfId="2232" xr:uid="{00000000-0005-0000-0000-0000650A0000}"/>
    <cellStyle name="Normal 12 8 2 2" xfId="2233" xr:uid="{00000000-0005-0000-0000-0000660A0000}"/>
    <cellStyle name="Normal 12 8 3" xfId="2234" xr:uid="{00000000-0005-0000-0000-0000670A0000}"/>
    <cellStyle name="Normal 12 8 3 2" xfId="2235" xr:uid="{00000000-0005-0000-0000-0000680A0000}"/>
    <cellStyle name="Normal 12 8 4" xfId="2236" xr:uid="{00000000-0005-0000-0000-0000690A0000}"/>
    <cellStyle name="Normal 12 8_AGL" xfId="2237" xr:uid="{00000000-0005-0000-0000-00006A0A0000}"/>
    <cellStyle name="Normal 12 9" xfId="55" xr:uid="{00000000-0005-0000-0000-00006B0A0000}"/>
    <cellStyle name="Normal 12 9 2" xfId="64" xr:uid="{00000000-0005-0000-0000-00006C0A0000}"/>
    <cellStyle name="Normal 12 9 2 2" xfId="2238" xr:uid="{00000000-0005-0000-0000-00006D0A0000}"/>
    <cellStyle name="Normal 12 9 3" xfId="2239" xr:uid="{00000000-0005-0000-0000-00006E0A0000}"/>
    <cellStyle name="Normal 12 9 3 2" xfId="2240" xr:uid="{00000000-0005-0000-0000-00006F0A0000}"/>
    <cellStyle name="Normal 12 9 4" xfId="2241" xr:uid="{00000000-0005-0000-0000-0000700A0000}"/>
    <cellStyle name="Normal 12 9_AGL" xfId="2242" xr:uid="{00000000-0005-0000-0000-0000710A0000}"/>
    <cellStyle name="Normal 12_AGL" xfId="2243" xr:uid="{00000000-0005-0000-0000-0000720A0000}"/>
    <cellStyle name="Normal 13" xfId="31" xr:uid="{00000000-0005-0000-0000-0000730A0000}"/>
    <cellStyle name="Normal 13 10" xfId="2244" xr:uid="{00000000-0005-0000-0000-0000740A0000}"/>
    <cellStyle name="Normal 13 10 2" xfId="2245" xr:uid="{00000000-0005-0000-0000-0000750A0000}"/>
    <cellStyle name="Normal 13 11" xfId="2246" xr:uid="{00000000-0005-0000-0000-0000760A0000}"/>
    <cellStyle name="Normal 13 11 2" xfId="2247" xr:uid="{00000000-0005-0000-0000-0000770A0000}"/>
    <cellStyle name="Normal 13 12" xfId="2248" xr:uid="{00000000-0005-0000-0000-0000780A0000}"/>
    <cellStyle name="Normal 13 13" xfId="2249" xr:uid="{00000000-0005-0000-0000-0000790A0000}"/>
    <cellStyle name="Normal 13 2" xfId="2250" xr:uid="{00000000-0005-0000-0000-00007A0A0000}"/>
    <cellStyle name="Normal 13 2 2" xfId="2251" xr:uid="{00000000-0005-0000-0000-00007B0A0000}"/>
    <cellStyle name="Normal 13 2 2 2" xfId="2252" xr:uid="{00000000-0005-0000-0000-00007C0A0000}"/>
    <cellStyle name="Normal 13 2 3" xfId="2253" xr:uid="{00000000-0005-0000-0000-00007D0A0000}"/>
    <cellStyle name="Normal 13 2 3 2" xfId="2254" xr:uid="{00000000-0005-0000-0000-00007E0A0000}"/>
    <cellStyle name="Normal 13 2 4" xfId="2255" xr:uid="{00000000-0005-0000-0000-00007F0A0000}"/>
    <cellStyle name="Normal 13 2_AGL" xfId="2256" xr:uid="{00000000-0005-0000-0000-0000800A0000}"/>
    <cellStyle name="Normal 13 3" xfId="2257" xr:uid="{00000000-0005-0000-0000-0000810A0000}"/>
    <cellStyle name="Normal 13 3 2" xfId="2258" xr:uid="{00000000-0005-0000-0000-0000820A0000}"/>
    <cellStyle name="Normal 13 3 2 2" xfId="2259" xr:uid="{00000000-0005-0000-0000-0000830A0000}"/>
    <cellStyle name="Normal 13 3 3" xfId="2260" xr:uid="{00000000-0005-0000-0000-0000840A0000}"/>
    <cellStyle name="Normal 13 3 3 2" xfId="2261" xr:uid="{00000000-0005-0000-0000-0000850A0000}"/>
    <cellStyle name="Normal 13 3 4" xfId="2262" xr:uid="{00000000-0005-0000-0000-0000860A0000}"/>
    <cellStyle name="Normal 13 3_AGL" xfId="2263" xr:uid="{00000000-0005-0000-0000-0000870A0000}"/>
    <cellStyle name="Normal 13 4" xfId="2264" xr:uid="{00000000-0005-0000-0000-0000880A0000}"/>
    <cellStyle name="Normal 13 4 2" xfId="2265" xr:uid="{00000000-0005-0000-0000-0000890A0000}"/>
    <cellStyle name="Normal 13 4 2 2" xfId="2266" xr:uid="{00000000-0005-0000-0000-00008A0A0000}"/>
    <cellStyle name="Normal 13 4 3" xfId="2267" xr:uid="{00000000-0005-0000-0000-00008B0A0000}"/>
    <cellStyle name="Normal 13 4 3 2" xfId="2268" xr:uid="{00000000-0005-0000-0000-00008C0A0000}"/>
    <cellStyle name="Normal 13 4 4" xfId="2269" xr:uid="{00000000-0005-0000-0000-00008D0A0000}"/>
    <cellStyle name="Normal 13 4_AGL" xfId="2270" xr:uid="{00000000-0005-0000-0000-00008E0A0000}"/>
    <cellStyle name="Normal 13 5" xfId="2271" xr:uid="{00000000-0005-0000-0000-00008F0A0000}"/>
    <cellStyle name="Normal 13 5 2" xfId="2272" xr:uid="{00000000-0005-0000-0000-0000900A0000}"/>
    <cellStyle name="Normal 13 5 2 2" xfId="2273" xr:uid="{00000000-0005-0000-0000-0000910A0000}"/>
    <cellStyle name="Normal 13 5 3" xfId="2274" xr:uid="{00000000-0005-0000-0000-0000920A0000}"/>
    <cellStyle name="Normal 13 5 3 2" xfId="2275" xr:uid="{00000000-0005-0000-0000-0000930A0000}"/>
    <cellStyle name="Normal 13 5 4" xfId="2276" xr:uid="{00000000-0005-0000-0000-0000940A0000}"/>
    <cellStyle name="Normal 13 5_AGL" xfId="2277" xr:uid="{00000000-0005-0000-0000-0000950A0000}"/>
    <cellStyle name="Normal 13 6" xfId="2278" xr:uid="{00000000-0005-0000-0000-0000960A0000}"/>
    <cellStyle name="Normal 13 6 2" xfId="2279" xr:uid="{00000000-0005-0000-0000-0000970A0000}"/>
    <cellStyle name="Normal 13 6 2 2" xfId="2280" xr:uid="{00000000-0005-0000-0000-0000980A0000}"/>
    <cellStyle name="Normal 13 6 3" xfId="2281" xr:uid="{00000000-0005-0000-0000-0000990A0000}"/>
    <cellStyle name="Normal 13 6 3 2" xfId="2282" xr:uid="{00000000-0005-0000-0000-00009A0A0000}"/>
    <cellStyle name="Normal 13 6 4" xfId="2283" xr:uid="{00000000-0005-0000-0000-00009B0A0000}"/>
    <cellStyle name="Normal 13 6_AGL" xfId="2284" xr:uid="{00000000-0005-0000-0000-00009C0A0000}"/>
    <cellStyle name="Normal 13 7" xfId="2285" xr:uid="{00000000-0005-0000-0000-00009D0A0000}"/>
    <cellStyle name="Normal 13 7 2" xfId="2286" xr:uid="{00000000-0005-0000-0000-00009E0A0000}"/>
    <cellStyle name="Normal 13 7 2 2" xfId="2287" xr:uid="{00000000-0005-0000-0000-00009F0A0000}"/>
    <cellStyle name="Normal 13 7 3" xfId="2288" xr:uid="{00000000-0005-0000-0000-0000A00A0000}"/>
    <cellStyle name="Normal 13 7 3 2" xfId="2289" xr:uid="{00000000-0005-0000-0000-0000A10A0000}"/>
    <cellStyle name="Normal 13 7 4" xfId="2290" xr:uid="{00000000-0005-0000-0000-0000A20A0000}"/>
    <cellStyle name="Normal 13 7_AGL" xfId="2291" xr:uid="{00000000-0005-0000-0000-0000A30A0000}"/>
    <cellStyle name="Normal 13 8" xfId="2292" xr:uid="{00000000-0005-0000-0000-0000A40A0000}"/>
    <cellStyle name="Normal 13 8 2" xfId="2293" xr:uid="{00000000-0005-0000-0000-0000A50A0000}"/>
    <cellStyle name="Normal 13 8 2 2" xfId="2294" xr:uid="{00000000-0005-0000-0000-0000A60A0000}"/>
    <cellStyle name="Normal 13 8 3" xfId="2295" xr:uid="{00000000-0005-0000-0000-0000A70A0000}"/>
    <cellStyle name="Normal 13 8 3 2" xfId="2296" xr:uid="{00000000-0005-0000-0000-0000A80A0000}"/>
    <cellStyle name="Normal 13 8 4" xfId="2297" xr:uid="{00000000-0005-0000-0000-0000A90A0000}"/>
    <cellStyle name="Normal 13 8_AGL" xfId="2298" xr:uid="{00000000-0005-0000-0000-0000AA0A0000}"/>
    <cellStyle name="Normal 13 9" xfId="2299" xr:uid="{00000000-0005-0000-0000-0000AB0A0000}"/>
    <cellStyle name="Normal 13 9 2" xfId="2300" xr:uid="{00000000-0005-0000-0000-0000AC0A0000}"/>
    <cellStyle name="Normal 13 9 2 2" xfId="2301" xr:uid="{00000000-0005-0000-0000-0000AD0A0000}"/>
    <cellStyle name="Normal 13 9 3" xfId="2302" xr:uid="{00000000-0005-0000-0000-0000AE0A0000}"/>
    <cellStyle name="Normal 13 9 3 2" xfId="2303" xr:uid="{00000000-0005-0000-0000-0000AF0A0000}"/>
    <cellStyle name="Normal 13 9 4" xfId="2304" xr:uid="{00000000-0005-0000-0000-0000B00A0000}"/>
    <cellStyle name="Normal 13 9_AGL" xfId="2305" xr:uid="{00000000-0005-0000-0000-0000B10A0000}"/>
    <cellStyle name="Normal 13_AGL" xfId="2306" xr:uid="{00000000-0005-0000-0000-0000B20A0000}"/>
    <cellStyle name="Normal 14" xfId="2307" xr:uid="{00000000-0005-0000-0000-0000B30A0000}"/>
    <cellStyle name="Normal 14 2" xfId="2308" xr:uid="{00000000-0005-0000-0000-0000B40A0000}"/>
    <cellStyle name="Normal 14 2 2" xfId="2309" xr:uid="{00000000-0005-0000-0000-0000B50A0000}"/>
    <cellStyle name="Normal 14 2 2 2" xfId="2310" xr:uid="{00000000-0005-0000-0000-0000B60A0000}"/>
    <cellStyle name="Normal 14 2 3" xfId="2311" xr:uid="{00000000-0005-0000-0000-0000B70A0000}"/>
    <cellStyle name="Normal 14 2 3 2" xfId="2312" xr:uid="{00000000-0005-0000-0000-0000B80A0000}"/>
    <cellStyle name="Normal 14 2 4" xfId="2313" xr:uid="{00000000-0005-0000-0000-0000B90A0000}"/>
    <cellStyle name="Normal 14 2_AGL" xfId="2314" xr:uid="{00000000-0005-0000-0000-0000BA0A0000}"/>
    <cellStyle name="Normal 14 3" xfId="2315" xr:uid="{00000000-0005-0000-0000-0000BB0A0000}"/>
    <cellStyle name="Normal 14 3 2" xfId="2316" xr:uid="{00000000-0005-0000-0000-0000BC0A0000}"/>
    <cellStyle name="Normal 14 4" xfId="2317" xr:uid="{00000000-0005-0000-0000-0000BD0A0000}"/>
    <cellStyle name="Normal 14 4 2" xfId="2318" xr:uid="{00000000-0005-0000-0000-0000BE0A0000}"/>
    <cellStyle name="Normal 14 5" xfId="2319" xr:uid="{00000000-0005-0000-0000-0000BF0A0000}"/>
    <cellStyle name="Normal 14_AGL" xfId="2320" xr:uid="{00000000-0005-0000-0000-0000C00A0000}"/>
    <cellStyle name="Normal 15" xfId="2321" xr:uid="{00000000-0005-0000-0000-0000C10A0000}"/>
    <cellStyle name="Normal 15 2" xfId="2322" xr:uid="{00000000-0005-0000-0000-0000C20A0000}"/>
    <cellStyle name="Normal 15 2 2" xfId="2323" xr:uid="{00000000-0005-0000-0000-0000C30A0000}"/>
    <cellStyle name="Normal 15 2 2 2" xfId="2324" xr:uid="{00000000-0005-0000-0000-0000C40A0000}"/>
    <cellStyle name="Normal 15 2 3" xfId="2325" xr:uid="{00000000-0005-0000-0000-0000C50A0000}"/>
    <cellStyle name="Normal 15 2 3 2" xfId="2326" xr:uid="{00000000-0005-0000-0000-0000C60A0000}"/>
    <cellStyle name="Normal 15 2 4" xfId="2327" xr:uid="{00000000-0005-0000-0000-0000C70A0000}"/>
    <cellStyle name="Normal 15 2_AGL" xfId="2328" xr:uid="{00000000-0005-0000-0000-0000C80A0000}"/>
    <cellStyle name="Normal 15 3" xfId="2329" xr:uid="{00000000-0005-0000-0000-0000C90A0000}"/>
    <cellStyle name="Normal 15 3 2" xfId="2330" xr:uid="{00000000-0005-0000-0000-0000CA0A0000}"/>
    <cellStyle name="Normal 15 4" xfId="2331" xr:uid="{00000000-0005-0000-0000-0000CB0A0000}"/>
    <cellStyle name="Normal 15 4 2" xfId="2332" xr:uid="{00000000-0005-0000-0000-0000CC0A0000}"/>
    <cellStyle name="Normal 15 5" xfId="2333" xr:uid="{00000000-0005-0000-0000-0000CD0A0000}"/>
    <cellStyle name="Normal 15_AGL" xfId="2334" xr:uid="{00000000-0005-0000-0000-0000CE0A0000}"/>
    <cellStyle name="Normal 16" xfId="2335" xr:uid="{00000000-0005-0000-0000-0000CF0A0000}"/>
    <cellStyle name="Normal 16 2" xfId="61" xr:uid="{00000000-0005-0000-0000-0000D00A0000}"/>
    <cellStyle name="Normal 16 2 2" xfId="2336" xr:uid="{00000000-0005-0000-0000-0000D10A0000}"/>
    <cellStyle name="Normal 16 2 3" xfId="2337" xr:uid="{00000000-0005-0000-0000-0000D20A0000}"/>
    <cellStyle name="Normal 16 2_AGL" xfId="2338" xr:uid="{00000000-0005-0000-0000-0000D30A0000}"/>
    <cellStyle name="Normal 16 3" xfId="2339" xr:uid="{00000000-0005-0000-0000-0000D40A0000}"/>
    <cellStyle name="Normal 16 3 2" xfId="2340" xr:uid="{00000000-0005-0000-0000-0000D50A0000}"/>
    <cellStyle name="Normal 16 3 2 2" xfId="2341" xr:uid="{00000000-0005-0000-0000-0000D60A0000}"/>
    <cellStyle name="Normal 16 3 3" xfId="2342" xr:uid="{00000000-0005-0000-0000-0000D70A0000}"/>
    <cellStyle name="Normal 16 3 3 2" xfId="2343" xr:uid="{00000000-0005-0000-0000-0000D80A0000}"/>
    <cellStyle name="Normal 16 3 4" xfId="2344" xr:uid="{00000000-0005-0000-0000-0000D90A0000}"/>
    <cellStyle name="Normal 16 3_AGL" xfId="2345" xr:uid="{00000000-0005-0000-0000-0000DA0A0000}"/>
    <cellStyle name="Normal 16 4" xfId="2346" xr:uid="{00000000-0005-0000-0000-0000DB0A0000}"/>
    <cellStyle name="Normal 16 4 2" xfId="2347" xr:uid="{00000000-0005-0000-0000-0000DC0A0000}"/>
    <cellStyle name="Normal 16 4 2 2" xfId="2348" xr:uid="{00000000-0005-0000-0000-0000DD0A0000}"/>
    <cellStyle name="Normal 16 4 3" xfId="2349" xr:uid="{00000000-0005-0000-0000-0000DE0A0000}"/>
    <cellStyle name="Normal 16 4 3 2" xfId="2350" xr:uid="{00000000-0005-0000-0000-0000DF0A0000}"/>
    <cellStyle name="Normal 16 4 4" xfId="2351" xr:uid="{00000000-0005-0000-0000-0000E00A0000}"/>
    <cellStyle name="Normal 16 4_AGL" xfId="2352" xr:uid="{00000000-0005-0000-0000-0000E10A0000}"/>
    <cellStyle name="Normal 16 5" xfId="2353" xr:uid="{00000000-0005-0000-0000-0000E20A0000}"/>
    <cellStyle name="Normal 16 5 2" xfId="2354" xr:uid="{00000000-0005-0000-0000-0000E30A0000}"/>
    <cellStyle name="Normal 16 5 2 2" xfId="2355" xr:uid="{00000000-0005-0000-0000-0000E40A0000}"/>
    <cellStyle name="Normal 16 5 3" xfId="2356" xr:uid="{00000000-0005-0000-0000-0000E50A0000}"/>
    <cellStyle name="Normal 16 5 3 2" xfId="2357" xr:uid="{00000000-0005-0000-0000-0000E60A0000}"/>
    <cellStyle name="Normal 16 5 4" xfId="2358" xr:uid="{00000000-0005-0000-0000-0000E70A0000}"/>
    <cellStyle name="Normal 16 5_AGL" xfId="2359" xr:uid="{00000000-0005-0000-0000-0000E80A0000}"/>
    <cellStyle name="Normal 16 6" xfId="2360" xr:uid="{00000000-0005-0000-0000-0000E90A0000}"/>
    <cellStyle name="Normal 16 6 2" xfId="2361" xr:uid="{00000000-0005-0000-0000-0000EA0A0000}"/>
    <cellStyle name="Normal 16 6 2 2" xfId="2362" xr:uid="{00000000-0005-0000-0000-0000EB0A0000}"/>
    <cellStyle name="Normal 16 6 3" xfId="2363" xr:uid="{00000000-0005-0000-0000-0000EC0A0000}"/>
    <cellStyle name="Normal 16 6 3 2" xfId="2364" xr:uid="{00000000-0005-0000-0000-0000ED0A0000}"/>
    <cellStyle name="Normal 16 6 4" xfId="2365" xr:uid="{00000000-0005-0000-0000-0000EE0A0000}"/>
    <cellStyle name="Normal 16 6_AGL" xfId="2366" xr:uid="{00000000-0005-0000-0000-0000EF0A0000}"/>
    <cellStyle name="Normal 16 7" xfId="2367" xr:uid="{00000000-0005-0000-0000-0000F00A0000}"/>
    <cellStyle name="Normal 16_AGL" xfId="2368" xr:uid="{00000000-0005-0000-0000-0000F10A0000}"/>
    <cellStyle name="Normal 17" xfId="2369" xr:uid="{00000000-0005-0000-0000-0000F20A0000}"/>
    <cellStyle name="Normal 17 2" xfId="2370" xr:uid="{00000000-0005-0000-0000-0000F30A0000}"/>
    <cellStyle name="Normal 17 2 2" xfId="2371" xr:uid="{00000000-0005-0000-0000-0000F40A0000}"/>
    <cellStyle name="Normal 17 3" xfId="2372" xr:uid="{00000000-0005-0000-0000-0000F50A0000}"/>
    <cellStyle name="Normal 17 3 2" xfId="2373" xr:uid="{00000000-0005-0000-0000-0000F60A0000}"/>
    <cellStyle name="Normal 17 4" xfId="2374" xr:uid="{00000000-0005-0000-0000-0000F70A0000}"/>
    <cellStyle name="Normal 17_AGL" xfId="2375" xr:uid="{00000000-0005-0000-0000-0000F80A0000}"/>
    <cellStyle name="Normal 18" xfId="2376" xr:uid="{00000000-0005-0000-0000-0000F90A0000}"/>
    <cellStyle name="Normal 18 2" xfId="2377" xr:uid="{00000000-0005-0000-0000-0000FA0A0000}"/>
    <cellStyle name="Normal 18 2 2" xfId="2378" xr:uid="{00000000-0005-0000-0000-0000FB0A0000}"/>
    <cellStyle name="Normal 18 2 2 2" xfId="2379" xr:uid="{00000000-0005-0000-0000-0000FC0A0000}"/>
    <cellStyle name="Normal 18 2 3" xfId="2380" xr:uid="{00000000-0005-0000-0000-0000FD0A0000}"/>
    <cellStyle name="Normal 18 2 3 2" xfId="2381" xr:uid="{00000000-0005-0000-0000-0000FE0A0000}"/>
    <cellStyle name="Normal 18 2 4" xfId="2382" xr:uid="{00000000-0005-0000-0000-0000FF0A0000}"/>
    <cellStyle name="Normal 18 2_AGL" xfId="2383" xr:uid="{00000000-0005-0000-0000-0000000B0000}"/>
    <cellStyle name="Normal 18 3" xfId="2384" xr:uid="{00000000-0005-0000-0000-0000010B0000}"/>
    <cellStyle name="Normal 18 3 2" xfId="2385" xr:uid="{00000000-0005-0000-0000-0000020B0000}"/>
    <cellStyle name="Normal 18 3 2 2" xfId="2386" xr:uid="{00000000-0005-0000-0000-0000030B0000}"/>
    <cellStyle name="Normal 18 3 3" xfId="2387" xr:uid="{00000000-0005-0000-0000-0000040B0000}"/>
    <cellStyle name="Normal 18 3 3 2" xfId="2388" xr:uid="{00000000-0005-0000-0000-0000050B0000}"/>
    <cellStyle name="Normal 18 3 4" xfId="2389" xr:uid="{00000000-0005-0000-0000-0000060B0000}"/>
    <cellStyle name="Normal 18 3_AGL" xfId="2390" xr:uid="{00000000-0005-0000-0000-0000070B0000}"/>
    <cellStyle name="Normal 18 4" xfId="2391" xr:uid="{00000000-0005-0000-0000-0000080B0000}"/>
    <cellStyle name="Normal 18 5" xfId="2392" xr:uid="{00000000-0005-0000-0000-0000090B0000}"/>
    <cellStyle name="Normal 18_AGL" xfId="2393" xr:uid="{00000000-0005-0000-0000-00000A0B0000}"/>
    <cellStyle name="Normal 19" xfId="2394" xr:uid="{00000000-0005-0000-0000-00000B0B0000}"/>
    <cellStyle name="Normal 19 2" xfId="2395" xr:uid="{00000000-0005-0000-0000-00000C0B0000}"/>
    <cellStyle name="Normal 19 2 2" xfId="2396" xr:uid="{00000000-0005-0000-0000-00000D0B0000}"/>
    <cellStyle name="Normal 19 2 2 2" xfId="2397" xr:uid="{00000000-0005-0000-0000-00000E0B0000}"/>
    <cellStyle name="Normal 19 2 3" xfId="2398" xr:uid="{00000000-0005-0000-0000-00000F0B0000}"/>
    <cellStyle name="Normal 19 2 3 2" xfId="2399" xr:uid="{00000000-0005-0000-0000-0000100B0000}"/>
    <cellStyle name="Normal 19 2 4" xfId="2400" xr:uid="{00000000-0005-0000-0000-0000110B0000}"/>
    <cellStyle name="Normal 19 2_AGL" xfId="2401" xr:uid="{00000000-0005-0000-0000-0000120B0000}"/>
    <cellStyle name="Normal 19 3" xfId="2402" xr:uid="{00000000-0005-0000-0000-0000130B0000}"/>
    <cellStyle name="Normal 19 3 2" xfId="2403" xr:uid="{00000000-0005-0000-0000-0000140B0000}"/>
    <cellStyle name="Normal 19 4" xfId="2404" xr:uid="{00000000-0005-0000-0000-0000150B0000}"/>
    <cellStyle name="Normal 19 4 2" xfId="2405" xr:uid="{00000000-0005-0000-0000-0000160B0000}"/>
    <cellStyle name="Normal 19 5" xfId="2406" xr:uid="{00000000-0005-0000-0000-0000170B0000}"/>
    <cellStyle name="Normal 19_AGL" xfId="2407" xr:uid="{00000000-0005-0000-0000-0000180B0000}"/>
    <cellStyle name="Normal 2" xfId="32" xr:uid="{00000000-0005-0000-0000-0000190B0000}"/>
    <cellStyle name="Normal 2 10" xfId="2408" xr:uid="{00000000-0005-0000-0000-00001A0B0000}"/>
    <cellStyle name="Normal 2 11" xfId="4428" xr:uid="{1F39C6AC-B4C5-4EDB-99AD-6553BD669A91}"/>
    <cellStyle name="Normal 2 2" xfId="33" xr:uid="{00000000-0005-0000-0000-00001B0B0000}"/>
    <cellStyle name="Normal 2 2 2" xfId="2409" xr:uid="{00000000-0005-0000-0000-00001C0B0000}"/>
    <cellStyle name="Normal 2 2 2 10" xfId="2410" xr:uid="{00000000-0005-0000-0000-00001D0B0000}"/>
    <cellStyle name="Normal 2 2 2 2" xfId="2411" xr:uid="{00000000-0005-0000-0000-00001E0B0000}"/>
    <cellStyle name="Normal 2 2 2 3" xfId="2412" xr:uid="{00000000-0005-0000-0000-00001F0B0000}"/>
    <cellStyle name="Normal 2 2 2 3 2" xfId="2413" xr:uid="{00000000-0005-0000-0000-0000200B0000}"/>
    <cellStyle name="Normal 2 2 2 3 3" xfId="2414" xr:uid="{00000000-0005-0000-0000-0000210B0000}"/>
    <cellStyle name="Normal 2 2 2 3_AGL" xfId="2415" xr:uid="{00000000-0005-0000-0000-0000220B0000}"/>
    <cellStyle name="Normal 2 2 2 4" xfId="2416" xr:uid="{00000000-0005-0000-0000-0000230B0000}"/>
    <cellStyle name="Normal 2 2 2 5" xfId="2417" xr:uid="{00000000-0005-0000-0000-0000240B0000}"/>
    <cellStyle name="Normal 2 2 2 6" xfId="2418" xr:uid="{00000000-0005-0000-0000-0000250B0000}"/>
    <cellStyle name="Normal 2 2 2 7" xfId="2419" xr:uid="{00000000-0005-0000-0000-0000260B0000}"/>
    <cellStyle name="Normal 2 2 2 8" xfId="2420" xr:uid="{00000000-0005-0000-0000-0000270B0000}"/>
    <cellStyle name="Normal 2 2 2 9" xfId="2421" xr:uid="{00000000-0005-0000-0000-0000280B0000}"/>
    <cellStyle name="Normal 2 2 2_AGL" xfId="2422" xr:uid="{00000000-0005-0000-0000-0000290B0000}"/>
    <cellStyle name="Normal 2 2 3" xfId="2423" xr:uid="{00000000-0005-0000-0000-00002A0B0000}"/>
    <cellStyle name="Normal 2 2 4" xfId="2424" xr:uid="{00000000-0005-0000-0000-00002B0B0000}"/>
    <cellStyle name="Normal 2 2 4 2" xfId="2425" xr:uid="{00000000-0005-0000-0000-00002C0B0000}"/>
    <cellStyle name="Normal 2 2 4 3" xfId="2426" xr:uid="{00000000-0005-0000-0000-00002D0B0000}"/>
    <cellStyle name="Normal 2 2 4_AGL" xfId="2427" xr:uid="{00000000-0005-0000-0000-00002E0B0000}"/>
    <cellStyle name="Normal 2 2 5" xfId="2428" xr:uid="{00000000-0005-0000-0000-00002F0B0000}"/>
    <cellStyle name="Normal 2 2 6" xfId="2429" xr:uid="{00000000-0005-0000-0000-0000300B0000}"/>
    <cellStyle name="Normal 2 2_AGL" xfId="2430" xr:uid="{00000000-0005-0000-0000-0000310B0000}"/>
    <cellStyle name="Normal 2 3" xfId="34" xr:uid="{00000000-0005-0000-0000-0000320B0000}"/>
    <cellStyle name="Normal 2 3 2" xfId="2431" xr:uid="{00000000-0005-0000-0000-0000330B0000}"/>
    <cellStyle name="Normal 2 4" xfId="35" xr:uid="{00000000-0005-0000-0000-0000340B0000}"/>
    <cellStyle name="Normal 2 4 2" xfId="2432" xr:uid="{00000000-0005-0000-0000-0000350B0000}"/>
    <cellStyle name="Normal 2 4 3" xfId="2433" xr:uid="{00000000-0005-0000-0000-0000360B0000}"/>
    <cellStyle name="Normal 2 4_AGL" xfId="2434" xr:uid="{00000000-0005-0000-0000-0000370B0000}"/>
    <cellStyle name="Normal 2 5" xfId="2435" xr:uid="{00000000-0005-0000-0000-0000380B0000}"/>
    <cellStyle name="Normal 2 6" xfId="2436" xr:uid="{00000000-0005-0000-0000-0000390B0000}"/>
    <cellStyle name="Normal 2 6 2" xfId="2437" xr:uid="{00000000-0005-0000-0000-00003A0B0000}"/>
    <cellStyle name="Normal 2 7" xfId="2438" xr:uid="{00000000-0005-0000-0000-00003B0B0000}"/>
    <cellStyle name="Normal 2 8" xfId="2439" xr:uid="{00000000-0005-0000-0000-00003C0B0000}"/>
    <cellStyle name="Normal 2 9" xfId="2440" xr:uid="{00000000-0005-0000-0000-00003D0B0000}"/>
    <cellStyle name="Normal 2_Sheet1" xfId="2441" xr:uid="{00000000-0005-0000-0000-00003E0B0000}"/>
    <cellStyle name="Normal 20" xfId="2442" xr:uid="{00000000-0005-0000-0000-00003F0B0000}"/>
    <cellStyle name="Normal 20 2" xfId="2443" xr:uid="{00000000-0005-0000-0000-0000400B0000}"/>
    <cellStyle name="Normal 20 2 2" xfId="2444" xr:uid="{00000000-0005-0000-0000-0000410B0000}"/>
    <cellStyle name="Normal 20 3" xfId="2445" xr:uid="{00000000-0005-0000-0000-0000420B0000}"/>
    <cellStyle name="Normal 20 3 2" xfId="2446" xr:uid="{00000000-0005-0000-0000-0000430B0000}"/>
    <cellStyle name="Normal 20 4" xfId="2447" xr:uid="{00000000-0005-0000-0000-0000440B0000}"/>
    <cellStyle name="Normal 20_AGL" xfId="2448" xr:uid="{00000000-0005-0000-0000-0000450B0000}"/>
    <cellStyle name="Normal 21" xfId="2449" xr:uid="{00000000-0005-0000-0000-0000460B0000}"/>
    <cellStyle name="Normal 21 2" xfId="2450" xr:uid="{00000000-0005-0000-0000-0000470B0000}"/>
    <cellStyle name="Normal 21 2 2" xfId="2451" xr:uid="{00000000-0005-0000-0000-0000480B0000}"/>
    <cellStyle name="Normal 21 3" xfId="2452" xr:uid="{00000000-0005-0000-0000-0000490B0000}"/>
    <cellStyle name="Normal 21 3 2" xfId="2453" xr:uid="{00000000-0005-0000-0000-00004A0B0000}"/>
    <cellStyle name="Normal 21 4" xfId="2454" xr:uid="{00000000-0005-0000-0000-00004B0B0000}"/>
    <cellStyle name="Normal 21_AGL" xfId="2455" xr:uid="{00000000-0005-0000-0000-00004C0B0000}"/>
    <cellStyle name="Normal 22" xfId="2456" xr:uid="{00000000-0005-0000-0000-00004D0B0000}"/>
    <cellStyle name="Normal 22 2" xfId="2457" xr:uid="{00000000-0005-0000-0000-00004E0B0000}"/>
    <cellStyle name="Normal 22 2 2" xfId="2458" xr:uid="{00000000-0005-0000-0000-00004F0B0000}"/>
    <cellStyle name="Normal 22 3" xfId="2459" xr:uid="{00000000-0005-0000-0000-0000500B0000}"/>
    <cellStyle name="Normal 22 3 2" xfId="2460" xr:uid="{00000000-0005-0000-0000-0000510B0000}"/>
    <cellStyle name="Normal 22 4" xfId="2461" xr:uid="{00000000-0005-0000-0000-0000520B0000}"/>
    <cellStyle name="Normal 22_AGL" xfId="2462" xr:uid="{00000000-0005-0000-0000-0000530B0000}"/>
    <cellStyle name="Normal 23" xfId="2463" xr:uid="{00000000-0005-0000-0000-0000540B0000}"/>
    <cellStyle name="Normal 23 2" xfId="2464" xr:uid="{00000000-0005-0000-0000-0000550B0000}"/>
    <cellStyle name="Normal 23 2 2" xfId="2465" xr:uid="{00000000-0005-0000-0000-0000560B0000}"/>
    <cellStyle name="Normal 23 3" xfId="2466" xr:uid="{00000000-0005-0000-0000-0000570B0000}"/>
    <cellStyle name="Normal 23 3 2" xfId="2467" xr:uid="{00000000-0005-0000-0000-0000580B0000}"/>
    <cellStyle name="Normal 23 4" xfId="2468" xr:uid="{00000000-0005-0000-0000-0000590B0000}"/>
    <cellStyle name="Normal 23_AGL" xfId="2469" xr:uid="{00000000-0005-0000-0000-00005A0B0000}"/>
    <cellStyle name="Normal 24" xfId="2470" xr:uid="{00000000-0005-0000-0000-00005B0B0000}"/>
    <cellStyle name="Normal 24 2" xfId="2471" xr:uid="{00000000-0005-0000-0000-00005C0B0000}"/>
    <cellStyle name="Normal 24 2 2" xfId="2472" xr:uid="{00000000-0005-0000-0000-00005D0B0000}"/>
    <cellStyle name="Normal 24 3" xfId="2473" xr:uid="{00000000-0005-0000-0000-00005E0B0000}"/>
    <cellStyle name="Normal 24 3 2" xfId="2474" xr:uid="{00000000-0005-0000-0000-00005F0B0000}"/>
    <cellStyle name="Normal 24 4" xfId="2475" xr:uid="{00000000-0005-0000-0000-0000600B0000}"/>
    <cellStyle name="Normal 24_AGL" xfId="2476" xr:uid="{00000000-0005-0000-0000-0000610B0000}"/>
    <cellStyle name="Normal 25" xfId="2477" xr:uid="{00000000-0005-0000-0000-0000620B0000}"/>
    <cellStyle name="Normal 25 2" xfId="2478" xr:uid="{00000000-0005-0000-0000-0000630B0000}"/>
    <cellStyle name="Normal 25 2 2" xfId="2479" xr:uid="{00000000-0005-0000-0000-0000640B0000}"/>
    <cellStyle name="Normal 25 3" xfId="2480" xr:uid="{00000000-0005-0000-0000-0000650B0000}"/>
    <cellStyle name="Normal 25 3 2" xfId="2481" xr:uid="{00000000-0005-0000-0000-0000660B0000}"/>
    <cellStyle name="Normal 25 4" xfId="2482" xr:uid="{00000000-0005-0000-0000-0000670B0000}"/>
    <cellStyle name="Normal 25_AGL" xfId="2483" xr:uid="{00000000-0005-0000-0000-0000680B0000}"/>
    <cellStyle name="Normal 26" xfId="2484" xr:uid="{00000000-0005-0000-0000-0000690B0000}"/>
    <cellStyle name="Normal 26 2" xfId="2485" xr:uid="{00000000-0005-0000-0000-00006A0B0000}"/>
    <cellStyle name="Normal 26 2 2" xfId="2486" xr:uid="{00000000-0005-0000-0000-00006B0B0000}"/>
    <cellStyle name="Normal 26 3" xfId="2487" xr:uid="{00000000-0005-0000-0000-00006C0B0000}"/>
    <cellStyle name="Normal 26 3 2" xfId="2488" xr:uid="{00000000-0005-0000-0000-00006D0B0000}"/>
    <cellStyle name="Normal 26 4" xfId="2489" xr:uid="{00000000-0005-0000-0000-00006E0B0000}"/>
    <cellStyle name="Normal 26_AGL" xfId="2490" xr:uid="{00000000-0005-0000-0000-00006F0B0000}"/>
    <cellStyle name="Normal 27" xfId="2491" xr:uid="{00000000-0005-0000-0000-0000700B0000}"/>
    <cellStyle name="Normal 27 2" xfId="2492" xr:uid="{00000000-0005-0000-0000-0000710B0000}"/>
    <cellStyle name="Normal 27 2 2" xfId="2493" xr:uid="{00000000-0005-0000-0000-0000720B0000}"/>
    <cellStyle name="Normal 27 3" xfId="2494" xr:uid="{00000000-0005-0000-0000-0000730B0000}"/>
    <cellStyle name="Normal 27 3 2" xfId="2495" xr:uid="{00000000-0005-0000-0000-0000740B0000}"/>
    <cellStyle name="Normal 27 4" xfId="2496" xr:uid="{00000000-0005-0000-0000-0000750B0000}"/>
    <cellStyle name="Normal 27_AGL" xfId="2497" xr:uid="{00000000-0005-0000-0000-0000760B0000}"/>
    <cellStyle name="Normal 28" xfId="2498" xr:uid="{00000000-0005-0000-0000-0000770B0000}"/>
    <cellStyle name="Normal 28 2" xfId="2499" xr:uid="{00000000-0005-0000-0000-0000780B0000}"/>
    <cellStyle name="Normal 28 2 2" xfId="2500" xr:uid="{00000000-0005-0000-0000-0000790B0000}"/>
    <cellStyle name="Normal 28 3" xfId="2501" xr:uid="{00000000-0005-0000-0000-00007A0B0000}"/>
    <cellStyle name="Normal 28 3 2" xfId="2502" xr:uid="{00000000-0005-0000-0000-00007B0B0000}"/>
    <cellStyle name="Normal 28 4" xfId="2503" xr:uid="{00000000-0005-0000-0000-00007C0B0000}"/>
    <cellStyle name="Normal 28_AGL" xfId="2504" xr:uid="{00000000-0005-0000-0000-00007D0B0000}"/>
    <cellStyle name="Normal 29" xfId="2505" xr:uid="{00000000-0005-0000-0000-00007E0B0000}"/>
    <cellStyle name="Normal 29 2" xfId="2506" xr:uid="{00000000-0005-0000-0000-00007F0B0000}"/>
    <cellStyle name="Normal 29 2 2" xfId="2507" xr:uid="{00000000-0005-0000-0000-0000800B0000}"/>
    <cellStyle name="Normal 29 3" xfId="2508" xr:uid="{00000000-0005-0000-0000-0000810B0000}"/>
    <cellStyle name="Normal 29 3 2" xfId="2509" xr:uid="{00000000-0005-0000-0000-0000820B0000}"/>
    <cellStyle name="Normal 29 4" xfId="2510" xr:uid="{00000000-0005-0000-0000-0000830B0000}"/>
    <cellStyle name="Normal 29_AGL" xfId="2511" xr:uid="{00000000-0005-0000-0000-0000840B0000}"/>
    <cellStyle name="Normal 3" xfId="36" xr:uid="{00000000-0005-0000-0000-0000850B0000}"/>
    <cellStyle name="Normal 3 10" xfId="2512" xr:uid="{00000000-0005-0000-0000-0000860B0000}"/>
    <cellStyle name="Normal 3 11" xfId="4429" xr:uid="{8A51206D-DDA5-4D65-882F-9C5E73D5BFDA}"/>
    <cellStyle name="Normal 3 2" xfId="37" xr:uid="{00000000-0005-0000-0000-0000870B0000}"/>
    <cellStyle name="Normal 3 2 10" xfId="2513" xr:uid="{00000000-0005-0000-0000-0000880B0000}"/>
    <cellStyle name="Normal 3 2 10 2" xfId="2514" xr:uid="{00000000-0005-0000-0000-0000890B0000}"/>
    <cellStyle name="Normal 3 2 10 2 2" xfId="2515" xr:uid="{00000000-0005-0000-0000-00008A0B0000}"/>
    <cellStyle name="Normal 3 2 10 3" xfId="2516" xr:uid="{00000000-0005-0000-0000-00008B0B0000}"/>
    <cellStyle name="Normal 3 2 10 3 2" xfId="2517" xr:uid="{00000000-0005-0000-0000-00008C0B0000}"/>
    <cellStyle name="Normal 3 2 10 4" xfId="2518" xr:uid="{00000000-0005-0000-0000-00008D0B0000}"/>
    <cellStyle name="Normal 3 2 10_AGL" xfId="2519" xr:uid="{00000000-0005-0000-0000-00008E0B0000}"/>
    <cellStyle name="Normal 3 2 11" xfId="2520" xr:uid="{00000000-0005-0000-0000-00008F0B0000}"/>
    <cellStyle name="Normal 3 2 11 2" xfId="2521" xr:uid="{00000000-0005-0000-0000-0000900B0000}"/>
    <cellStyle name="Normal 3 2 11 2 2" xfId="2522" xr:uid="{00000000-0005-0000-0000-0000910B0000}"/>
    <cellStyle name="Normal 3 2 11 3" xfId="2523" xr:uid="{00000000-0005-0000-0000-0000920B0000}"/>
    <cellStyle name="Normal 3 2 11 3 2" xfId="2524" xr:uid="{00000000-0005-0000-0000-0000930B0000}"/>
    <cellStyle name="Normal 3 2 11 4" xfId="2525" xr:uid="{00000000-0005-0000-0000-0000940B0000}"/>
    <cellStyle name="Normal 3 2 11_AGL" xfId="2526" xr:uid="{00000000-0005-0000-0000-0000950B0000}"/>
    <cellStyle name="Normal 3 2 12" xfId="2527" xr:uid="{00000000-0005-0000-0000-0000960B0000}"/>
    <cellStyle name="Normal 3 2 12 2" xfId="2528" xr:uid="{00000000-0005-0000-0000-0000970B0000}"/>
    <cellStyle name="Normal 3 2 12 2 2" xfId="2529" xr:uid="{00000000-0005-0000-0000-0000980B0000}"/>
    <cellStyle name="Normal 3 2 12 3" xfId="2530" xr:uid="{00000000-0005-0000-0000-0000990B0000}"/>
    <cellStyle name="Normal 3 2 12 3 2" xfId="2531" xr:uid="{00000000-0005-0000-0000-00009A0B0000}"/>
    <cellStyle name="Normal 3 2 12 4" xfId="2532" xr:uid="{00000000-0005-0000-0000-00009B0B0000}"/>
    <cellStyle name="Normal 3 2 12_AGL" xfId="2533" xr:uid="{00000000-0005-0000-0000-00009C0B0000}"/>
    <cellStyle name="Normal 3 2 13" xfId="2534" xr:uid="{00000000-0005-0000-0000-00009D0B0000}"/>
    <cellStyle name="Normal 3 2 13 2" xfId="2535" xr:uid="{00000000-0005-0000-0000-00009E0B0000}"/>
    <cellStyle name="Normal 3 2 13 2 2" xfId="2536" xr:uid="{00000000-0005-0000-0000-00009F0B0000}"/>
    <cellStyle name="Normal 3 2 13 3" xfId="2537" xr:uid="{00000000-0005-0000-0000-0000A00B0000}"/>
    <cellStyle name="Normal 3 2 13 3 2" xfId="2538" xr:uid="{00000000-0005-0000-0000-0000A10B0000}"/>
    <cellStyle name="Normal 3 2 13 4" xfId="2539" xr:uid="{00000000-0005-0000-0000-0000A20B0000}"/>
    <cellStyle name="Normal 3 2 13_AGL" xfId="2540" xr:uid="{00000000-0005-0000-0000-0000A30B0000}"/>
    <cellStyle name="Normal 3 2 14" xfId="2541" xr:uid="{00000000-0005-0000-0000-0000A40B0000}"/>
    <cellStyle name="Normal 3 2 14 2" xfId="2542" xr:uid="{00000000-0005-0000-0000-0000A50B0000}"/>
    <cellStyle name="Normal 3 2 14 2 2" xfId="2543" xr:uid="{00000000-0005-0000-0000-0000A60B0000}"/>
    <cellStyle name="Normal 3 2 14 3" xfId="2544" xr:uid="{00000000-0005-0000-0000-0000A70B0000}"/>
    <cellStyle name="Normal 3 2 14 3 2" xfId="2545" xr:uid="{00000000-0005-0000-0000-0000A80B0000}"/>
    <cellStyle name="Normal 3 2 14 4" xfId="2546" xr:uid="{00000000-0005-0000-0000-0000A90B0000}"/>
    <cellStyle name="Normal 3 2 14_AGL" xfId="2547" xr:uid="{00000000-0005-0000-0000-0000AA0B0000}"/>
    <cellStyle name="Normal 3 2 15" xfId="2548" xr:uid="{00000000-0005-0000-0000-0000AB0B0000}"/>
    <cellStyle name="Normal 3 2 15 2" xfId="2549" xr:uid="{00000000-0005-0000-0000-0000AC0B0000}"/>
    <cellStyle name="Normal 3 2 15 2 2" xfId="2550" xr:uid="{00000000-0005-0000-0000-0000AD0B0000}"/>
    <cellStyle name="Normal 3 2 15 3" xfId="2551" xr:uid="{00000000-0005-0000-0000-0000AE0B0000}"/>
    <cellStyle name="Normal 3 2 15 3 2" xfId="2552" xr:uid="{00000000-0005-0000-0000-0000AF0B0000}"/>
    <cellStyle name="Normal 3 2 15 4" xfId="2553" xr:uid="{00000000-0005-0000-0000-0000B00B0000}"/>
    <cellStyle name="Normal 3 2 15_AGL" xfId="2554" xr:uid="{00000000-0005-0000-0000-0000B10B0000}"/>
    <cellStyle name="Normal 3 2 16" xfId="2555" xr:uid="{00000000-0005-0000-0000-0000B20B0000}"/>
    <cellStyle name="Normal 3 2 16 2" xfId="2556" xr:uid="{00000000-0005-0000-0000-0000B30B0000}"/>
    <cellStyle name="Normal 3 2 16 2 2" xfId="2557" xr:uid="{00000000-0005-0000-0000-0000B40B0000}"/>
    <cellStyle name="Normal 3 2 16 3" xfId="2558" xr:uid="{00000000-0005-0000-0000-0000B50B0000}"/>
    <cellStyle name="Normal 3 2 16 3 2" xfId="2559" xr:uid="{00000000-0005-0000-0000-0000B60B0000}"/>
    <cellStyle name="Normal 3 2 16 4" xfId="2560" xr:uid="{00000000-0005-0000-0000-0000B70B0000}"/>
    <cellStyle name="Normal 3 2 16_AGL" xfId="2561" xr:uid="{00000000-0005-0000-0000-0000B80B0000}"/>
    <cellStyle name="Normal 3 2 17" xfId="2562" xr:uid="{00000000-0005-0000-0000-0000B90B0000}"/>
    <cellStyle name="Normal 3 2 17 2" xfId="2563" xr:uid="{00000000-0005-0000-0000-0000BA0B0000}"/>
    <cellStyle name="Normal 3 2 17 2 2" xfId="2564" xr:uid="{00000000-0005-0000-0000-0000BB0B0000}"/>
    <cellStyle name="Normal 3 2 17 3" xfId="2565" xr:uid="{00000000-0005-0000-0000-0000BC0B0000}"/>
    <cellStyle name="Normal 3 2 17 3 2" xfId="2566" xr:uid="{00000000-0005-0000-0000-0000BD0B0000}"/>
    <cellStyle name="Normal 3 2 17 4" xfId="2567" xr:uid="{00000000-0005-0000-0000-0000BE0B0000}"/>
    <cellStyle name="Normal 3 2 17_AGL" xfId="2568" xr:uid="{00000000-0005-0000-0000-0000BF0B0000}"/>
    <cellStyle name="Normal 3 2 18" xfId="2569" xr:uid="{00000000-0005-0000-0000-0000C00B0000}"/>
    <cellStyle name="Normal 3 2 19" xfId="2570" xr:uid="{00000000-0005-0000-0000-0000C10B0000}"/>
    <cellStyle name="Normal 3 2 2" xfId="2571" xr:uid="{00000000-0005-0000-0000-0000C20B0000}"/>
    <cellStyle name="Normal 3 2 2 2" xfId="2572" xr:uid="{00000000-0005-0000-0000-0000C30B0000}"/>
    <cellStyle name="Normal 3 2 2 2 2" xfId="2573" xr:uid="{00000000-0005-0000-0000-0000C40B0000}"/>
    <cellStyle name="Normal 3 2 2 2 2 2" xfId="2574" xr:uid="{00000000-0005-0000-0000-0000C50B0000}"/>
    <cellStyle name="Normal 3 2 2 2 3" xfId="2575" xr:uid="{00000000-0005-0000-0000-0000C60B0000}"/>
    <cellStyle name="Normal 3 2 2 2 3 2" xfId="2576" xr:uid="{00000000-0005-0000-0000-0000C70B0000}"/>
    <cellStyle name="Normal 3 2 2 2 4" xfId="2577" xr:uid="{00000000-0005-0000-0000-0000C80B0000}"/>
    <cellStyle name="Normal 3 2 2 2_AGL" xfId="2578" xr:uid="{00000000-0005-0000-0000-0000C90B0000}"/>
    <cellStyle name="Normal 3 2 2 3" xfId="2579" xr:uid="{00000000-0005-0000-0000-0000CA0B0000}"/>
    <cellStyle name="Normal 3 2 2 3 2" xfId="2580" xr:uid="{00000000-0005-0000-0000-0000CB0B0000}"/>
    <cellStyle name="Normal 3 2 2 3 2 2" xfId="2581" xr:uid="{00000000-0005-0000-0000-0000CC0B0000}"/>
    <cellStyle name="Normal 3 2 2 3 3" xfId="2582" xr:uid="{00000000-0005-0000-0000-0000CD0B0000}"/>
    <cellStyle name="Normal 3 2 2 3 3 2" xfId="2583" xr:uid="{00000000-0005-0000-0000-0000CE0B0000}"/>
    <cellStyle name="Normal 3 2 2 3 4" xfId="2584" xr:uid="{00000000-0005-0000-0000-0000CF0B0000}"/>
    <cellStyle name="Normal 3 2 2 3_AGL" xfId="2585" xr:uid="{00000000-0005-0000-0000-0000D00B0000}"/>
    <cellStyle name="Normal 3 2 2 4" xfId="2586" xr:uid="{00000000-0005-0000-0000-0000D10B0000}"/>
    <cellStyle name="Normal 3 2 2 4 2" xfId="2587" xr:uid="{00000000-0005-0000-0000-0000D20B0000}"/>
    <cellStyle name="Normal 3 2 2 5" xfId="2588" xr:uid="{00000000-0005-0000-0000-0000D30B0000}"/>
    <cellStyle name="Normal 3 2 2 5 2" xfId="2589" xr:uid="{00000000-0005-0000-0000-0000D40B0000}"/>
    <cellStyle name="Normal 3 2 2 6" xfId="2590" xr:uid="{00000000-0005-0000-0000-0000D50B0000}"/>
    <cellStyle name="Normal 3 2 2_AGL" xfId="2591" xr:uid="{00000000-0005-0000-0000-0000D60B0000}"/>
    <cellStyle name="Normal 3 2 20" xfId="2592" xr:uid="{00000000-0005-0000-0000-0000D70B0000}"/>
    <cellStyle name="Normal 3 2 21" xfId="2593" xr:uid="{00000000-0005-0000-0000-0000D80B0000}"/>
    <cellStyle name="Normal 3 2 22" xfId="2594" xr:uid="{00000000-0005-0000-0000-0000D90B0000}"/>
    <cellStyle name="Normal 3 2 23" xfId="2595" xr:uid="{00000000-0005-0000-0000-0000DA0B0000}"/>
    <cellStyle name="Normal 3 2 24" xfId="2596" xr:uid="{00000000-0005-0000-0000-0000DB0B0000}"/>
    <cellStyle name="Normal 3 2 25" xfId="2597" xr:uid="{00000000-0005-0000-0000-0000DC0B0000}"/>
    <cellStyle name="Normal 3 2 26" xfId="2598" xr:uid="{00000000-0005-0000-0000-0000DD0B0000}"/>
    <cellStyle name="Normal 3 2 27" xfId="2599" xr:uid="{00000000-0005-0000-0000-0000DE0B0000}"/>
    <cellStyle name="Normal 3 2 28" xfId="2600" xr:uid="{00000000-0005-0000-0000-0000DF0B0000}"/>
    <cellStyle name="Normal 3 2 29" xfId="2601" xr:uid="{00000000-0005-0000-0000-0000E00B0000}"/>
    <cellStyle name="Normal 3 2 3" xfId="2602" xr:uid="{00000000-0005-0000-0000-0000E10B0000}"/>
    <cellStyle name="Normal 3 2 3 2" xfId="2603" xr:uid="{00000000-0005-0000-0000-0000E20B0000}"/>
    <cellStyle name="Normal 3 2 3 2 2" xfId="2604" xr:uid="{00000000-0005-0000-0000-0000E30B0000}"/>
    <cellStyle name="Normal 3 2 3 2 2 2" xfId="2605" xr:uid="{00000000-0005-0000-0000-0000E40B0000}"/>
    <cellStyle name="Normal 3 2 3 2 3" xfId="2606" xr:uid="{00000000-0005-0000-0000-0000E50B0000}"/>
    <cellStyle name="Normal 3 2 3 2 3 2" xfId="2607" xr:uid="{00000000-0005-0000-0000-0000E60B0000}"/>
    <cellStyle name="Normal 3 2 3 2 4" xfId="2608" xr:uid="{00000000-0005-0000-0000-0000E70B0000}"/>
    <cellStyle name="Normal 3 2 3 2_AGL" xfId="2609" xr:uid="{00000000-0005-0000-0000-0000E80B0000}"/>
    <cellStyle name="Normal 3 2 3 3" xfId="2610" xr:uid="{00000000-0005-0000-0000-0000E90B0000}"/>
    <cellStyle name="Normal 3 2 3 3 2" xfId="2611" xr:uid="{00000000-0005-0000-0000-0000EA0B0000}"/>
    <cellStyle name="Normal 3 2 3 3 2 2" xfId="2612" xr:uid="{00000000-0005-0000-0000-0000EB0B0000}"/>
    <cellStyle name="Normal 3 2 3 3 3" xfId="2613" xr:uid="{00000000-0005-0000-0000-0000EC0B0000}"/>
    <cellStyle name="Normal 3 2 3 3 3 2" xfId="2614" xr:uid="{00000000-0005-0000-0000-0000ED0B0000}"/>
    <cellStyle name="Normal 3 2 3 3 4" xfId="2615" xr:uid="{00000000-0005-0000-0000-0000EE0B0000}"/>
    <cellStyle name="Normal 3 2 3 3_AGL" xfId="2616" xr:uid="{00000000-0005-0000-0000-0000EF0B0000}"/>
    <cellStyle name="Normal 3 2 3 4" xfId="2617" xr:uid="{00000000-0005-0000-0000-0000F00B0000}"/>
    <cellStyle name="Normal 3 2 3 4 2" xfId="2618" xr:uid="{00000000-0005-0000-0000-0000F10B0000}"/>
    <cellStyle name="Normal 3 2 3 5" xfId="2619" xr:uid="{00000000-0005-0000-0000-0000F20B0000}"/>
    <cellStyle name="Normal 3 2 3 5 2" xfId="2620" xr:uid="{00000000-0005-0000-0000-0000F30B0000}"/>
    <cellStyle name="Normal 3 2 3 6" xfId="2621" xr:uid="{00000000-0005-0000-0000-0000F40B0000}"/>
    <cellStyle name="Normal 3 2 3_AGL" xfId="2622" xr:uid="{00000000-0005-0000-0000-0000F50B0000}"/>
    <cellStyle name="Normal 3 2 30" xfId="2623" xr:uid="{00000000-0005-0000-0000-0000F60B0000}"/>
    <cellStyle name="Normal 3 2 31" xfId="2624" xr:uid="{00000000-0005-0000-0000-0000F70B0000}"/>
    <cellStyle name="Normal 3 2 32" xfId="2625" xr:uid="{00000000-0005-0000-0000-0000F80B0000}"/>
    <cellStyle name="Normal 3 2 4" xfId="2626" xr:uid="{00000000-0005-0000-0000-0000F90B0000}"/>
    <cellStyle name="Normal 3 2 4 2" xfId="2627" xr:uid="{00000000-0005-0000-0000-0000FA0B0000}"/>
    <cellStyle name="Normal 3 2 4 2 2" xfId="2628" xr:uid="{00000000-0005-0000-0000-0000FB0B0000}"/>
    <cellStyle name="Normal 3 2 4 2 2 2" xfId="2629" xr:uid="{00000000-0005-0000-0000-0000FC0B0000}"/>
    <cellStyle name="Normal 3 2 4 2 3" xfId="2630" xr:uid="{00000000-0005-0000-0000-0000FD0B0000}"/>
    <cellStyle name="Normal 3 2 4 2 3 2" xfId="2631" xr:uid="{00000000-0005-0000-0000-0000FE0B0000}"/>
    <cellStyle name="Normal 3 2 4 2 4" xfId="2632" xr:uid="{00000000-0005-0000-0000-0000FF0B0000}"/>
    <cellStyle name="Normal 3 2 4 2_AGL" xfId="2633" xr:uid="{00000000-0005-0000-0000-0000000C0000}"/>
    <cellStyle name="Normal 3 2 4 3" xfId="2634" xr:uid="{00000000-0005-0000-0000-0000010C0000}"/>
    <cellStyle name="Normal 3 2 4 3 2" xfId="2635" xr:uid="{00000000-0005-0000-0000-0000020C0000}"/>
    <cellStyle name="Normal 3 2 4 3 2 2" xfId="2636" xr:uid="{00000000-0005-0000-0000-0000030C0000}"/>
    <cellStyle name="Normal 3 2 4 3 3" xfId="2637" xr:uid="{00000000-0005-0000-0000-0000040C0000}"/>
    <cellStyle name="Normal 3 2 4 3 3 2" xfId="2638" xr:uid="{00000000-0005-0000-0000-0000050C0000}"/>
    <cellStyle name="Normal 3 2 4 3 4" xfId="2639" xr:uid="{00000000-0005-0000-0000-0000060C0000}"/>
    <cellStyle name="Normal 3 2 4 3_AGL" xfId="2640" xr:uid="{00000000-0005-0000-0000-0000070C0000}"/>
    <cellStyle name="Normal 3 2 4 4" xfId="2641" xr:uid="{00000000-0005-0000-0000-0000080C0000}"/>
    <cellStyle name="Normal 3 2 4 4 2" xfId="2642" xr:uid="{00000000-0005-0000-0000-0000090C0000}"/>
    <cellStyle name="Normal 3 2 4 5" xfId="2643" xr:uid="{00000000-0005-0000-0000-00000A0C0000}"/>
    <cellStyle name="Normal 3 2 4 5 2" xfId="2644" xr:uid="{00000000-0005-0000-0000-00000B0C0000}"/>
    <cellStyle name="Normal 3 2 4 6" xfId="2645" xr:uid="{00000000-0005-0000-0000-00000C0C0000}"/>
    <cellStyle name="Normal 3 2 4_AGL" xfId="2646" xr:uid="{00000000-0005-0000-0000-00000D0C0000}"/>
    <cellStyle name="Normal 3 2 5" xfId="2647" xr:uid="{00000000-0005-0000-0000-00000E0C0000}"/>
    <cellStyle name="Normal 3 2 5 2" xfId="2648" xr:uid="{00000000-0005-0000-0000-00000F0C0000}"/>
    <cellStyle name="Normal 3 2 5 2 2" xfId="2649" xr:uid="{00000000-0005-0000-0000-0000100C0000}"/>
    <cellStyle name="Normal 3 2 5 2 2 2" xfId="2650" xr:uid="{00000000-0005-0000-0000-0000110C0000}"/>
    <cellStyle name="Normal 3 2 5 2 3" xfId="2651" xr:uid="{00000000-0005-0000-0000-0000120C0000}"/>
    <cellStyle name="Normal 3 2 5 2 3 2" xfId="2652" xr:uid="{00000000-0005-0000-0000-0000130C0000}"/>
    <cellStyle name="Normal 3 2 5 2 4" xfId="2653" xr:uid="{00000000-0005-0000-0000-0000140C0000}"/>
    <cellStyle name="Normal 3 2 5 2_AGL" xfId="2654" xr:uid="{00000000-0005-0000-0000-0000150C0000}"/>
    <cellStyle name="Normal 3 2 5 3" xfId="2655" xr:uid="{00000000-0005-0000-0000-0000160C0000}"/>
    <cellStyle name="Normal 3 2 5 3 2" xfId="2656" xr:uid="{00000000-0005-0000-0000-0000170C0000}"/>
    <cellStyle name="Normal 3 2 5 4" xfId="2657" xr:uid="{00000000-0005-0000-0000-0000180C0000}"/>
    <cellStyle name="Normal 3 2 5 4 2" xfId="2658" xr:uid="{00000000-0005-0000-0000-0000190C0000}"/>
    <cellStyle name="Normal 3 2 5 5" xfId="2659" xr:uid="{00000000-0005-0000-0000-00001A0C0000}"/>
    <cellStyle name="Normal 3 2 5_AGL" xfId="2660" xr:uid="{00000000-0005-0000-0000-00001B0C0000}"/>
    <cellStyle name="Normal 3 2 6" xfId="2661" xr:uid="{00000000-0005-0000-0000-00001C0C0000}"/>
    <cellStyle name="Normal 3 2 6 2" xfId="2662" xr:uid="{00000000-0005-0000-0000-00001D0C0000}"/>
    <cellStyle name="Normal 3 2 6 2 2" xfId="2663" xr:uid="{00000000-0005-0000-0000-00001E0C0000}"/>
    <cellStyle name="Normal 3 2 6 2 2 2" xfId="2664" xr:uid="{00000000-0005-0000-0000-00001F0C0000}"/>
    <cellStyle name="Normal 3 2 6 2 3" xfId="2665" xr:uid="{00000000-0005-0000-0000-0000200C0000}"/>
    <cellStyle name="Normal 3 2 6 2 3 2" xfId="2666" xr:uid="{00000000-0005-0000-0000-0000210C0000}"/>
    <cellStyle name="Normal 3 2 6 2 4" xfId="2667" xr:uid="{00000000-0005-0000-0000-0000220C0000}"/>
    <cellStyle name="Normal 3 2 6 2_AGL" xfId="2668" xr:uid="{00000000-0005-0000-0000-0000230C0000}"/>
    <cellStyle name="Normal 3 2 6 3" xfId="2669" xr:uid="{00000000-0005-0000-0000-0000240C0000}"/>
    <cellStyle name="Normal 3 2 6 4" xfId="2670" xr:uid="{00000000-0005-0000-0000-0000250C0000}"/>
    <cellStyle name="Normal 3 2 6_AGL" xfId="2671" xr:uid="{00000000-0005-0000-0000-0000260C0000}"/>
    <cellStyle name="Normal 3 2 7" xfId="2672" xr:uid="{00000000-0005-0000-0000-0000270C0000}"/>
    <cellStyle name="Normal 3 2 7 2" xfId="2673" xr:uid="{00000000-0005-0000-0000-0000280C0000}"/>
    <cellStyle name="Normal 3 2 7 2 2" xfId="2674" xr:uid="{00000000-0005-0000-0000-0000290C0000}"/>
    <cellStyle name="Normal 3 2 7 2 2 2" xfId="2675" xr:uid="{00000000-0005-0000-0000-00002A0C0000}"/>
    <cellStyle name="Normal 3 2 7 2 3" xfId="2676" xr:uid="{00000000-0005-0000-0000-00002B0C0000}"/>
    <cellStyle name="Normal 3 2 7 2 3 2" xfId="2677" xr:uid="{00000000-0005-0000-0000-00002C0C0000}"/>
    <cellStyle name="Normal 3 2 7 2 4" xfId="2678" xr:uid="{00000000-0005-0000-0000-00002D0C0000}"/>
    <cellStyle name="Normal 3 2 7 2_AGL" xfId="2679" xr:uid="{00000000-0005-0000-0000-00002E0C0000}"/>
    <cellStyle name="Normal 3 2 7 3" xfId="2680" xr:uid="{00000000-0005-0000-0000-00002F0C0000}"/>
    <cellStyle name="Normal 3 2 7 3 2" xfId="2681" xr:uid="{00000000-0005-0000-0000-0000300C0000}"/>
    <cellStyle name="Normal 3 2 7 4" xfId="2682" xr:uid="{00000000-0005-0000-0000-0000310C0000}"/>
    <cellStyle name="Normal 3 2 7 4 2" xfId="2683" xr:uid="{00000000-0005-0000-0000-0000320C0000}"/>
    <cellStyle name="Normal 3 2 7 5" xfId="2684" xr:uid="{00000000-0005-0000-0000-0000330C0000}"/>
    <cellStyle name="Normal 3 2 7_AGL" xfId="2685" xr:uid="{00000000-0005-0000-0000-0000340C0000}"/>
    <cellStyle name="Normal 3 2 8" xfId="2686" xr:uid="{00000000-0005-0000-0000-0000350C0000}"/>
    <cellStyle name="Normal 3 2 8 2" xfId="2687" xr:uid="{00000000-0005-0000-0000-0000360C0000}"/>
    <cellStyle name="Normal 3 2 8 2 2" xfId="2688" xr:uid="{00000000-0005-0000-0000-0000370C0000}"/>
    <cellStyle name="Normal 3 2 8 2 2 2" xfId="2689" xr:uid="{00000000-0005-0000-0000-0000380C0000}"/>
    <cellStyle name="Normal 3 2 8 2 3" xfId="2690" xr:uid="{00000000-0005-0000-0000-0000390C0000}"/>
    <cellStyle name="Normal 3 2 8 2 3 2" xfId="2691" xr:uid="{00000000-0005-0000-0000-00003A0C0000}"/>
    <cellStyle name="Normal 3 2 8 2 4" xfId="2692" xr:uid="{00000000-0005-0000-0000-00003B0C0000}"/>
    <cellStyle name="Normal 3 2 8 2_AGL" xfId="2693" xr:uid="{00000000-0005-0000-0000-00003C0C0000}"/>
    <cellStyle name="Normal 3 2 8 3" xfId="2694" xr:uid="{00000000-0005-0000-0000-00003D0C0000}"/>
    <cellStyle name="Normal 3 2 8 3 2" xfId="2695" xr:uid="{00000000-0005-0000-0000-00003E0C0000}"/>
    <cellStyle name="Normal 3 2 8 4" xfId="2696" xr:uid="{00000000-0005-0000-0000-00003F0C0000}"/>
    <cellStyle name="Normal 3 2 8 4 2" xfId="2697" xr:uid="{00000000-0005-0000-0000-0000400C0000}"/>
    <cellStyle name="Normal 3 2 8 5" xfId="2698" xr:uid="{00000000-0005-0000-0000-0000410C0000}"/>
    <cellStyle name="Normal 3 2 8_AGL" xfId="2699" xr:uid="{00000000-0005-0000-0000-0000420C0000}"/>
    <cellStyle name="Normal 3 2 9" xfId="2700" xr:uid="{00000000-0005-0000-0000-0000430C0000}"/>
    <cellStyle name="Normal 3 2 9 2" xfId="2701" xr:uid="{00000000-0005-0000-0000-0000440C0000}"/>
    <cellStyle name="Normal 3 2 9 2 2" xfId="2702" xr:uid="{00000000-0005-0000-0000-0000450C0000}"/>
    <cellStyle name="Normal 3 2 9 3" xfId="2703" xr:uid="{00000000-0005-0000-0000-0000460C0000}"/>
    <cellStyle name="Normal 3 2 9 3 2" xfId="2704" xr:uid="{00000000-0005-0000-0000-0000470C0000}"/>
    <cellStyle name="Normal 3 2 9 4" xfId="2705" xr:uid="{00000000-0005-0000-0000-0000480C0000}"/>
    <cellStyle name="Normal 3 2 9_AGL" xfId="2706" xr:uid="{00000000-0005-0000-0000-0000490C0000}"/>
    <cellStyle name="Normal 3 2_AGL" xfId="2707" xr:uid="{00000000-0005-0000-0000-00004A0C0000}"/>
    <cellStyle name="Normal 3 3" xfId="2708" xr:uid="{00000000-0005-0000-0000-00004B0C0000}"/>
    <cellStyle name="Normal 3 4" xfId="2709" xr:uid="{00000000-0005-0000-0000-00004C0C0000}"/>
    <cellStyle name="Normal 3 4 2" xfId="2710" xr:uid="{00000000-0005-0000-0000-00004D0C0000}"/>
    <cellStyle name="Normal 3 4 3" xfId="2711" xr:uid="{00000000-0005-0000-0000-00004E0C0000}"/>
    <cellStyle name="Normal 3 4_AGL" xfId="2712" xr:uid="{00000000-0005-0000-0000-00004F0C0000}"/>
    <cellStyle name="Normal 3 5" xfId="2713" xr:uid="{00000000-0005-0000-0000-0000500C0000}"/>
    <cellStyle name="Normal 3 6" xfId="2714" xr:uid="{00000000-0005-0000-0000-0000510C0000}"/>
    <cellStyle name="Normal 3 7" xfId="2715" xr:uid="{00000000-0005-0000-0000-0000520C0000}"/>
    <cellStyle name="Normal 3 8" xfId="2716" xr:uid="{00000000-0005-0000-0000-0000530C0000}"/>
    <cellStyle name="Normal 3 9" xfId="2717" xr:uid="{00000000-0005-0000-0000-0000540C0000}"/>
    <cellStyle name="Normal 3_AGL" xfId="2718" xr:uid="{00000000-0005-0000-0000-0000550C0000}"/>
    <cellStyle name="Normal 30" xfId="2719" xr:uid="{00000000-0005-0000-0000-0000560C0000}"/>
    <cellStyle name="Normal 30 2" xfId="2720" xr:uid="{00000000-0005-0000-0000-0000570C0000}"/>
    <cellStyle name="Normal 30 2 2" xfId="2721" xr:uid="{00000000-0005-0000-0000-0000580C0000}"/>
    <cellStyle name="Normal 30 3" xfId="2722" xr:uid="{00000000-0005-0000-0000-0000590C0000}"/>
    <cellStyle name="Normal 30 3 2" xfId="2723" xr:uid="{00000000-0005-0000-0000-00005A0C0000}"/>
    <cellStyle name="Normal 30 4" xfId="2724" xr:uid="{00000000-0005-0000-0000-00005B0C0000}"/>
    <cellStyle name="Normal 30_AGL" xfId="2725" xr:uid="{00000000-0005-0000-0000-00005C0C0000}"/>
    <cellStyle name="Normal 31" xfId="2726" xr:uid="{00000000-0005-0000-0000-00005D0C0000}"/>
    <cellStyle name="Normal 31 2" xfId="2727" xr:uid="{00000000-0005-0000-0000-00005E0C0000}"/>
    <cellStyle name="Normal 31 2 2" xfId="2728" xr:uid="{00000000-0005-0000-0000-00005F0C0000}"/>
    <cellStyle name="Normal 31 3" xfId="2729" xr:uid="{00000000-0005-0000-0000-0000600C0000}"/>
    <cellStyle name="Normal 31 3 2" xfId="2730" xr:uid="{00000000-0005-0000-0000-0000610C0000}"/>
    <cellStyle name="Normal 31 4" xfId="2731" xr:uid="{00000000-0005-0000-0000-0000620C0000}"/>
    <cellStyle name="Normal 31_AGL" xfId="2732" xr:uid="{00000000-0005-0000-0000-0000630C0000}"/>
    <cellStyle name="Normal 32" xfId="2733" xr:uid="{00000000-0005-0000-0000-0000640C0000}"/>
    <cellStyle name="Normal 32 2" xfId="2734" xr:uid="{00000000-0005-0000-0000-0000650C0000}"/>
    <cellStyle name="Normal 32 2 2" xfId="2735" xr:uid="{00000000-0005-0000-0000-0000660C0000}"/>
    <cellStyle name="Normal 32 3" xfId="2736" xr:uid="{00000000-0005-0000-0000-0000670C0000}"/>
    <cellStyle name="Normal 32 3 2" xfId="2737" xr:uid="{00000000-0005-0000-0000-0000680C0000}"/>
    <cellStyle name="Normal 32 4" xfId="2738" xr:uid="{00000000-0005-0000-0000-0000690C0000}"/>
    <cellStyle name="Normal 32_AGL" xfId="2739" xr:uid="{00000000-0005-0000-0000-00006A0C0000}"/>
    <cellStyle name="Normal 33" xfId="2740" xr:uid="{00000000-0005-0000-0000-00006B0C0000}"/>
    <cellStyle name="Normal 33 2" xfId="2741" xr:uid="{00000000-0005-0000-0000-00006C0C0000}"/>
    <cellStyle name="Normal 33 2 2" xfId="2742" xr:uid="{00000000-0005-0000-0000-00006D0C0000}"/>
    <cellStyle name="Normal 33 3" xfId="2743" xr:uid="{00000000-0005-0000-0000-00006E0C0000}"/>
    <cellStyle name="Normal 33 3 2" xfId="2744" xr:uid="{00000000-0005-0000-0000-00006F0C0000}"/>
    <cellStyle name="Normal 33 4" xfId="2745" xr:uid="{00000000-0005-0000-0000-0000700C0000}"/>
    <cellStyle name="Normal 33_AGL" xfId="2746" xr:uid="{00000000-0005-0000-0000-0000710C0000}"/>
    <cellStyle name="Normal 34" xfId="2747" xr:uid="{00000000-0005-0000-0000-0000720C0000}"/>
    <cellStyle name="Normal 34 2" xfId="2748" xr:uid="{00000000-0005-0000-0000-0000730C0000}"/>
    <cellStyle name="Normal 34 2 2" xfId="2749" xr:uid="{00000000-0005-0000-0000-0000740C0000}"/>
    <cellStyle name="Normal 34 3" xfId="2750" xr:uid="{00000000-0005-0000-0000-0000750C0000}"/>
    <cellStyle name="Normal 34 3 2" xfId="2751" xr:uid="{00000000-0005-0000-0000-0000760C0000}"/>
    <cellStyle name="Normal 34 4" xfId="2752" xr:uid="{00000000-0005-0000-0000-0000770C0000}"/>
    <cellStyle name="Normal 34_AGL" xfId="2753" xr:uid="{00000000-0005-0000-0000-0000780C0000}"/>
    <cellStyle name="Normal 35" xfId="2754" xr:uid="{00000000-0005-0000-0000-0000790C0000}"/>
    <cellStyle name="Normal 35 2" xfId="2755" xr:uid="{00000000-0005-0000-0000-00007A0C0000}"/>
    <cellStyle name="Normal 36" xfId="2756" xr:uid="{00000000-0005-0000-0000-00007B0C0000}"/>
    <cellStyle name="Normal 36 2" xfId="2757" xr:uid="{00000000-0005-0000-0000-00007C0C0000}"/>
    <cellStyle name="Normal 36 2 2" xfId="2758" xr:uid="{00000000-0005-0000-0000-00007D0C0000}"/>
    <cellStyle name="Normal 36 3" xfId="2759" xr:uid="{00000000-0005-0000-0000-00007E0C0000}"/>
    <cellStyle name="Normal 36 3 2" xfId="2760" xr:uid="{00000000-0005-0000-0000-00007F0C0000}"/>
    <cellStyle name="Normal 36 4" xfId="2761" xr:uid="{00000000-0005-0000-0000-0000800C0000}"/>
    <cellStyle name="Normal 37" xfId="2762" xr:uid="{00000000-0005-0000-0000-0000810C0000}"/>
    <cellStyle name="Normal 38" xfId="2763" xr:uid="{00000000-0005-0000-0000-0000820C0000}"/>
    <cellStyle name="Normal 39" xfId="2764" xr:uid="{00000000-0005-0000-0000-0000830C0000}"/>
    <cellStyle name="Normal 4" xfId="38" xr:uid="{00000000-0005-0000-0000-0000840C0000}"/>
    <cellStyle name="Normal 4 10" xfId="2765" xr:uid="{00000000-0005-0000-0000-0000850C0000}"/>
    <cellStyle name="Normal 4 10 2" xfId="2766" xr:uid="{00000000-0005-0000-0000-0000860C0000}"/>
    <cellStyle name="Normal 4 10 2 2" xfId="2767" xr:uid="{00000000-0005-0000-0000-0000870C0000}"/>
    <cellStyle name="Normal 4 10 3" xfId="2768" xr:uid="{00000000-0005-0000-0000-0000880C0000}"/>
    <cellStyle name="Normal 4 10 3 2" xfId="2769" xr:uid="{00000000-0005-0000-0000-0000890C0000}"/>
    <cellStyle name="Normal 4 10 4" xfId="2770" xr:uid="{00000000-0005-0000-0000-00008A0C0000}"/>
    <cellStyle name="Normal 4 10_AGL" xfId="2771" xr:uid="{00000000-0005-0000-0000-00008B0C0000}"/>
    <cellStyle name="Normal 4 11" xfId="2772" xr:uid="{00000000-0005-0000-0000-00008C0C0000}"/>
    <cellStyle name="Normal 4 11 2" xfId="2773" xr:uid="{00000000-0005-0000-0000-00008D0C0000}"/>
    <cellStyle name="Normal 4 11 2 2" xfId="2774" xr:uid="{00000000-0005-0000-0000-00008E0C0000}"/>
    <cellStyle name="Normal 4 11 3" xfId="2775" xr:uid="{00000000-0005-0000-0000-00008F0C0000}"/>
    <cellStyle name="Normal 4 11 3 2" xfId="2776" xr:uid="{00000000-0005-0000-0000-0000900C0000}"/>
    <cellStyle name="Normal 4 11 4" xfId="2777" xr:uid="{00000000-0005-0000-0000-0000910C0000}"/>
    <cellStyle name="Normal 4 11_AGL" xfId="2778" xr:uid="{00000000-0005-0000-0000-0000920C0000}"/>
    <cellStyle name="Normal 4 12" xfId="2779" xr:uid="{00000000-0005-0000-0000-0000930C0000}"/>
    <cellStyle name="Normal 4 12 2" xfId="2780" xr:uid="{00000000-0005-0000-0000-0000940C0000}"/>
    <cellStyle name="Normal 4 12 2 2" xfId="2781" xr:uid="{00000000-0005-0000-0000-0000950C0000}"/>
    <cellStyle name="Normal 4 12 3" xfId="2782" xr:uid="{00000000-0005-0000-0000-0000960C0000}"/>
    <cellStyle name="Normal 4 12 3 2" xfId="2783" xr:uid="{00000000-0005-0000-0000-0000970C0000}"/>
    <cellStyle name="Normal 4 12 4" xfId="2784" xr:uid="{00000000-0005-0000-0000-0000980C0000}"/>
    <cellStyle name="Normal 4 12_AGL" xfId="2785" xr:uid="{00000000-0005-0000-0000-0000990C0000}"/>
    <cellStyle name="Normal 4 13" xfId="2786" xr:uid="{00000000-0005-0000-0000-00009A0C0000}"/>
    <cellStyle name="Normal 4 13 2" xfId="2787" xr:uid="{00000000-0005-0000-0000-00009B0C0000}"/>
    <cellStyle name="Normal 4 13 2 2" xfId="2788" xr:uid="{00000000-0005-0000-0000-00009C0C0000}"/>
    <cellStyle name="Normal 4 13 3" xfId="2789" xr:uid="{00000000-0005-0000-0000-00009D0C0000}"/>
    <cellStyle name="Normal 4 13 3 2" xfId="2790" xr:uid="{00000000-0005-0000-0000-00009E0C0000}"/>
    <cellStyle name="Normal 4 13 4" xfId="2791" xr:uid="{00000000-0005-0000-0000-00009F0C0000}"/>
    <cellStyle name="Normal 4 13_AGL" xfId="2792" xr:uid="{00000000-0005-0000-0000-0000A00C0000}"/>
    <cellStyle name="Normal 4 14" xfId="2793" xr:uid="{00000000-0005-0000-0000-0000A10C0000}"/>
    <cellStyle name="Normal 4 15" xfId="2794" xr:uid="{00000000-0005-0000-0000-0000A20C0000}"/>
    <cellStyle name="Normal 4 16" xfId="2795" xr:uid="{00000000-0005-0000-0000-0000A30C0000}"/>
    <cellStyle name="Normal 4 17" xfId="2796" xr:uid="{00000000-0005-0000-0000-0000A40C0000}"/>
    <cellStyle name="Normal 4 18" xfId="2797" xr:uid="{00000000-0005-0000-0000-0000A50C0000}"/>
    <cellStyle name="Normal 4 19" xfId="2798" xr:uid="{00000000-0005-0000-0000-0000A60C0000}"/>
    <cellStyle name="Normal 4 2" xfId="39" xr:uid="{00000000-0005-0000-0000-0000A70C0000}"/>
    <cellStyle name="Normal 4 2 10" xfId="2799" xr:uid="{00000000-0005-0000-0000-0000A80C0000}"/>
    <cellStyle name="Normal 4 2 11" xfId="2800" xr:uid="{00000000-0005-0000-0000-0000A90C0000}"/>
    <cellStyle name="Normal 4 2 2" xfId="2801" xr:uid="{00000000-0005-0000-0000-0000AA0C0000}"/>
    <cellStyle name="Normal 4 2 2 2" xfId="2802" xr:uid="{00000000-0005-0000-0000-0000AB0C0000}"/>
    <cellStyle name="Normal 4 2 2 2 2" xfId="2803" xr:uid="{00000000-0005-0000-0000-0000AC0C0000}"/>
    <cellStyle name="Normal 4 2 2 2 2 2" xfId="2804" xr:uid="{00000000-0005-0000-0000-0000AD0C0000}"/>
    <cellStyle name="Normal 4 2 2 2 3" xfId="2805" xr:uid="{00000000-0005-0000-0000-0000AE0C0000}"/>
    <cellStyle name="Normal 4 2 2 2 3 2" xfId="2806" xr:uid="{00000000-0005-0000-0000-0000AF0C0000}"/>
    <cellStyle name="Normal 4 2 2 2 4" xfId="2807" xr:uid="{00000000-0005-0000-0000-0000B00C0000}"/>
    <cellStyle name="Normal 4 2 2 2_AGL" xfId="2808" xr:uid="{00000000-0005-0000-0000-0000B10C0000}"/>
    <cellStyle name="Normal 4 2 2 3" xfId="2809" xr:uid="{00000000-0005-0000-0000-0000B20C0000}"/>
    <cellStyle name="Normal 4 2 2 3 2" xfId="2810" xr:uid="{00000000-0005-0000-0000-0000B30C0000}"/>
    <cellStyle name="Normal 4 2 2 3 2 2" xfId="2811" xr:uid="{00000000-0005-0000-0000-0000B40C0000}"/>
    <cellStyle name="Normal 4 2 2 3 3" xfId="2812" xr:uid="{00000000-0005-0000-0000-0000B50C0000}"/>
    <cellStyle name="Normal 4 2 2 3 3 2" xfId="2813" xr:uid="{00000000-0005-0000-0000-0000B60C0000}"/>
    <cellStyle name="Normal 4 2 2 3 4" xfId="2814" xr:uid="{00000000-0005-0000-0000-0000B70C0000}"/>
    <cellStyle name="Normal 4 2 2 3_AGL" xfId="2815" xr:uid="{00000000-0005-0000-0000-0000B80C0000}"/>
    <cellStyle name="Normal 4 2 2 4" xfId="2816" xr:uid="{00000000-0005-0000-0000-0000B90C0000}"/>
    <cellStyle name="Normal 4 2 2 4 2" xfId="2817" xr:uid="{00000000-0005-0000-0000-0000BA0C0000}"/>
    <cellStyle name="Normal 4 2 2 5" xfId="2818" xr:uid="{00000000-0005-0000-0000-0000BB0C0000}"/>
    <cellStyle name="Normal 4 2 2 5 2" xfId="2819" xr:uid="{00000000-0005-0000-0000-0000BC0C0000}"/>
    <cellStyle name="Normal 4 2 2 6" xfId="2820" xr:uid="{00000000-0005-0000-0000-0000BD0C0000}"/>
    <cellStyle name="Normal 4 2 2_AGL" xfId="2821" xr:uid="{00000000-0005-0000-0000-0000BE0C0000}"/>
    <cellStyle name="Normal 4 2 3" xfId="2822" xr:uid="{00000000-0005-0000-0000-0000BF0C0000}"/>
    <cellStyle name="Normal 4 2 3 2" xfId="2823" xr:uid="{00000000-0005-0000-0000-0000C00C0000}"/>
    <cellStyle name="Normal 4 2 3 2 2" xfId="2824" xr:uid="{00000000-0005-0000-0000-0000C10C0000}"/>
    <cellStyle name="Normal 4 2 3 3" xfId="2825" xr:uid="{00000000-0005-0000-0000-0000C20C0000}"/>
    <cellStyle name="Normal 4 2 3 3 2" xfId="2826" xr:uid="{00000000-0005-0000-0000-0000C30C0000}"/>
    <cellStyle name="Normal 4 2 3 4" xfId="2827" xr:uid="{00000000-0005-0000-0000-0000C40C0000}"/>
    <cellStyle name="Normal 4 2 3_AGL" xfId="2828" xr:uid="{00000000-0005-0000-0000-0000C50C0000}"/>
    <cellStyle name="Normal 4 2 4" xfId="2829" xr:uid="{00000000-0005-0000-0000-0000C60C0000}"/>
    <cellStyle name="Normal 4 2 4 2" xfId="2830" xr:uid="{00000000-0005-0000-0000-0000C70C0000}"/>
    <cellStyle name="Normal 4 2 4 2 2" xfId="2831" xr:uid="{00000000-0005-0000-0000-0000C80C0000}"/>
    <cellStyle name="Normal 4 2 4 3" xfId="2832" xr:uid="{00000000-0005-0000-0000-0000C90C0000}"/>
    <cellStyle name="Normal 4 2 4 3 2" xfId="2833" xr:uid="{00000000-0005-0000-0000-0000CA0C0000}"/>
    <cellStyle name="Normal 4 2 4 4" xfId="2834" xr:uid="{00000000-0005-0000-0000-0000CB0C0000}"/>
    <cellStyle name="Normal 4 2 4_AGL" xfId="2835" xr:uid="{00000000-0005-0000-0000-0000CC0C0000}"/>
    <cellStyle name="Normal 4 2 5" xfId="2836" xr:uid="{00000000-0005-0000-0000-0000CD0C0000}"/>
    <cellStyle name="Normal 4 2 5 2" xfId="2837" xr:uid="{00000000-0005-0000-0000-0000CE0C0000}"/>
    <cellStyle name="Normal 4 2 5 2 2" xfId="2838" xr:uid="{00000000-0005-0000-0000-0000CF0C0000}"/>
    <cellStyle name="Normal 4 2 5 3" xfId="2839" xr:uid="{00000000-0005-0000-0000-0000D00C0000}"/>
    <cellStyle name="Normal 4 2 5 3 2" xfId="2840" xr:uid="{00000000-0005-0000-0000-0000D10C0000}"/>
    <cellStyle name="Normal 4 2 5 4" xfId="2841" xr:uid="{00000000-0005-0000-0000-0000D20C0000}"/>
    <cellStyle name="Normal 4 2 5_AGL" xfId="2842" xr:uid="{00000000-0005-0000-0000-0000D30C0000}"/>
    <cellStyle name="Normal 4 2 6" xfId="2843" xr:uid="{00000000-0005-0000-0000-0000D40C0000}"/>
    <cellStyle name="Normal 4 2 6 2" xfId="2844" xr:uid="{00000000-0005-0000-0000-0000D50C0000}"/>
    <cellStyle name="Normal 4 2 7" xfId="2845" xr:uid="{00000000-0005-0000-0000-0000D60C0000}"/>
    <cellStyle name="Normal 4 2 7 2" xfId="2846" xr:uid="{00000000-0005-0000-0000-0000D70C0000}"/>
    <cellStyle name="Normal 4 2 8" xfId="2847" xr:uid="{00000000-0005-0000-0000-0000D80C0000}"/>
    <cellStyle name="Normal 4 2 9" xfId="2848" xr:uid="{00000000-0005-0000-0000-0000D90C0000}"/>
    <cellStyle name="Normal 4 2_AGL" xfId="2849" xr:uid="{00000000-0005-0000-0000-0000DA0C0000}"/>
    <cellStyle name="Normal 4 20" xfId="2850" xr:uid="{00000000-0005-0000-0000-0000DB0C0000}"/>
    <cellStyle name="Normal 4 21" xfId="2851" xr:uid="{00000000-0005-0000-0000-0000DC0C0000}"/>
    <cellStyle name="Normal 4 22" xfId="2852" xr:uid="{00000000-0005-0000-0000-0000DD0C0000}"/>
    <cellStyle name="Normal 4 23" xfId="2853" xr:uid="{00000000-0005-0000-0000-0000DE0C0000}"/>
    <cellStyle name="Normal 4 24" xfId="2854" xr:uid="{00000000-0005-0000-0000-0000DF0C0000}"/>
    <cellStyle name="Normal 4 25" xfId="2855" xr:uid="{00000000-0005-0000-0000-0000E00C0000}"/>
    <cellStyle name="Normal 4 26" xfId="2856" xr:uid="{00000000-0005-0000-0000-0000E10C0000}"/>
    <cellStyle name="Normal 4 27" xfId="2857" xr:uid="{00000000-0005-0000-0000-0000E20C0000}"/>
    <cellStyle name="Normal 4 28" xfId="2858" xr:uid="{00000000-0005-0000-0000-0000E30C0000}"/>
    <cellStyle name="Normal 4 3" xfId="2859" xr:uid="{00000000-0005-0000-0000-0000E40C0000}"/>
    <cellStyle name="Normal 4 3 2" xfId="2860" xr:uid="{00000000-0005-0000-0000-0000E50C0000}"/>
    <cellStyle name="Normal 4 3 3" xfId="2861" xr:uid="{00000000-0005-0000-0000-0000E60C0000}"/>
    <cellStyle name="Normal 4 4" xfId="2862" xr:uid="{00000000-0005-0000-0000-0000E70C0000}"/>
    <cellStyle name="Normal 4 4 2" xfId="2863" xr:uid="{00000000-0005-0000-0000-0000E80C0000}"/>
    <cellStyle name="Normal 4 4 2 2" xfId="2864" xr:uid="{00000000-0005-0000-0000-0000E90C0000}"/>
    <cellStyle name="Normal 4 4 2 2 2" xfId="2865" xr:uid="{00000000-0005-0000-0000-0000EA0C0000}"/>
    <cellStyle name="Normal 4 4 2 3" xfId="2866" xr:uid="{00000000-0005-0000-0000-0000EB0C0000}"/>
    <cellStyle name="Normal 4 4 2 3 2" xfId="2867" xr:uid="{00000000-0005-0000-0000-0000EC0C0000}"/>
    <cellStyle name="Normal 4 4 2 4" xfId="2868" xr:uid="{00000000-0005-0000-0000-0000ED0C0000}"/>
    <cellStyle name="Normal 4 4 2_AGL" xfId="2869" xr:uid="{00000000-0005-0000-0000-0000EE0C0000}"/>
    <cellStyle name="Normal 4 4 3" xfId="2870" xr:uid="{00000000-0005-0000-0000-0000EF0C0000}"/>
    <cellStyle name="Normal 4 4 3 2" xfId="2871" xr:uid="{00000000-0005-0000-0000-0000F00C0000}"/>
    <cellStyle name="Normal 4 4 3 2 2" xfId="2872" xr:uid="{00000000-0005-0000-0000-0000F10C0000}"/>
    <cellStyle name="Normal 4 4 3 3" xfId="2873" xr:uid="{00000000-0005-0000-0000-0000F20C0000}"/>
    <cellStyle name="Normal 4 4 3 3 2" xfId="2874" xr:uid="{00000000-0005-0000-0000-0000F30C0000}"/>
    <cellStyle name="Normal 4 4 3 4" xfId="2875" xr:uid="{00000000-0005-0000-0000-0000F40C0000}"/>
    <cellStyle name="Normal 4 4 3_AGL" xfId="2876" xr:uid="{00000000-0005-0000-0000-0000F50C0000}"/>
    <cellStyle name="Normal 4 4 4" xfId="2877" xr:uid="{00000000-0005-0000-0000-0000F60C0000}"/>
    <cellStyle name="Normal 4 4 4 2" xfId="2878" xr:uid="{00000000-0005-0000-0000-0000F70C0000}"/>
    <cellStyle name="Normal 4 4 5" xfId="2879" xr:uid="{00000000-0005-0000-0000-0000F80C0000}"/>
    <cellStyle name="Normal 4 4 5 2" xfId="2880" xr:uid="{00000000-0005-0000-0000-0000F90C0000}"/>
    <cellStyle name="Normal 4 4 6" xfId="2881" xr:uid="{00000000-0005-0000-0000-0000FA0C0000}"/>
    <cellStyle name="Normal 4 4_AGL" xfId="2882" xr:uid="{00000000-0005-0000-0000-0000FB0C0000}"/>
    <cellStyle name="Normal 4 5" xfId="2883" xr:uid="{00000000-0005-0000-0000-0000FC0C0000}"/>
    <cellStyle name="Normal 4 5 2" xfId="2884" xr:uid="{00000000-0005-0000-0000-0000FD0C0000}"/>
    <cellStyle name="Normal 4 5 2 2" xfId="2885" xr:uid="{00000000-0005-0000-0000-0000FE0C0000}"/>
    <cellStyle name="Normal 4 5 2 2 2" xfId="2886" xr:uid="{00000000-0005-0000-0000-0000FF0C0000}"/>
    <cellStyle name="Normal 4 5 2 3" xfId="2887" xr:uid="{00000000-0005-0000-0000-0000000D0000}"/>
    <cellStyle name="Normal 4 5 2 3 2" xfId="2888" xr:uid="{00000000-0005-0000-0000-0000010D0000}"/>
    <cellStyle name="Normal 4 5 2 4" xfId="2889" xr:uid="{00000000-0005-0000-0000-0000020D0000}"/>
    <cellStyle name="Normal 4 5 2_AGL" xfId="2890" xr:uid="{00000000-0005-0000-0000-0000030D0000}"/>
    <cellStyle name="Normal 4 5 3" xfId="2891" xr:uid="{00000000-0005-0000-0000-0000040D0000}"/>
    <cellStyle name="Normal 4 5 3 2" xfId="2892" xr:uid="{00000000-0005-0000-0000-0000050D0000}"/>
    <cellStyle name="Normal 4 5 3 2 2" xfId="2893" xr:uid="{00000000-0005-0000-0000-0000060D0000}"/>
    <cellStyle name="Normal 4 5 3 3" xfId="2894" xr:uid="{00000000-0005-0000-0000-0000070D0000}"/>
    <cellStyle name="Normal 4 5 3 3 2" xfId="2895" xr:uid="{00000000-0005-0000-0000-0000080D0000}"/>
    <cellStyle name="Normal 4 5 3 4" xfId="2896" xr:uid="{00000000-0005-0000-0000-0000090D0000}"/>
    <cellStyle name="Normal 4 5 3_AGL" xfId="2897" xr:uid="{00000000-0005-0000-0000-00000A0D0000}"/>
    <cellStyle name="Normal 4 5 4" xfId="2898" xr:uid="{00000000-0005-0000-0000-00000B0D0000}"/>
    <cellStyle name="Normal 4 5 4 2" xfId="2899" xr:uid="{00000000-0005-0000-0000-00000C0D0000}"/>
    <cellStyle name="Normal 4 5 5" xfId="2900" xr:uid="{00000000-0005-0000-0000-00000D0D0000}"/>
    <cellStyle name="Normal 4 5 5 2" xfId="2901" xr:uid="{00000000-0005-0000-0000-00000E0D0000}"/>
    <cellStyle name="Normal 4 5 6" xfId="2902" xr:uid="{00000000-0005-0000-0000-00000F0D0000}"/>
    <cellStyle name="Normal 4 5_AGL" xfId="2903" xr:uid="{00000000-0005-0000-0000-0000100D0000}"/>
    <cellStyle name="Normal 4 6" xfId="2904" xr:uid="{00000000-0005-0000-0000-0000110D0000}"/>
    <cellStyle name="Normal 4 6 2" xfId="2905" xr:uid="{00000000-0005-0000-0000-0000120D0000}"/>
    <cellStyle name="Normal 4 6 2 2" xfId="2906" xr:uid="{00000000-0005-0000-0000-0000130D0000}"/>
    <cellStyle name="Normal 4 6 2 2 2" xfId="2907" xr:uid="{00000000-0005-0000-0000-0000140D0000}"/>
    <cellStyle name="Normal 4 6 2 3" xfId="2908" xr:uid="{00000000-0005-0000-0000-0000150D0000}"/>
    <cellStyle name="Normal 4 6 2 3 2" xfId="2909" xr:uid="{00000000-0005-0000-0000-0000160D0000}"/>
    <cellStyle name="Normal 4 6 2 4" xfId="2910" xr:uid="{00000000-0005-0000-0000-0000170D0000}"/>
    <cellStyle name="Normal 4 6 2_AGL" xfId="2911" xr:uid="{00000000-0005-0000-0000-0000180D0000}"/>
    <cellStyle name="Normal 4 6 3" xfId="2912" xr:uid="{00000000-0005-0000-0000-0000190D0000}"/>
    <cellStyle name="Normal 4 6 4" xfId="2913" xr:uid="{00000000-0005-0000-0000-00001A0D0000}"/>
    <cellStyle name="Normal 4 6_AGL" xfId="2914" xr:uid="{00000000-0005-0000-0000-00001B0D0000}"/>
    <cellStyle name="Normal 4 7" xfId="2915" xr:uid="{00000000-0005-0000-0000-00001C0D0000}"/>
    <cellStyle name="Normal 4 7 2" xfId="2916" xr:uid="{00000000-0005-0000-0000-00001D0D0000}"/>
    <cellStyle name="Normal 4 7 2 2" xfId="2917" xr:uid="{00000000-0005-0000-0000-00001E0D0000}"/>
    <cellStyle name="Normal 4 7 3" xfId="2918" xr:uid="{00000000-0005-0000-0000-00001F0D0000}"/>
    <cellStyle name="Normal 4 7 3 2" xfId="2919" xr:uid="{00000000-0005-0000-0000-0000200D0000}"/>
    <cellStyle name="Normal 4 7 4" xfId="2920" xr:uid="{00000000-0005-0000-0000-0000210D0000}"/>
    <cellStyle name="Normal 4 7_AGL" xfId="2921" xr:uid="{00000000-0005-0000-0000-0000220D0000}"/>
    <cellStyle name="Normal 4 8" xfId="2922" xr:uid="{00000000-0005-0000-0000-0000230D0000}"/>
    <cellStyle name="Normal 4 8 2" xfId="2923" xr:uid="{00000000-0005-0000-0000-0000240D0000}"/>
    <cellStyle name="Normal 4 8 2 2" xfId="2924" xr:uid="{00000000-0005-0000-0000-0000250D0000}"/>
    <cellStyle name="Normal 4 8 3" xfId="2925" xr:uid="{00000000-0005-0000-0000-0000260D0000}"/>
    <cellStyle name="Normal 4 8 3 2" xfId="2926" xr:uid="{00000000-0005-0000-0000-0000270D0000}"/>
    <cellStyle name="Normal 4 8 4" xfId="2927" xr:uid="{00000000-0005-0000-0000-0000280D0000}"/>
    <cellStyle name="Normal 4 8_AGL" xfId="2928" xr:uid="{00000000-0005-0000-0000-0000290D0000}"/>
    <cellStyle name="Normal 4 9" xfId="2929" xr:uid="{00000000-0005-0000-0000-00002A0D0000}"/>
    <cellStyle name="Normal 4 9 2" xfId="2930" xr:uid="{00000000-0005-0000-0000-00002B0D0000}"/>
    <cellStyle name="Normal 4 9 2 2" xfId="2931" xr:uid="{00000000-0005-0000-0000-00002C0D0000}"/>
    <cellStyle name="Normal 4 9 3" xfId="2932" xr:uid="{00000000-0005-0000-0000-00002D0D0000}"/>
    <cellStyle name="Normal 4 9 3 2" xfId="2933" xr:uid="{00000000-0005-0000-0000-00002E0D0000}"/>
    <cellStyle name="Normal 4 9 4" xfId="2934" xr:uid="{00000000-0005-0000-0000-00002F0D0000}"/>
    <cellStyle name="Normal 4 9_AGL" xfId="2935" xr:uid="{00000000-0005-0000-0000-0000300D0000}"/>
    <cellStyle name="Normal 4_AGL" xfId="2936" xr:uid="{00000000-0005-0000-0000-0000310D0000}"/>
    <cellStyle name="Normal 40" xfId="2937" xr:uid="{00000000-0005-0000-0000-0000320D0000}"/>
    <cellStyle name="Normal 41" xfId="2938" xr:uid="{00000000-0005-0000-0000-0000330D0000}"/>
    <cellStyle name="Normal 42" xfId="2939" xr:uid="{00000000-0005-0000-0000-0000340D0000}"/>
    <cellStyle name="Normal 43" xfId="2940" xr:uid="{00000000-0005-0000-0000-0000350D0000}"/>
    <cellStyle name="Normal 44" xfId="2941" xr:uid="{00000000-0005-0000-0000-0000360D0000}"/>
    <cellStyle name="Normal 45" xfId="2942" xr:uid="{00000000-0005-0000-0000-0000370D0000}"/>
    <cellStyle name="Normal 46" xfId="2943" xr:uid="{00000000-0005-0000-0000-0000380D0000}"/>
    <cellStyle name="Normal 47" xfId="2944" xr:uid="{00000000-0005-0000-0000-0000390D0000}"/>
    <cellStyle name="Normal 48" xfId="2945" xr:uid="{00000000-0005-0000-0000-00003A0D0000}"/>
    <cellStyle name="Normal 49" xfId="2946" xr:uid="{00000000-0005-0000-0000-00003B0D0000}"/>
    <cellStyle name="Normal 5" xfId="40" xr:uid="{00000000-0005-0000-0000-00003C0D0000}"/>
    <cellStyle name="Normal 5 10" xfId="2947" xr:uid="{00000000-0005-0000-0000-00003D0D0000}"/>
    <cellStyle name="Normal 5 11" xfId="2948" xr:uid="{00000000-0005-0000-0000-00003E0D0000}"/>
    <cellStyle name="Normal 5 2" xfId="2949" xr:uid="{00000000-0005-0000-0000-00003F0D0000}"/>
    <cellStyle name="Normal 5 2 2" xfId="2950" xr:uid="{00000000-0005-0000-0000-0000400D0000}"/>
    <cellStyle name="Normal 5 2 3" xfId="2951" xr:uid="{00000000-0005-0000-0000-0000410D0000}"/>
    <cellStyle name="Normal 5 2_AGL" xfId="2952" xr:uid="{00000000-0005-0000-0000-0000420D0000}"/>
    <cellStyle name="Normal 5 3" xfId="2953" xr:uid="{00000000-0005-0000-0000-0000430D0000}"/>
    <cellStyle name="Normal 5 4" xfId="2954" xr:uid="{00000000-0005-0000-0000-0000440D0000}"/>
    <cellStyle name="Normal 5 4 2" xfId="2955" xr:uid="{00000000-0005-0000-0000-0000450D0000}"/>
    <cellStyle name="Normal 5 4 3" xfId="2956" xr:uid="{00000000-0005-0000-0000-0000460D0000}"/>
    <cellStyle name="Normal 5 4_AGL" xfId="2957" xr:uid="{00000000-0005-0000-0000-0000470D0000}"/>
    <cellStyle name="Normal 5 5" xfId="2958" xr:uid="{00000000-0005-0000-0000-0000480D0000}"/>
    <cellStyle name="Normal 5 6" xfId="2959" xr:uid="{00000000-0005-0000-0000-0000490D0000}"/>
    <cellStyle name="Normal 5 7" xfId="2960" xr:uid="{00000000-0005-0000-0000-00004A0D0000}"/>
    <cellStyle name="Normal 5 8" xfId="2961" xr:uid="{00000000-0005-0000-0000-00004B0D0000}"/>
    <cellStyle name="Normal 5 9" xfId="2962" xr:uid="{00000000-0005-0000-0000-00004C0D0000}"/>
    <cellStyle name="Normal 5_AGL" xfId="2963" xr:uid="{00000000-0005-0000-0000-00004D0D0000}"/>
    <cellStyle name="Normal 50" xfId="2964" xr:uid="{00000000-0005-0000-0000-00004E0D0000}"/>
    <cellStyle name="Normal 51" xfId="2965" xr:uid="{00000000-0005-0000-0000-00004F0D0000}"/>
    <cellStyle name="Normal 52" xfId="2966" xr:uid="{00000000-0005-0000-0000-0000500D0000}"/>
    <cellStyle name="Normal 53" xfId="2967" xr:uid="{00000000-0005-0000-0000-0000510D0000}"/>
    <cellStyle name="Normal 54" xfId="2968" xr:uid="{00000000-0005-0000-0000-0000520D0000}"/>
    <cellStyle name="Normal 55" xfId="2969" xr:uid="{00000000-0005-0000-0000-0000530D0000}"/>
    <cellStyle name="Normal 56" xfId="2970" xr:uid="{00000000-0005-0000-0000-0000540D0000}"/>
    <cellStyle name="Normal 57" xfId="2971" xr:uid="{00000000-0005-0000-0000-0000550D0000}"/>
    <cellStyle name="Normal 58" xfId="2972" xr:uid="{00000000-0005-0000-0000-0000560D0000}"/>
    <cellStyle name="Normal 59" xfId="2973" xr:uid="{00000000-0005-0000-0000-0000570D0000}"/>
    <cellStyle name="Normal 6" xfId="41" xr:uid="{00000000-0005-0000-0000-0000580D0000}"/>
    <cellStyle name="Normal 6 10" xfId="2974" xr:uid="{00000000-0005-0000-0000-0000590D0000}"/>
    <cellStyle name="Normal 6 11" xfId="2975" xr:uid="{00000000-0005-0000-0000-00005A0D0000}"/>
    <cellStyle name="Normal 6 2" xfId="2976" xr:uid="{00000000-0005-0000-0000-00005B0D0000}"/>
    <cellStyle name="Normal 6 3" xfId="2977" xr:uid="{00000000-0005-0000-0000-00005C0D0000}"/>
    <cellStyle name="Normal 6 3 2" xfId="2978" xr:uid="{00000000-0005-0000-0000-00005D0D0000}"/>
    <cellStyle name="Normal 6 4" xfId="2979" xr:uid="{00000000-0005-0000-0000-00005E0D0000}"/>
    <cellStyle name="Normal 6 4 2" xfId="2980" xr:uid="{00000000-0005-0000-0000-00005F0D0000}"/>
    <cellStyle name="Normal 6 4 3" xfId="2981" xr:uid="{00000000-0005-0000-0000-0000600D0000}"/>
    <cellStyle name="Normal 6 4_AGL" xfId="2982" xr:uid="{00000000-0005-0000-0000-0000610D0000}"/>
    <cellStyle name="Normal 6 5" xfId="2983" xr:uid="{00000000-0005-0000-0000-0000620D0000}"/>
    <cellStyle name="Normal 6 6" xfId="2984" xr:uid="{00000000-0005-0000-0000-0000630D0000}"/>
    <cellStyle name="Normal 6 7" xfId="2985" xr:uid="{00000000-0005-0000-0000-0000640D0000}"/>
    <cellStyle name="Normal 6 8" xfId="2986" xr:uid="{00000000-0005-0000-0000-0000650D0000}"/>
    <cellStyle name="Normal 6 9" xfId="2987" xr:uid="{00000000-0005-0000-0000-0000660D0000}"/>
    <cellStyle name="Normal 6_AGL" xfId="2988" xr:uid="{00000000-0005-0000-0000-0000670D0000}"/>
    <cellStyle name="Normal 60" xfId="4425" xr:uid="{92FBD93D-E325-4A2E-899C-F40733132743}"/>
    <cellStyle name="Normal 7" xfId="57" xr:uid="{00000000-0005-0000-0000-0000680D0000}"/>
    <cellStyle name="Normal 7 10" xfId="2989" xr:uid="{00000000-0005-0000-0000-0000690D0000}"/>
    <cellStyle name="Normal 7 11" xfId="2990" xr:uid="{00000000-0005-0000-0000-00006A0D0000}"/>
    <cellStyle name="Normal 7 2" xfId="2991" xr:uid="{00000000-0005-0000-0000-00006B0D0000}"/>
    <cellStyle name="Normal 7 2 2" xfId="2992" xr:uid="{00000000-0005-0000-0000-00006C0D0000}"/>
    <cellStyle name="Normal 7 2 2 2" xfId="2993" xr:uid="{00000000-0005-0000-0000-00006D0D0000}"/>
    <cellStyle name="Normal 7 2 3" xfId="2994" xr:uid="{00000000-0005-0000-0000-00006E0D0000}"/>
    <cellStyle name="Normal 7 2 3 2" xfId="2995" xr:uid="{00000000-0005-0000-0000-00006F0D0000}"/>
    <cellStyle name="Normal 7 2 4" xfId="2996" xr:uid="{00000000-0005-0000-0000-0000700D0000}"/>
    <cellStyle name="Normal 7 2_AGL" xfId="2997" xr:uid="{00000000-0005-0000-0000-0000710D0000}"/>
    <cellStyle name="Normal 7 3" xfId="2998" xr:uid="{00000000-0005-0000-0000-0000720D0000}"/>
    <cellStyle name="Normal 7 3 2" xfId="2999" xr:uid="{00000000-0005-0000-0000-0000730D0000}"/>
    <cellStyle name="Normal 7 3 2 2" xfId="3000" xr:uid="{00000000-0005-0000-0000-0000740D0000}"/>
    <cellStyle name="Normal 7 3 3" xfId="3001" xr:uid="{00000000-0005-0000-0000-0000750D0000}"/>
    <cellStyle name="Normal 7 3 3 2" xfId="3002" xr:uid="{00000000-0005-0000-0000-0000760D0000}"/>
    <cellStyle name="Normal 7 3 4" xfId="3003" xr:uid="{00000000-0005-0000-0000-0000770D0000}"/>
    <cellStyle name="Normal 7 3_AGL" xfId="3004" xr:uid="{00000000-0005-0000-0000-0000780D0000}"/>
    <cellStyle name="Normal 7 4" xfId="3005" xr:uid="{00000000-0005-0000-0000-0000790D0000}"/>
    <cellStyle name="Normal 7 4 2" xfId="3006" xr:uid="{00000000-0005-0000-0000-00007A0D0000}"/>
    <cellStyle name="Normal 7 5" xfId="3007" xr:uid="{00000000-0005-0000-0000-00007B0D0000}"/>
    <cellStyle name="Normal 7 5 2" xfId="3008" xr:uid="{00000000-0005-0000-0000-00007C0D0000}"/>
    <cellStyle name="Normal 7 6" xfId="3009" xr:uid="{00000000-0005-0000-0000-00007D0D0000}"/>
    <cellStyle name="Normal 7 7" xfId="3010" xr:uid="{00000000-0005-0000-0000-00007E0D0000}"/>
    <cellStyle name="Normal 7 8" xfId="3011" xr:uid="{00000000-0005-0000-0000-00007F0D0000}"/>
    <cellStyle name="Normal 7 9" xfId="3012" xr:uid="{00000000-0005-0000-0000-0000800D0000}"/>
    <cellStyle name="Normal 7_AGL" xfId="3013" xr:uid="{00000000-0005-0000-0000-0000810D0000}"/>
    <cellStyle name="Normal 8" xfId="3014" xr:uid="{00000000-0005-0000-0000-0000820D0000}"/>
    <cellStyle name="Normal 8 2" xfId="3015" xr:uid="{00000000-0005-0000-0000-0000830D0000}"/>
    <cellStyle name="Normal 8 2 2" xfId="3016" xr:uid="{00000000-0005-0000-0000-0000840D0000}"/>
    <cellStyle name="Normal 8 2 2 2" xfId="3017" xr:uid="{00000000-0005-0000-0000-0000850D0000}"/>
    <cellStyle name="Normal 8 2 3" xfId="3018" xr:uid="{00000000-0005-0000-0000-0000860D0000}"/>
    <cellStyle name="Normal 8 2 3 2" xfId="3019" xr:uid="{00000000-0005-0000-0000-0000870D0000}"/>
    <cellStyle name="Normal 8 2 4" xfId="3020" xr:uid="{00000000-0005-0000-0000-0000880D0000}"/>
    <cellStyle name="Normal 8 2_AGL" xfId="3021" xr:uid="{00000000-0005-0000-0000-0000890D0000}"/>
    <cellStyle name="Normal 8 3" xfId="3022" xr:uid="{00000000-0005-0000-0000-00008A0D0000}"/>
    <cellStyle name="Normal 8 3 2" xfId="3023" xr:uid="{00000000-0005-0000-0000-00008B0D0000}"/>
    <cellStyle name="Normal 8 3 2 2" xfId="3024" xr:uid="{00000000-0005-0000-0000-00008C0D0000}"/>
    <cellStyle name="Normal 8 3 3" xfId="3025" xr:uid="{00000000-0005-0000-0000-00008D0D0000}"/>
    <cellStyle name="Normal 8 3 3 2" xfId="3026" xr:uid="{00000000-0005-0000-0000-00008E0D0000}"/>
    <cellStyle name="Normal 8 3 4" xfId="3027" xr:uid="{00000000-0005-0000-0000-00008F0D0000}"/>
    <cellStyle name="Normal 8 3_AGL" xfId="3028" xr:uid="{00000000-0005-0000-0000-0000900D0000}"/>
    <cellStyle name="Normal 8 4" xfId="3029" xr:uid="{00000000-0005-0000-0000-0000910D0000}"/>
    <cellStyle name="Normal 8 4 2" xfId="3030" xr:uid="{00000000-0005-0000-0000-0000920D0000}"/>
    <cellStyle name="Normal 8 4 2 2" xfId="3031" xr:uid="{00000000-0005-0000-0000-0000930D0000}"/>
    <cellStyle name="Normal 8 4 3" xfId="3032" xr:uid="{00000000-0005-0000-0000-0000940D0000}"/>
    <cellStyle name="Normal 8 4 3 2" xfId="3033" xr:uid="{00000000-0005-0000-0000-0000950D0000}"/>
    <cellStyle name="Normal 8 4 4" xfId="3034" xr:uid="{00000000-0005-0000-0000-0000960D0000}"/>
    <cellStyle name="Normal 8 4_AGL" xfId="3035" xr:uid="{00000000-0005-0000-0000-0000970D0000}"/>
    <cellStyle name="Normal 8 5" xfId="3036" xr:uid="{00000000-0005-0000-0000-0000980D0000}"/>
    <cellStyle name="Normal 8 5 2" xfId="3037" xr:uid="{00000000-0005-0000-0000-0000990D0000}"/>
    <cellStyle name="Normal 8 5 2 2" xfId="3038" xr:uid="{00000000-0005-0000-0000-00009A0D0000}"/>
    <cellStyle name="Normal 8 5 2 2 2" xfId="3039" xr:uid="{00000000-0005-0000-0000-00009B0D0000}"/>
    <cellStyle name="Normal 8 5 2 3" xfId="3040" xr:uid="{00000000-0005-0000-0000-00009C0D0000}"/>
    <cellStyle name="Normal 8 5 2 3 2" xfId="3041" xr:uid="{00000000-0005-0000-0000-00009D0D0000}"/>
    <cellStyle name="Normal 8 5 2 4" xfId="3042" xr:uid="{00000000-0005-0000-0000-00009E0D0000}"/>
    <cellStyle name="Normal 8 5 2_AGL" xfId="3043" xr:uid="{00000000-0005-0000-0000-00009F0D0000}"/>
    <cellStyle name="Normal 8 5 3" xfId="3044" xr:uid="{00000000-0005-0000-0000-0000A00D0000}"/>
    <cellStyle name="Normal 8 5 3 2" xfId="3045" xr:uid="{00000000-0005-0000-0000-0000A10D0000}"/>
    <cellStyle name="Normal 8 5 3 2 2" xfId="3046" xr:uid="{00000000-0005-0000-0000-0000A20D0000}"/>
    <cellStyle name="Normal 8 5 3 3" xfId="3047" xr:uid="{00000000-0005-0000-0000-0000A30D0000}"/>
    <cellStyle name="Normal 8 5 3 3 2" xfId="3048" xr:uid="{00000000-0005-0000-0000-0000A40D0000}"/>
    <cellStyle name="Normal 8 5 3 4" xfId="3049" xr:uid="{00000000-0005-0000-0000-0000A50D0000}"/>
    <cellStyle name="Normal 8 5 3_AGL" xfId="3050" xr:uid="{00000000-0005-0000-0000-0000A60D0000}"/>
    <cellStyle name="Normal 8 5 4" xfId="3051" xr:uid="{00000000-0005-0000-0000-0000A70D0000}"/>
    <cellStyle name="Normal 8 5 4 2" xfId="3052" xr:uid="{00000000-0005-0000-0000-0000A80D0000}"/>
    <cellStyle name="Normal 8 5 5" xfId="3053" xr:uid="{00000000-0005-0000-0000-0000A90D0000}"/>
    <cellStyle name="Normal 8 5 5 2" xfId="3054" xr:uid="{00000000-0005-0000-0000-0000AA0D0000}"/>
    <cellStyle name="Normal 8 5 6" xfId="3055" xr:uid="{00000000-0005-0000-0000-0000AB0D0000}"/>
    <cellStyle name="Normal 8 5_AGL" xfId="3056" xr:uid="{00000000-0005-0000-0000-0000AC0D0000}"/>
    <cellStyle name="Normal 8 6" xfId="3057" xr:uid="{00000000-0005-0000-0000-0000AD0D0000}"/>
    <cellStyle name="Normal 8 6 2" xfId="3058" xr:uid="{00000000-0005-0000-0000-0000AE0D0000}"/>
    <cellStyle name="Normal 8 7" xfId="3059" xr:uid="{00000000-0005-0000-0000-0000AF0D0000}"/>
    <cellStyle name="Normal 8 7 2" xfId="3060" xr:uid="{00000000-0005-0000-0000-0000B00D0000}"/>
    <cellStyle name="Normal 8 8" xfId="3061" xr:uid="{00000000-0005-0000-0000-0000B10D0000}"/>
    <cellStyle name="Normal 8 8 2" xfId="3062" xr:uid="{00000000-0005-0000-0000-0000B20D0000}"/>
    <cellStyle name="Normal 8 9" xfId="3063" xr:uid="{00000000-0005-0000-0000-0000B30D0000}"/>
    <cellStyle name="Normal 8_AGL" xfId="3064" xr:uid="{00000000-0005-0000-0000-0000B40D0000}"/>
    <cellStyle name="Normal 9" xfId="3065" xr:uid="{00000000-0005-0000-0000-0000B50D0000}"/>
    <cellStyle name="Normal 9 10" xfId="3066" xr:uid="{00000000-0005-0000-0000-0000B60D0000}"/>
    <cellStyle name="Normal 9 2" xfId="3067" xr:uid="{00000000-0005-0000-0000-0000B70D0000}"/>
    <cellStyle name="Normal 9 2 2" xfId="3068" xr:uid="{00000000-0005-0000-0000-0000B80D0000}"/>
    <cellStyle name="Normal 9 2 2 2" xfId="3069" xr:uid="{00000000-0005-0000-0000-0000B90D0000}"/>
    <cellStyle name="Normal 9 2 3" xfId="3070" xr:uid="{00000000-0005-0000-0000-0000BA0D0000}"/>
    <cellStyle name="Normal 9 2 3 2" xfId="3071" xr:uid="{00000000-0005-0000-0000-0000BB0D0000}"/>
    <cellStyle name="Normal 9 2 4" xfId="3072" xr:uid="{00000000-0005-0000-0000-0000BC0D0000}"/>
    <cellStyle name="Normal 9 2_AGL" xfId="3073" xr:uid="{00000000-0005-0000-0000-0000BD0D0000}"/>
    <cellStyle name="Normal 9 3" xfId="3074" xr:uid="{00000000-0005-0000-0000-0000BE0D0000}"/>
    <cellStyle name="Normal 9 3 2" xfId="3075" xr:uid="{00000000-0005-0000-0000-0000BF0D0000}"/>
    <cellStyle name="Normal 9 3 2 2" xfId="3076" xr:uid="{00000000-0005-0000-0000-0000C00D0000}"/>
    <cellStyle name="Normal 9 3 3" xfId="3077" xr:uid="{00000000-0005-0000-0000-0000C10D0000}"/>
    <cellStyle name="Normal 9 3 3 2" xfId="3078" xr:uid="{00000000-0005-0000-0000-0000C20D0000}"/>
    <cellStyle name="Normal 9 3 4" xfId="3079" xr:uid="{00000000-0005-0000-0000-0000C30D0000}"/>
    <cellStyle name="Normal 9 3_AGL" xfId="3080" xr:uid="{00000000-0005-0000-0000-0000C40D0000}"/>
    <cellStyle name="Normal 9 4" xfId="3081" xr:uid="{00000000-0005-0000-0000-0000C50D0000}"/>
    <cellStyle name="Normal 9 4 2" xfId="3082" xr:uid="{00000000-0005-0000-0000-0000C60D0000}"/>
    <cellStyle name="Normal 9 4 2 2" xfId="3083" xr:uid="{00000000-0005-0000-0000-0000C70D0000}"/>
    <cellStyle name="Normal 9 4 3" xfId="3084" xr:uid="{00000000-0005-0000-0000-0000C80D0000}"/>
    <cellStyle name="Normal 9 4 3 2" xfId="3085" xr:uid="{00000000-0005-0000-0000-0000C90D0000}"/>
    <cellStyle name="Normal 9 4 4" xfId="3086" xr:uid="{00000000-0005-0000-0000-0000CA0D0000}"/>
    <cellStyle name="Normal 9 4_AGL" xfId="3087" xr:uid="{00000000-0005-0000-0000-0000CB0D0000}"/>
    <cellStyle name="Normal 9 5" xfId="3088" xr:uid="{00000000-0005-0000-0000-0000CC0D0000}"/>
    <cellStyle name="Normal 9 5 2" xfId="3089" xr:uid="{00000000-0005-0000-0000-0000CD0D0000}"/>
    <cellStyle name="Normal 9 5 2 2" xfId="3090" xr:uid="{00000000-0005-0000-0000-0000CE0D0000}"/>
    <cellStyle name="Normal 9 5 2 2 2" xfId="3091" xr:uid="{00000000-0005-0000-0000-0000CF0D0000}"/>
    <cellStyle name="Normal 9 5 2 3" xfId="3092" xr:uid="{00000000-0005-0000-0000-0000D00D0000}"/>
    <cellStyle name="Normal 9 5 2 3 2" xfId="3093" xr:uid="{00000000-0005-0000-0000-0000D10D0000}"/>
    <cellStyle name="Normal 9 5 2 4" xfId="3094" xr:uid="{00000000-0005-0000-0000-0000D20D0000}"/>
    <cellStyle name="Normal 9 5 2_AGL" xfId="3095" xr:uid="{00000000-0005-0000-0000-0000D30D0000}"/>
    <cellStyle name="Normal 9 5 3" xfId="3096" xr:uid="{00000000-0005-0000-0000-0000D40D0000}"/>
    <cellStyle name="Normal 9 5 3 2" xfId="3097" xr:uid="{00000000-0005-0000-0000-0000D50D0000}"/>
    <cellStyle name="Normal 9 5 4" xfId="3098" xr:uid="{00000000-0005-0000-0000-0000D60D0000}"/>
    <cellStyle name="Normal 9 5 4 2" xfId="3099" xr:uid="{00000000-0005-0000-0000-0000D70D0000}"/>
    <cellStyle name="Normal 9 5 5" xfId="3100" xr:uid="{00000000-0005-0000-0000-0000D80D0000}"/>
    <cellStyle name="Normal 9 5_AGL" xfId="3101" xr:uid="{00000000-0005-0000-0000-0000D90D0000}"/>
    <cellStyle name="Normal 9 6" xfId="3102" xr:uid="{00000000-0005-0000-0000-0000DA0D0000}"/>
    <cellStyle name="Normal 9 6 2" xfId="3103" xr:uid="{00000000-0005-0000-0000-0000DB0D0000}"/>
    <cellStyle name="Normal 9 6 2 2" xfId="3104" xr:uid="{00000000-0005-0000-0000-0000DC0D0000}"/>
    <cellStyle name="Normal 9 6 3" xfId="3105" xr:uid="{00000000-0005-0000-0000-0000DD0D0000}"/>
    <cellStyle name="Normal 9 6 3 2" xfId="3106" xr:uid="{00000000-0005-0000-0000-0000DE0D0000}"/>
    <cellStyle name="Normal 9 6 4" xfId="3107" xr:uid="{00000000-0005-0000-0000-0000DF0D0000}"/>
    <cellStyle name="Normal 9 6_AGL" xfId="3108" xr:uid="{00000000-0005-0000-0000-0000E00D0000}"/>
    <cellStyle name="Normal 9 7" xfId="3109" xr:uid="{00000000-0005-0000-0000-0000E10D0000}"/>
    <cellStyle name="Normal 9 7 2" xfId="3110" xr:uid="{00000000-0005-0000-0000-0000E20D0000}"/>
    <cellStyle name="Normal 9 7 2 2" xfId="3111" xr:uid="{00000000-0005-0000-0000-0000E30D0000}"/>
    <cellStyle name="Normal 9 7 3" xfId="3112" xr:uid="{00000000-0005-0000-0000-0000E40D0000}"/>
    <cellStyle name="Normal 9 7 3 2" xfId="3113" xr:uid="{00000000-0005-0000-0000-0000E50D0000}"/>
    <cellStyle name="Normal 9 7 4" xfId="3114" xr:uid="{00000000-0005-0000-0000-0000E60D0000}"/>
    <cellStyle name="Normal 9 7_AGL" xfId="3115" xr:uid="{00000000-0005-0000-0000-0000E70D0000}"/>
    <cellStyle name="Normal 9 8" xfId="3116" xr:uid="{00000000-0005-0000-0000-0000E80D0000}"/>
    <cellStyle name="Normal 9 8 2" xfId="3117" xr:uid="{00000000-0005-0000-0000-0000E90D0000}"/>
    <cellStyle name="Normal 9 9" xfId="3118" xr:uid="{00000000-0005-0000-0000-0000EA0D0000}"/>
    <cellStyle name="Normal 9 9 2" xfId="3119" xr:uid="{00000000-0005-0000-0000-0000EB0D0000}"/>
    <cellStyle name="Normal 9_AGL" xfId="3120" xr:uid="{00000000-0005-0000-0000-0000EC0D0000}"/>
    <cellStyle name="Normal GHG-Shade" xfId="42" xr:uid="{00000000-0005-0000-0000-0000ED0D0000}"/>
    <cellStyle name="normálne_CRFReport-template" xfId="43" xr:uid="{00000000-0005-0000-0000-0000EE0D0000}"/>
    <cellStyle name="Note" xfId="44" builtinId="10"/>
    <cellStyle name="Note 10" xfId="3121" xr:uid="{00000000-0005-0000-0000-0000F00D0000}"/>
    <cellStyle name="Note 10 2" xfId="3122" xr:uid="{00000000-0005-0000-0000-0000F10D0000}"/>
    <cellStyle name="Note 10 2 2" xfId="3123" xr:uid="{00000000-0005-0000-0000-0000F20D0000}"/>
    <cellStyle name="Note 10 2_Sheet10" xfId="3124" xr:uid="{00000000-0005-0000-0000-0000F30D0000}"/>
    <cellStyle name="Note 10 3" xfId="3125" xr:uid="{00000000-0005-0000-0000-0000F40D0000}"/>
    <cellStyle name="Note 10 3 2" xfId="3126" xr:uid="{00000000-0005-0000-0000-0000F50D0000}"/>
    <cellStyle name="Note 10 4" xfId="3127" xr:uid="{00000000-0005-0000-0000-0000F60D0000}"/>
    <cellStyle name="Note 10_AGL" xfId="3128" xr:uid="{00000000-0005-0000-0000-0000F70D0000}"/>
    <cellStyle name="Note 11" xfId="3129" xr:uid="{00000000-0005-0000-0000-0000F80D0000}"/>
    <cellStyle name="Note 2" xfId="3130" xr:uid="{00000000-0005-0000-0000-0000F90D0000}"/>
    <cellStyle name="Note 2 2" xfId="3131" xr:uid="{00000000-0005-0000-0000-0000FA0D0000}"/>
    <cellStyle name="Note 2 2 2" xfId="3132" xr:uid="{00000000-0005-0000-0000-0000FB0D0000}"/>
    <cellStyle name="Note 2 2 2 2" xfId="3133" xr:uid="{00000000-0005-0000-0000-0000FC0D0000}"/>
    <cellStyle name="Note 2 2 2 2 2" xfId="4359" xr:uid="{00000000-0005-0000-0000-0000FD0D0000}"/>
    <cellStyle name="Note 2 2 2 3" xfId="4358" xr:uid="{00000000-0005-0000-0000-0000FE0D0000}"/>
    <cellStyle name="Note 2 2 2_Sheet10" xfId="3134" xr:uid="{00000000-0005-0000-0000-0000FF0D0000}"/>
    <cellStyle name="Note 2 2 3" xfId="3135" xr:uid="{00000000-0005-0000-0000-0000000E0000}"/>
    <cellStyle name="Note 2 2 3 2" xfId="4360" xr:uid="{00000000-0005-0000-0000-0000010E0000}"/>
    <cellStyle name="Note 2 2_AGL" xfId="3136" xr:uid="{00000000-0005-0000-0000-0000020E0000}"/>
    <cellStyle name="Note 2 3" xfId="3137" xr:uid="{00000000-0005-0000-0000-0000030E0000}"/>
    <cellStyle name="Note 2 3 2" xfId="3138" xr:uid="{00000000-0005-0000-0000-0000040E0000}"/>
    <cellStyle name="Note 2 3 2 2" xfId="3139" xr:uid="{00000000-0005-0000-0000-0000050E0000}"/>
    <cellStyle name="Note 2 3 2 2 2" xfId="4362" xr:uid="{00000000-0005-0000-0000-0000060E0000}"/>
    <cellStyle name="Note 2 3 2 3" xfId="4361" xr:uid="{00000000-0005-0000-0000-0000070E0000}"/>
    <cellStyle name="Note 2 3 2_Sheet10" xfId="3140" xr:uid="{00000000-0005-0000-0000-0000080E0000}"/>
    <cellStyle name="Note 2 3 3" xfId="3141" xr:uid="{00000000-0005-0000-0000-0000090E0000}"/>
    <cellStyle name="Note 2 3 3 2" xfId="4363" xr:uid="{00000000-0005-0000-0000-00000A0E0000}"/>
    <cellStyle name="Note 2 3_AGL" xfId="3142" xr:uid="{00000000-0005-0000-0000-00000B0E0000}"/>
    <cellStyle name="Note 2 4" xfId="3143" xr:uid="{00000000-0005-0000-0000-00000C0E0000}"/>
    <cellStyle name="Note 2 4 2" xfId="3144" xr:uid="{00000000-0005-0000-0000-00000D0E0000}"/>
    <cellStyle name="Note 2 4 2 2" xfId="3145" xr:uid="{00000000-0005-0000-0000-00000E0E0000}"/>
    <cellStyle name="Note 2 4 2 2 2" xfId="4365" xr:uid="{00000000-0005-0000-0000-00000F0E0000}"/>
    <cellStyle name="Note 2 4 2 3" xfId="4364" xr:uid="{00000000-0005-0000-0000-0000100E0000}"/>
    <cellStyle name="Note 2 4 2_Sheet10" xfId="3146" xr:uid="{00000000-0005-0000-0000-0000110E0000}"/>
    <cellStyle name="Note 2 4 3" xfId="3147" xr:uid="{00000000-0005-0000-0000-0000120E0000}"/>
    <cellStyle name="Note 2 4 3 2" xfId="4366" xr:uid="{00000000-0005-0000-0000-0000130E0000}"/>
    <cellStyle name="Note 2 4_AGL" xfId="3148" xr:uid="{00000000-0005-0000-0000-0000140E0000}"/>
    <cellStyle name="Note 2 5" xfId="3149" xr:uid="{00000000-0005-0000-0000-0000150E0000}"/>
    <cellStyle name="Note 2 5 2" xfId="3150" xr:uid="{00000000-0005-0000-0000-0000160E0000}"/>
    <cellStyle name="Note 2 5 2 2" xfId="4368" xr:uid="{00000000-0005-0000-0000-0000170E0000}"/>
    <cellStyle name="Note 2 5 3" xfId="4367" xr:uid="{00000000-0005-0000-0000-0000180E0000}"/>
    <cellStyle name="Note 2 5_Sheet10" xfId="3151" xr:uid="{00000000-0005-0000-0000-0000190E0000}"/>
    <cellStyle name="Note 2 6" xfId="3152" xr:uid="{00000000-0005-0000-0000-00001A0E0000}"/>
    <cellStyle name="Note 2 6 2" xfId="4369" xr:uid="{00000000-0005-0000-0000-00001B0E0000}"/>
    <cellStyle name="Note 2_AGL" xfId="3153" xr:uid="{00000000-0005-0000-0000-00001C0E0000}"/>
    <cellStyle name="Note 3" xfId="3154" xr:uid="{00000000-0005-0000-0000-00001D0E0000}"/>
    <cellStyle name="Note 3 2" xfId="3155" xr:uid="{00000000-0005-0000-0000-00001E0E0000}"/>
    <cellStyle name="Note 3 2 2" xfId="3156" xr:uid="{00000000-0005-0000-0000-00001F0E0000}"/>
    <cellStyle name="Note 3 2 2 2" xfId="3157" xr:uid="{00000000-0005-0000-0000-0000200E0000}"/>
    <cellStyle name="Note 3 2 2 2 2" xfId="4371" xr:uid="{00000000-0005-0000-0000-0000210E0000}"/>
    <cellStyle name="Note 3 2 2 3" xfId="4370" xr:uid="{00000000-0005-0000-0000-0000220E0000}"/>
    <cellStyle name="Note 3 2 2_Sheet10" xfId="3158" xr:uid="{00000000-0005-0000-0000-0000230E0000}"/>
    <cellStyle name="Note 3 2 3" xfId="3159" xr:uid="{00000000-0005-0000-0000-0000240E0000}"/>
    <cellStyle name="Note 3 2 3 2" xfId="4372" xr:uid="{00000000-0005-0000-0000-0000250E0000}"/>
    <cellStyle name="Note 3 2_AGL" xfId="3160" xr:uid="{00000000-0005-0000-0000-0000260E0000}"/>
    <cellStyle name="Note 3 3" xfId="3161" xr:uid="{00000000-0005-0000-0000-0000270E0000}"/>
    <cellStyle name="Note 3 3 2" xfId="3162" xr:uid="{00000000-0005-0000-0000-0000280E0000}"/>
    <cellStyle name="Note 3 3 2 2" xfId="4374" xr:uid="{00000000-0005-0000-0000-0000290E0000}"/>
    <cellStyle name="Note 3 3 3" xfId="4373" xr:uid="{00000000-0005-0000-0000-00002A0E0000}"/>
    <cellStyle name="Note 3 3_Sheet10" xfId="3163" xr:uid="{00000000-0005-0000-0000-00002B0E0000}"/>
    <cellStyle name="Note 3 4" xfId="3164" xr:uid="{00000000-0005-0000-0000-00002C0E0000}"/>
    <cellStyle name="Note 3 4 2" xfId="4375" xr:uid="{00000000-0005-0000-0000-00002D0E0000}"/>
    <cellStyle name="Note 3_AGL" xfId="3165" xr:uid="{00000000-0005-0000-0000-00002E0E0000}"/>
    <cellStyle name="Note 4" xfId="3166" xr:uid="{00000000-0005-0000-0000-00002F0E0000}"/>
    <cellStyle name="Note 4 2" xfId="3167" xr:uid="{00000000-0005-0000-0000-0000300E0000}"/>
    <cellStyle name="Note 4 2 2" xfId="3168" xr:uid="{00000000-0005-0000-0000-0000310E0000}"/>
    <cellStyle name="Note 4 2 2 2" xfId="3169" xr:uid="{00000000-0005-0000-0000-0000320E0000}"/>
    <cellStyle name="Note 4 2 2 2 2" xfId="4377" xr:uid="{00000000-0005-0000-0000-0000330E0000}"/>
    <cellStyle name="Note 4 2 2 3" xfId="4376" xr:uid="{00000000-0005-0000-0000-0000340E0000}"/>
    <cellStyle name="Note 4 2 2_Sheet10" xfId="3170" xr:uid="{00000000-0005-0000-0000-0000350E0000}"/>
    <cellStyle name="Note 4 2 3" xfId="3171" xr:uid="{00000000-0005-0000-0000-0000360E0000}"/>
    <cellStyle name="Note 4 2 3 2" xfId="4378" xr:uid="{00000000-0005-0000-0000-0000370E0000}"/>
    <cellStyle name="Note 4 2_AGL" xfId="3172" xr:uid="{00000000-0005-0000-0000-0000380E0000}"/>
    <cellStyle name="Note 4 3" xfId="3173" xr:uid="{00000000-0005-0000-0000-0000390E0000}"/>
    <cellStyle name="Note 4 3 2" xfId="3174" xr:uid="{00000000-0005-0000-0000-00003A0E0000}"/>
    <cellStyle name="Note 4 3 2 2" xfId="4380" xr:uid="{00000000-0005-0000-0000-00003B0E0000}"/>
    <cellStyle name="Note 4 3 3" xfId="4379" xr:uid="{00000000-0005-0000-0000-00003C0E0000}"/>
    <cellStyle name="Note 4 3_Sheet10" xfId="3175" xr:uid="{00000000-0005-0000-0000-00003D0E0000}"/>
    <cellStyle name="Note 4 4" xfId="3176" xr:uid="{00000000-0005-0000-0000-00003E0E0000}"/>
    <cellStyle name="Note 4 4 2" xfId="4381" xr:uid="{00000000-0005-0000-0000-00003F0E0000}"/>
    <cellStyle name="Note 4_AGL" xfId="3177" xr:uid="{00000000-0005-0000-0000-0000400E0000}"/>
    <cellStyle name="Note 5" xfId="3178" xr:uid="{00000000-0005-0000-0000-0000410E0000}"/>
    <cellStyle name="Note 5 2" xfId="3179" xr:uid="{00000000-0005-0000-0000-0000420E0000}"/>
    <cellStyle name="Note 5 2 2" xfId="3180" xr:uid="{00000000-0005-0000-0000-0000430E0000}"/>
    <cellStyle name="Note 5 2 2 2" xfId="3181" xr:uid="{00000000-0005-0000-0000-0000440E0000}"/>
    <cellStyle name="Note 5 2 2_Sheet10" xfId="3182" xr:uid="{00000000-0005-0000-0000-0000450E0000}"/>
    <cellStyle name="Note 5 2 3" xfId="3183" xr:uid="{00000000-0005-0000-0000-0000460E0000}"/>
    <cellStyle name="Note 5 2 3 2" xfId="3184" xr:uid="{00000000-0005-0000-0000-0000470E0000}"/>
    <cellStyle name="Note 5 2 4" xfId="3185" xr:uid="{00000000-0005-0000-0000-0000480E0000}"/>
    <cellStyle name="Note 5 2_AGL" xfId="3186" xr:uid="{00000000-0005-0000-0000-0000490E0000}"/>
    <cellStyle name="Note 5 3" xfId="3187" xr:uid="{00000000-0005-0000-0000-00004A0E0000}"/>
    <cellStyle name="Note 5 3 2" xfId="3188" xr:uid="{00000000-0005-0000-0000-00004B0E0000}"/>
    <cellStyle name="Note 5 3 2 2" xfId="3189" xr:uid="{00000000-0005-0000-0000-00004C0E0000}"/>
    <cellStyle name="Note 5 3 2_Sheet10" xfId="3190" xr:uid="{00000000-0005-0000-0000-00004D0E0000}"/>
    <cellStyle name="Note 5 3 3" xfId="3191" xr:uid="{00000000-0005-0000-0000-00004E0E0000}"/>
    <cellStyle name="Note 5 3 3 2" xfId="3192" xr:uid="{00000000-0005-0000-0000-00004F0E0000}"/>
    <cellStyle name="Note 5 3 4" xfId="3193" xr:uid="{00000000-0005-0000-0000-0000500E0000}"/>
    <cellStyle name="Note 5 3_AGL" xfId="3194" xr:uid="{00000000-0005-0000-0000-0000510E0000}"/>
    <cellStyle name="Note 5 4" xfId="3195" xr:uid="{00000000-0005-0000-0000-0000520E0000}"/>
    <cellStyle name="Note 5 4 2" xfId="3196" xr:uid="{00000000-0005-0000-0000-0000530E0000}"/>
    <cellStyle name="Note 5 4 2 2" xfId="3197" xr:uid="{00000000-0005-0000-0000-0000540E0000}"/>
    <cellStyle name="Note 5 4 2_Sheet10" xfId="3198" xr:uid="{00000000-0005-0000-0000-0000550E0000}"/>
    <cellStyle name="Note 5 4 3" xfId="3199" xr:uid="{00000000-0005-0000-0000-0000560E0000}"/>
    <cellStyle name="Note 5 4 3 2" xfId="3200" xr:uid="{00000000-0005-0000-0000-0000570E0000}"/>
    <cellStyle name="Note 5 4 4" xfId="3201" xr:uid="{00000000-0005-0000-0000-0000580E0000}"/>
    <cellStyle name="Note 5 4_AGL" xfId="3202" xr:uid="{00000000-0005-0000-0000-0000590E0000}"/>
    <cellStyle name="Note 5 5" xfId="3203" xr:uid="{00000000-0005-0000-0000-00005A0E0000}"/>
    <cellStyle name="Note 5 5 2" xfId="3204" xr:uid="{00000000-0005-0000-0000-00005B0E0000}"/>
    <cellStyle name="Note 5 5 2 2" xfId="3205" xr:uid="{00000000-0005-0000-0000-00005C0E0000}"/>
    <cellStyle name="Note 5 5 2 2 2" xfId="3206" xr:uid="{00000000-0005-0000-0000-00005D0E0000}"/>
    <cellStyle name="Note 5 5 2 2_Sheet10" xfId="3207" xr:uid="{00000000-0005-0000-0000-00005E0E0000}"/>
    <cellStyle name="Note 5 5 2 3" xfId="3208" xr:uid="{00000000-0005-0000-0000-00005F0E0000}"/>
    <cellStyle name="Note 5 5 2 3 2" xfId="3209" xr:uid="{00000000-0005-0000-0000-0000600E0000}"/>
    <cellStyle name="Note 5 5 2 4" xfId="3210" xr:uid="{00000000-0005-0000-0000-0000610E0000}"/>
    <cellStyle name="Note 5 5 2_AGL" xfId="3211" xr:uid="{00000000-0005-0000-0000-0000620E0000}"/>
    <cellStyle name="Note 5 5 3" xfId="3212" xr:uid="{00000000-0005-0000-0000-0000630E0000}"/>
    <cellStyle name="Note 5 5 3 2" xfId="3213" xr:uid="{00000000-0005-0000-0000-0000640E0000}"/>
    <cellStyle name="Note 5 5 3 2 2" xfId="3214" xr:uid="{00000000-0005-0000-0000-0000650E0000}"/>
    <cellStyle name="Note 5 5 3 2_Sheet10" xfId="3215" xr:uid="{00000000-0005-0000-0000-0000660E0000}"/>
    <cellStyle name="Note 5 5 3 3" xfId="3216" xr:uid="{00000000-0005-0000-0000-0000670E0000}"/>
    <cellStyle name="Note 5 5 3 3 2" xfId="3217" xr:uid="{00000000-0005-0000-0000-0000680E0000}"/>
    <cellStyle name="Note 5 5 3 4" xfId="3218" xr:uid="{00000000-0005-0000-0000-0000690E0000}"/>
    <cellStyle name="Note 5 5 3_AGL" xfId="3219" xr:uid="{00000000-0005-0000-0000-00006A0E0000}"/>
    <cellStyle name="Note 5 5 4" xfId="3220" xr:uid="{00000000-0005-0000-0000-00006B0E0000}"/>
    <cellStyle name="Note 5 5 4 2" xfId="3221" xr:uid="{00000000-0005-0000-0000-00006C0E0000}"/>
    <cellStyle name="Note 5 5 4_Sheet10" xfId="3222" xr:uid="{00000000-0005-0000-0000-00006D0E0000}"/>
    <cellStyle name="Note 5 5 5" xfId="3223" xr:uid="{00000000-0005-0000-0000-00006E0E0000}"/>
    <cellStyle name="Note 5 5 5 2" xfId="3224" xr:uid="{00000000-0005-0000-0000-00006F0E0000}"/>
    <cellStyle name="Note 5 5 6" xfId="3225" xr:uid="{00000000-0005-0000-0000-0000700E0000}"/>
    <cellStyle name="Note 5 5_AGL" xfId="3226" xr:uid="{00000000-0005-0000-0000-0000710E0000}"/>
    <cellStyle name="Note 5 6" xfId="3227" xr:uid="{00000000-0005-0000-0000-0000720E0000}"/>
    <cellStyle name="Note 5 6 2" xfId="3228" xr:uid="{00000000-0005-0000-0000-0000730E0000}"/>
    <cellStyle name="Note 5 6_Sheet10" xfId="3229" xr:uid="{00000000-0005-0000-0000-0000740E0000}"/>
    <cellStyle name="Note 5 7" xfId="3230" xr:uid="{00000000-0005-0000-0000-0000750E0000}"/>
    <cellStyle name="Note 5 7 2" xfId="3231" xr:uid="{00000000-0005-0000-0000-0000760E0000}"/>
    <cellStyle name="Note 5 8" xfId="3232" xr:uid="{00000000-0005-0000-0000-0000770E0000}"/>
    <cellStyle name="Note 5_AGL" xfId="3233" xr:uid="{00000000-0005-0000-0000-0000780E0000}"/>
    <cellStyle name="Note 6" xfId="3234" xr:uid="{00000000-0005-0000-0000-0000790E0000}"/>
    <cellStyle name="Note 6 2" xfId="3235" xr:uid="{00000000-0005-0000-0000-00007A0E0000}"/>
    <cellStyle name="Note 6 2 2" xfId="3236" xr:uid="{00000000-0005-0000-0000-00007B0E0000}"/>
    <cellStyle name="Note 6 2 2 2" xfId="3237" xr:uid="{00000000-0005-0000-0000-00007C0E0000}"/>
    <cellStyle name="Note 6 2 2_Sheet10" xfId="3238" xr:uid="{00000000-0005-0000-0000-00007D0E0000}"/>
    <cellStyle name="Note 6 2 3" xfId="3239" xr:uid="{00000000-0005-0000-0000-00007E0E0000}"/>
    <cellStyle name="Note 6 2 3 2" xfId="3240" xr:uid="{00000000-0005-0000-0000-00007F0E0000}"/>
    <cellStyle name="Note 6 2 4" xfId="3241" xr:uid="{00000000-0005-0000-0000-0000800E0000}"/>
    <cellStyle name="Note 6 2_AGL" xfId="3242" xr:uid="{00000000-0005-0000-0000-0000810E0000}"/>
    <cellStyle name="Note 6 3" xfId="3243" xr:uid="{00000000-0005-0000-0000-0000820E0000}"/>
    <cellStyle name="Note 6 3 2" xfId="3244" xr:uid="{00000000-0005-0000-0000-0000830E0000}"/>
    <cellStyle name="Note 6 3 2 2" xfId="3245" xr:uid="{00000000-0005-0000-0000-0000840E0000}"/>
    <cellStyle name="Note 6 3 2_Sheet10" xfId="3246" xr:uid="{00000000-0005-0000-0000-0000850E0000}"/>
    <cellStyle name="Note 6 3 3" xfId="3247" xr:uid="{00000000-0005-0000-0000-0000860E0000}"/>
    <cellStyle name="Note 6 3 3 2" xfId="3248" xr:uid="{00000000-0005-0000-0000-0000870E0000}"/>
    <cellStyle name="Note 6 3 4" xfId="3249" xr:uid="{00000000-0005-0000-0000-0000880E0000}"/>
    <cellStyle name="Note 6 3_AGL" xfId="3250" xr:uid="{00000000-0005-0000-0000-0000890E0000}"/>
    <cellStyle name="Note 6 4" xfId="3251" xr:uid="{00000000-0005-0000-0000-00008A0E0000}"/>
    <cellStyle name="Note 6 4 2" xfId="3252" xr:uid="{00000000-0005-0000-0000-00008B0E0000}"/>
    <cellStyle name="Note 6 4 2 2" xfId="3253" xr:uid="{00000000-0005-0000-0000-00008C0E0000}"/>
    <cellStyle name="Note 6 4 2_Sheet10" xfId="3254" xr:uid="{00000000-0005-0000-0000-00008D0E0000}"/>
    <cellStyle name="Note 6 4 3" xfId="3255" xr:uid="{00000000-0005-0000-0000-00008E0E0000}"/>
    <cellStyle name="Note 6 4 3 2" xfId="3256" xr:uid="{00000000-0005-0000-0000-00008F0E0000}"/>
    <cellStyle name="Note 6 4 4" xfId="3257" xr:uid="{00000000-0005-0000-0000-0000900E0000}"/>
    <cellStyle name="Note 6 4_AGL" xfId="3258" xr:uid="{00000000-0005-0000-0000-0000910E0000}"/>
    <cellStyle name="Note 6 5" xfId="3259" xr:uid="{00000000-0005-0000-0000-0000920E0000}"/>
    <cellStyle name="Note 6 5 2" xfId="3260" xr:uid="{00000000-0005-0000-0000-0000930E0000}"/>
    <cellStyle name="Note 6 5_Sheet10" xfId="3261" xr:uid="{00000000-0005-0000-0000-0000940E0000}"/>
    <cellStyle name="Note 6 6" xfId="3262" xr:uid="{00000000-0005-0000-0000-0000950E0000}"/>
    <cellStyle name="Note 6 6 2" xfId="3263" xr:uid="{00000000-0005-0000-0000-0000960E0000}"/>
    <cellStyle name="Note 6 7" xfId="3264" xr:uid="{00000000-0005-0000-0000-0000970E0000}"/>
    <cellStyle name="Note 6_AGL" xfId="3265" xr:uid="{00000000-0005-0000-0000-0000980E0000}"/>
    <cellStyle name="Note 7" xfId="3266" xr:uid="{00000000-0005-0000-0000-0000990E0000}"/>
    <cellStyle name="Note 7 2" xfId="3267" xr:uid="{00000000-0005-0000-0000-00009A0E0000}"/>
    <cellStyle name="Note 7 2 2" xfId="3268" xr:uid="{00000000-0005-0000-0000-00009B0E0000}"/>
    <cellStyle name="Note 7 2 2 2" xfId="3269" xr:uid="{00000000-0005-0000-0000-00009C0E0000}"/>
    <cellStyle name="Note 7 2 2_Sheet10" xfId="3270" xr:uid="{00000000-0005-0000-0000-00009D0E0000}"/>
    <cellStyle name="Note 7 2 3" xfId="3271" xr:uid="{00000000-0005-0000-0000-00009E0E0000}"/>
    <cellStyle name="Note 7 2 3 2" xfId="3272" xr:uid="{00000000-0005-0000-0000-00009F0E0000}"/>
    <cellStyle name="Note 7 2 4" xfId="3273" xr:uid="{00000000-0005-0000-0000-0000A00E0000}"/>
    <cellStyle name="Note 7 2_AGL" xfId="3274" xr:uid="{00000000-0005-0000-0000-0000A10E0000}"/>
    <cellStyle name="Note 7 3" xfId="3275" xr:uid="{00000000-0005-0000-0000-0000A20E0000}"/>
    <cellStyle name="Note 7 3 2" xfId="3276" xr:uid="{00000000-0005-0000-0000-0000A30E0000}"/>
    <cellStyle name="Note 7 3_Sheet10" xfId="3277" xr:uid="{00000000-0005-0000-0000-0000A40E0000}"/>
    <cellStyle name="Note 7 4" xfId="3278" xr:uid="{00000000-0005-0000-0000-0000A50E0000}"/>
    <cellStyle name="Note 7 4 2" xfId="3279" xr:uid="{00000000-0005-0000-0000-0000A60E0000}"/>
    <cellStyle name="Note 7 5" xfId="3280" xr:uid="{00000000-0005-0000-0000-0000A70E0000}"/>
    <cellStyle name="Note 7_AGL" xfId="3281" xr:uid="{00000000-0005-0000-0000-0000A80E0000}"/>
    <cellStyle name="Note 8" xfId="3282" xr:uid="{00000000-0005-0000-0000-0000A90E0000}"/>
    <cellStyle name="Note 8 10" xfId="3283" xr:uid="{00000000-0005-0000-0000-0000AA0E0000}"/>
    <cellStyle name="Note 8 2" xfId="3284" xr:uid="{00000000-0005-0000-0000-0000AB0E0000}"/>
    <cellStyle name="Note 8 2 2" xfId="3285" xr:uid="{00000000-0005-0000-0000-0000AC0E0000}"/>
    <cellStyle name="Note 8 2 2 2" xfId="3286" xr:uid="{00000000-0005-0000-0000-0000AD0E0000}"/>
    <cellStyle name="Note 8 2 2_Sheet10" xfId="3287" xr:uid="{00000000-0005-0000-0000-0000AE0E0000}"/>
    <cellStyle name="Note 8 2 3" xfId="3288" xr:uid="{00000000-0005-0000-0000-0000AF0E0000}"/>
    <cellStyle name="Note 8 2 3 2" xfId="3289" xr:uid="{00000000-0005-0000-0000-0000B00E0000}"/>
    <cellStyle name="Note 8 2 4" xfId="3290" xr:uid="{00000000-0005-0000-0000-0000B10E0000}"/>
    <cellStyle name="Note 8 2_AGL" xfId="3291" xr:uid="{00000000-0005-0000-0000-0000B20E0000}"/>
    <cellStyle name="Note 8 3" xfId="3292" xr:uid="{00000000-0005-0000-0000-0000B30E0000}"/>
    <cellStyle name="Note 8 3 2" xfId="3293" xr:uid="{00000000-0005-0000-0000-0000B40E0000}"/>
    <cellStyle name="Note 8 3 2 2" xfId="3294" xr:uid="{00000000-0005-0000-0000-0000B50E0000}"/>
    <cellStyle name="Note 8 3 2_Sheet10" xfId="3295" xr:uid="{00000000-0005-0000-0000-0000B60E0000}"/>
    <cellStyle name="Note 8 3 3" xfId="3296" xr:uid="{00000000-0005-0000-0000-0000B70E0000}"/>
    <cellStyle name="Note 8 3 3 2" xfId="3297" xr:uid="{00000000-0005-0000-0000-0000B80E0000}"/>
    <cellStyle name="Note 8 3 4" xfId="3298" xr:uid="{00000000-0005-0000-0000-0000B90E0000}"/>
    <cellStyle name="Note 8 3_AGL" xfId="3299" xr:uid="{00000000-0005-0000-0000-0000BA0E0000}"/>
    <cellStyle name="Note 8 4" xfId="3300" xr:uid="{00000000-0005-0000-0000-0000BB0E0000}"/>
    <cellStyle name="Note 8 4 2" xfId="3301" xr:uid="{00000000-0005-0000-0000-0000BC0E0000}"/>
    <cellStyle name="Note 8 4 2 2" xfId="3302" xr:uid="{00000000-0005-0000-0000-0000BD0E0000}"/>
    <cellStyle name="Note 8 4 2_Sheet10" xfId="3303" xr:uid="{00000000-0005-0000-0000-0000BE0E0000}"/>
    <cellStyle name="Note 8 4 3" xfId="3304" xr:uid="{00000000-0005-0000-0000-0000BF0E0000}"/>
    <cellStyle name="Note 8 4 3 2" xfId="3305" xr:uid="{00000000-0005-0000-0000-0000C00E0000}"/>
    <cellStyle name="Note 8 4 4" xfId="3306" xr:uid="{00000000-0005-0000-0000-0000C10E0000}"/>
    <cellStyle name="Note 8 4_AGL" xfId="3307" xr:uid="{00000000-0005-0000-0000-0000C20E0000}"/>
    <cellStyle name="Note 8 5" xfId="3308" xr:uid="{00000000-0005-0000-0000-0000C30E0000}"/>
    <cellStyle name="Note 8 5 2" xfId="3309" xr:uid="{00000000-0005-0000-0000-0000C40E0000}"/>
    <cellStyle name="Note 8 5 2 2" xfId="3310" xr:uid="{00000000-0005-0000-0000-0000C50E0000}"/>
    <cellStyle name="Note 8 5 2_Sheet10" xfId="3311" xr:uid="{00000000-0005-0000-0000-0000C60E0000}"/>
    <cellStyle name="Note 8 5 3" xfId="3312" xr:uid="{00000000-0005-0000-0000-0000C70E0000}"/>
    <cellStyle name="Note 8 5 3 2" xfId="3313" xr:uid="{00000000-0005-0000-0000-0000C80E0000}"/>
    <cellStyle name="Note 8 5 4" xfId="3314" xr:uid="{00000000-0005-0000-0000-0000C90E0000}"/>
    <cellStyle name="Note 8 5_AGL" xfId="3315" xr:uid="{00000000-0005-0000-0000-0000CA0E0000}"/>
    <cellStyle name="Note 8 6" xfId="3316" xr:uid="{00000000-0005-0000-0000-0000CB0E0000}"/>
    <cellStyle name="Note 8 6 2" xfId="3317" xr:uid="{00000000-0005-0000-0000-0000CC0E0000}"/>
    <cellStyle name="Note 8 6 2 2" xfId="3318" xr:uid="{00000000-0005-0000-0000-0000CD0E0000}"/>
    <cellStyle name="Note 8 6 2_Sheet10" xfId="3319" xr:uid="{00000000-0005-0000-0000-0000CE0E0000}"/>
    <cellStyle name="Note 8 6 3" xfId="3320" xr:uid="{00000000-0005-0000-0000-0000CF0E0000}"/>
    <cellStyle name="Note 8 6 3 2" xfId="3321" xr:uid="{00000000-0005-0000-0000-0000D00E0000}"/>
    <cellStyle name="Note 8 6 4" xfId="3322" xr:uid="{00000000-0005-0000-0000-0000D10E0000}"/>
    <cellStyle name="Note 8 6_AGL" xfId="3323" xr:uid="{00000000-0005-0000-0000-0000D20E0000}"/>
    <cellStyle name="Note 8 7" xfId="3324" xr:uid="{00000000-0005-0000-0000-0000D30E0000}"/>
    <cellStyle name="Note 8 7 2" xfId="3325" xr:uid="{00000000-0005-0000-0000-0000D40E0000}"/>
    <cellStyle name="Note 8 7 2 2" xfId="3326" xr:uid="{00000000-0005-0000-0000-0000D50E0000}"/>
    <cellStyle name="Note 8 7 2_Sheet10" xfId="3327" xr:uid="{00000000-0005-0000-0000-0000D60E0000}"/>
    <cellStyle name="Note 8 7 3" xfId="3328" xr:uid="{00000000-0005-0000-0000-0000D70E0000}"/>
    <cellStyle name="Note 8 7 3 2" xfId="3329" xr:uid="{00000000-0005-0000-0000-0000D80E0000}"/>
    <cellStyle name="Note 8 7 4" xfId="3330" xr:uid="{00000000-0005-0000-0000-0000D90E0000}"/>
    <cellStyle name="Note 8 7_AGL" xfId="3331" xr:uid="{00000000-0005-0000-0000-0000DA0E0000}"/>
    <cellStyle name="Note 8 8" xfId="3332" xr:uid="{00000000-0005-0000-0000-0000DB0E0000}"/>
    <cellStyle name="Note 8 8 2" xfId="3333" xr:uid="{00000000-0005-0000-0000-0000DC0E0000}"/>
    <cellStyle name="Note 8 8_Sheet10" xfId="3334" xr:uid="{00000000-0005-0000-0000-0000DD0E0000}"/>
    <cellStyle name="Note 8 9" xfId="3335" xr:uid="{00000000-0005-0000-0000-0000DE0E0000}"/>
    <cellStyle name="Note 8 9 2" xfId="3336" xr:uid="{00000000-0005-0000-0000-0000DF0E0000}"/>
    <cellStyle name="Note 8_AGL" xfId="3337" xr:uid="{00000000-0005-0000-0000-0000E00E0000}"/>
    <cellStyle name="Note 9" xfId="3338" xr:uid="{00000000-0005-0000-0000-0000E10E0000}"/>
    <cellStyle name="Note 9 2" xfId="3339" xr:uid="{00000000-0005-0000-0000-0000E20E0000}"/>
    <cellStyle name="Note 9 2 2" xfId="3340" xr:uid="{00000000-0005-0000-0000-0000E30E0000}"/>
    <cellStyle name="Note 9 2_Sheet10" xfId="3341" xr:uid="{00000000-0005-0000-0000-0000E40E0000}"/>
    <cellStyle name="Note 9 3" xfId="3342" xr:uid="{00000000-0005-0000-0000-0000E50E0000}"/>
    <cellStyle name="Note 9 3 2" xfId="3343" xr:uid="{00000000-0005-0000-0000-0000E60E0000}"/>
    <cellStyle name="Note 9 4" xfId="3344" xr:uid="{00000000-0005-0000-0000-0000E70E0000}"/>
    <cellStyle name="Note 9_AGL" xfId="3345" xr:uid="{00000000-0005-0000-0000-0000E80E0000}"/>
    <cellStyle name="ofwhich" xfId="3346" xr:uid="{00000000-0005-0000-0000-0000E90E0000}"/>
    <cellStyle name="ofwhich 2" xfId="3347" xr:uid="{00000000-0005-0000-0000-0000EA0E0000}"/>
    <cellStyle name="ofwhich 2 2" xfId="3348" xr:uid="{00000000-0005-0000-0000-0000EB0E0000}"/>
    <cellStyle name="ofwhich 3" xfId="3349" xr:uid="{00000000-0005-0000-0000-0000EC0E0000}"/>
    <cellStyle name="ofwhich 4" xfId="3350" xr:uid="{00000000-0005-0000-0000-0000ED0E0000}"/>
    <cellStyle name="ofwhich_AGL" xfId="3351" xr:uid="{00000000-0005-0000-0000-0000EE0E0000}"/>
    <cellStyle name="Output 2" xfId="3352" xr:uid="{00000000-0005-0000-0000-0000EF0E0000}"/>
    <cellStyle name="Output 2 2" xfId="3353" xr:uid="{00000000-0005-0000-0000-0000F00E0000}"/>
    <cellStyle name="Output 2 2 2" xfId="3354" xr:uid="{00000000-0005-0000-0000-0000F10E0000}"/>
    <cellStyle name="Output 2 2 2 2" xfId="3355" xr:uid="{00000000-0005-0000-0000-0000F20E0000}"/>
    <cellStyle name="Output 2 2 2 2 2" xfId="4383" xr:uid="{00000000-0005-0000-0000-0000F30E0000}"/>
    <cellStyle name="Output 2 2 2 3" xfId="4382" xr:uid="{00000000-0005-0000-0000-0000F40E0000}"/>
    <cellStyle name="Output 2 2 2_Sheet10" xfId="3356" xr:uid="{00000000-0005-0000-0000-0000F50E0000}"/>
    <cellStyle name="Output 2 2 3" xfId="3357" xr:uid="{00000000-0005-0000-0000-0000F60E0000}"/>
    <cellStyle name="Output 2 2 3 2" xfId="4384" xr:uid="{00000000-0005-0000-0000-0000F70E0000}"/>
    <cellStyle name="Output 2 2_AGL" xfId="3358" xr:uid="{00000000-0005-0000-0000-0000F80E0000}"/>
    <cellStyle name="Output 2 3" xfId="3359" xr:uid="{00000000-0005-0000-0000-0000F90E0000}"/>
    <cellStyle name="Output 2 3 2" xfId="3360" xr:uid="{00000000-0005-0000-0000-0000FA0E0000}"/>
    <cellStyle name="Output 2 3 2 2" xfId="4386" xr:uid="{00000000-0005-0000-0000-0000FB0E0000}"/>
    <cellStyle name="Output 2 3 3" xfId="4385" xr:uid="{00000000-0005-0000-0000-0000FC0E0000}"/>
    <cellStyle name="Output 2 3_Sheet10" xfId="3361" xr:uid="{00000000-0005-0000-0000-0000FD0E0000}"/>
    <cellStyle name="Output 2 4" xfId="3362" xr:uid="{00000000-0005-0000-0000-0000FE0E0000}"/>
    <cellStyle name="Output 2 4 2" xfId="4387" xr:uid="{00000000-0005-0000-0000-0000FF0E0000}"/>
    <cellStyle name="Output 2_AGL" xfId="3363" xr:uid="{00000000-0005-0000-0000-0000000F0000}"/>
    <cellStyle name="Output 3" xfId="3364" xr:uid="{00000000-0005-0000-0000-0000010F0000}"/>
    <cellStyle name="Output 3 2" xfId="3365" xr:uid="{00000000-0005-0000-0000-0000020F0000}"/>
    <cellStyle name="Output 3 2 2" xfId="3366" xr:uid="{00000000-0005-0000-0000-0000030F0000}"/>
    <cellStyle name="Output 3 2 2 2" xfId="4389" xr:uid="{00000000-0005-0000-0000-0000040F0000}"/>
    <cellStyle name="Output 3 2 3" xfId="4388" xr:uid="{00000000-0005-0000-0000-0000050F0000}"/>
    <cellStyle name="Output 3 2_Sheet10" xfId="3367" xr:uid="{00000000-0005-0000-0000-0000060F0000}"/>
    <cellStyle name="Output 3 3" xfId="3368" xr:uid="{00000000-0005-0000-0000-0000070F0000}"/>
    <cellStyle name="Output 3 3 2" xfId="4390" xr:uid="{00000000-0005-0000-0000-0000080F0000}"/>
    <cellStyle name="Output 3_AGL" xfId="3369" xr:uid="{00000000-0005-0000-0000-0000090F0000}"/>
    <cellStyle name="Output 4" xfId="3370" xr:uid="{00000000-0005-0000-0000-00000A0F0000}"/>
    <cellStyle name="Output 4 2" xfId="3371" xr:uid="{00000000-0005-0000-0000-00000B0F0000}"/>
    <cellStyle name="Output 4 2 2" xfId="4392" xr:uid="{00000000-0005-0000-0000-00000C0F0000}"/>
    <cellStyle name="Output 4 3" xfId="4391" xr:uid="{00000000-0005-0000-0000-00000D0F0000}"/>
    <cellStyle name="Output 4_Sheet10" xfId="3372" xr:uid="{00000000-0005-0000-0000-00000E0F0000}"/>
    <cellStyle name="Output 5" xfId="3373" xr:uid="{00000000-0005-0000-0000-00000F0F0000}"/>
    <cellStyle name="Output 5 2" xfId="4393" xr:uid="{00000000-0005-0000-0000-0000100F0000}"/>
    <cellStyle name="Percent" xfId="45" builtinId="5"/>
    <cellStyle name="Percent 10" xfId="63" xr:uid="{00000000-0005-0000-0000-0000120F0000}"/>
    <cellStyle name="Percent 10 2" xfId="3374" xr:uid="{00000000-0005-0000-0000-0000130F0000}"/>
    <cellStyle name="Percent 10 2 2" xfId="3375" xr:uid="{00000000-0005-0000-0000-0000140F0000}"/>
    <cellStyle name="Percent 10 2 2 2" xfId="3376" xr:uid="{00000000-0005-0000-0000-0000150F0000}"/>
    <cellStyle name="Percent 10 2 3" xfId="3377" xr:uid="{00000000-0005-0000-0000-0000160F0000}"/>
    <cellStyle name="Percent 10 2 3 2" xfId="3378" xr:uid="{00000000-0005-0000-0000-0000170F0000}"/>
    <cellStyle name="Percent 10 2 4" xfId="3379" xr:uid="{00000000-0005-0000-0000-0000180F0000}"/>
    <cellStyle name="Percent 10 3" xfId="3380" xr:uid="{00000000-0005-0000-0000-0000190F0000}"/>
    <cellStyle name="Percent 10 3 2" xfId="3381" xr:uid="{00000000-0005-0000-0000-00001A0F0000}"/>
    <cellStyle name="Percent 10 4" xfId="3382" xr:uid="{00000000-0005-0000-0000-00001B0F0000}"/>
    <cellStyle name="Percent 10 4 2" xfId="3383" xr:uid="{00000000-0005-0000-0000-00001C0F0000}"/>
    <cellStyle name="Percent 10 5" xfId="3384" xr:uid="{00000000-0005-0000-0000-00001D0F0000}"/>
    <cellStyle name="Percent 11" xfId="3385" xr:uid="{00000000-0005-0000-0000-00001E0F0000}"/>
    <cellStyle name="Percent 11 2" xfId="3386" xr:uid="{00000000-0005-0000-0000-00001F0F0000}"/>
    <cellStyle name="Percent 11 2 2" xfId="3387" xr:uid="{00000000-0005-0000-0000-0000200F0000}"/>
    <cellStyle name="Percent 11 2 2 2" xfId="3388" xr:uid="{00000000-0005-0000-0000-0000210F0000}"/>
    <cellStyle name="Percent 11 2 3" xfId="3389" xr:uid="{00000000-0005-0000-0000-0000220F0000}"/>
    <cellStyle name="Percent 11 2 3 2" xfId="3390" xr:uid="{00000000-0005-0000-0000-0000230F0000}"/>
    <cellStyle name="Percent 11 2 4" xfId="3391" xr:uid="{00000000-0005-0000-0000-0000240F0000}"/>
    <cellStyle name="Percent 11 3" xfId="3392" xr:uid="{00000000-0005-0000-0000-0000250F0000}"/>
    <cellStyle name="Percent 11 3 2" xfId="3393" xr:uid="{00000000-0005-0000-0000-0000260F0000}"/>
    <cellStyle name="Percent 11 4" xfId="3394" xr:uid="{00000000-0005-0000-0000-0000270F0000}"/>
    <cellStyle name="Percent 11 4 2" xfId="3395" xr:uid="{00000000-0005-0000-0000-0000280F0000}"/>
    <cellStyle name="Percent 11 5" xfId="3396" xr:uid="{00000000-0005-0000-0000-0000290F0000}"/>
    <cellStyle name="Percent 12" xfId="3397" xr:uid="{00000000-0005-0000-0000-00002A0F0000}"/>
    <cellStyle name="Percent 12 2" xfId="3398" xr:uid="{00000000-0005-0000-0000-00002B0F0000}"/>
    <cellStyle name="Percent 12 2 2" xfId="3399" xr:uid="{00000000-0005-0000-0000-00002C0F0000}"/>
    <cellStyle name="Percent 12 2 2 2" xfId="3400" xr:uid="{00000000-0005-0000-0000-00002D0F0000}"/>
    <cellStyle name="Percent 12 2 3" xfId="3401" xr:uid="{00000000-0005-0000-0000-00002E0F0000}"/>
    <cellStyle name="Percent 12 2 3 2" xfId="3402" xr:uid="{00000000-0005-0000-0000-00002F0F0000}"/>
    <cellStyle name="Percent 12 2 4" xfId="3403" xr:uid="{00000000-0005-0000-0000-0000300F0000}"/>
    <cellStyle name="Percent 12 3" xfId="3404" xr:uid="{00000000-0005-0000-0000-0000310F0000}"/>
    <cellStyle name="Percent 12 3 2" xfId="3405" xr:uid="{00000000-0005-0000-0000-0000320F0000}"/>
    <cellStyle name="Percent 12 3 2 2" xfId="3406" xr:uid="{00000000-0005-0000-0000-0000330F0000}"/>
    <cellStyle name="Percent 12 3 3" xfId="3407" xr:uid="{00000000-0005-0000-0000-0000340F0000}"/>
    <cellStyle name="Percent 12 3 3 2" xfId="3408" xr:uid="{00000000-0005-0000-0000-0000350F0000}"/>
    <cellStyle name="Percent 12 3 4" xfId="3409" xr:uid="{00000000-0005-0000-0000-0000360F0000}"/>
    <cellStyle name="Percent 12 4" xfId="3410" xr:uid="{00000000-0005-0000-0000-0000370F0000}"/>
    <cellStyle name="Percent 12 4 2" xfId="3411" xr:uid="{00000000-0005-0000-0000-0000380F0000}"/>
    <cellStyle name="Percent 12 4 2 2" xfId="3412" xr:uid="{00000000-0005-0000-0000-0000390F0000}"/>
    <cellStyle name="Percent 12 4 3" xfId="3413" xr:uid="{00000000-0005-0000-0000-00003A0F0000}"/>
    <cellStyle name="Percent 12 4 3 2" xfId="3414" xr:uid="{00000000-0005-0000-0000-00003B0F0000}"/>
    <cellStyle name="Percent 12 4 4" xfId="3415" xr:uid="{00000000-0005-0000-0000-00003C0F0000}"/>
    <cellStyle name="Percent 12 5" xfId="3416" xr:uid="{00000000-0005-0000-0000-00003D0F0000}"/>
    <cellStyle name="Percent 12 5 2" xfId="3417" xr:uid="{00000000-0005-0000-0000-00003E0F0000}"/>
    <cellStyle name="Percent 12 5 2 2" xfId="3418" xr:uid="{00000000-0005-0000-0000-00003F0F0000}"/>
    <cellStyle name="Percent 12 5 3" xfId="3419" xr:uid="{00000000-0005-0000-0000-0000400F0000}"/>
    <cellStyle name="Percent 12 5 3 2" xfId="3420" xr:uid="{00000000-0005-0000-0000-0000410F0000}"/>
    <cellStyle name="Percent 12 5 4" xfId="3421" xr:uid="{00000000-0005-0000-0000-0000420F0000}"/>
    <cellStyle name="Percent 12 6" xfId="3422" xr:uid="{00000000-0005-0000-0000-0000430F0000}"/>
    <cellStyle name="Percent 12 7" xfId="3423" xr:uid="{00000000-0005-0000-0000-0000440F0000}"/>
    <cellStyle name="Percent 13" xfId="3424" xr:uid="{00000000-0005-0000-0000-0000450F0000}"/>
    <cellStyle name="Percent 13 2" xfId="3425" xr:uid="{00000000-0005-0000-0000-0000460F0000}"/>
    <cellStyle name="Percent 13 2 2" xfId="3426" xr:uid="{00000000-0005-0000-0000-0000470F0000}"/>
    <cellStyle name="Percent 13 2 2 2" xfId="3427" xr:uid="{00000000-0005-0000-0000-0000480F0000}"/>
    <cellStyle name="Percent 13 2 3" xfId="3428" xr:uid="{00000000-0005-0000-0000-0000490F0000}"/>
    <cellStyle name="Percent 13 2 3 2" xfId="3429" xr:uid="{00000000-0005-0000-0000-00004A0F0000}"/>
    <cellStyle name="Percent 13 2 4" xfId="3430" xr:uid="{00000000-0005-0000-0000-00004B0F0000}"/>
    <cellStyle name="Percent 13 3" xfId="3431" xr:uid="{00000000-0005-0000-0000-00004C0F0000}"/>
    <cellStyle name="Percent 13 3 2" xfId="3432" xr:uid="{00000000-0005-0000-0000-00004D0F0000}"/>
    <cellStyle name="Percent 13 3 2 2" xfId="3433" xr:uid="{00000000-0005-0000-0000-00004E0F0000}"/>
    <cellStyle name="Percent 13 3 3" xfId="3434" xr:uid="{00000000-0005-0000-0000-00004F0F0000}"/>
    <cellStyle name="Percent 13 3 3 2" xfId="3435" xr:uid="{00000000-0005-0000-0000-0000500F0000}"/>
    <cellStyle name="Percent 13 3 4" xfId="3436" xr:uid="{00000000-0005-0000-0000-0000510F0000}"/>
    <cellStyle name="Percent 13 4" xfId="3437" xr:uid="{00000000-0005-0000-0000-0000520F0000}"/>
    <cellStyle name="Percent 13 4 2" xfId="3438" xr:uid="{00000000-0005-0000-0000-0000530F0000}"/>
    <cellStyle name="Percent 13 4 2 2" xfId="3439" xr:uid="{00000000-0005-0000-0000-0000540F0000}"/>
    <cellStyle name="Percent 13 4 3" xfId="3440" xr:uid="{00000000-0005-0000-0000-0000550F0000}"/>
    <cellStyle name="Percent 13 4 3 2" xfId="3441" xr:uid="{00000000-0005-0000-0000-0000560F0000}"/>
    <cellStyle name="Percent 13 4 4" xfId="3442" xr:uid="{00000000-0005-0000-0000-0000570F0000}"/>
    <cellStyle name="Percent 13 5" xfId="3443" xr:uid="{00000000-0005-0000-0000-0000580F0000}"/>
    <cellStyle name="Percent 13 5 2" xfId="3444" xr:uid="{00000000-0005-0000-0000-0000590F0000}"/>
    <cellStyle name="Percent 13 6" xfId="3445" xr:uid="{00000000-0005-0000-0000-00005A0F0000}"/>
    <cellStyle name="Percent 13 6 2" xfId="3446" xr:uid="{00000000-0005-0000-0000-00005B0F0000}"/>
    <cellStyle name="Percent 13 7" xfId="3447" xr:uid="{00000000-0005-0000-0000-00005C0F0000}"/>
    <cellStyle name="Percent 14" xfId="3448" xr:uid="{00000000-0005-0000-0000-00005D0F0000}"/>
    <cellStyle name="Percent 14 2" xfId="3449" xr:uid="{00000000-0005-0000-0000-00005E0F0000}"/>
    <cellStyle name="Percent 14 2 2" xfId="3450" xr:uid="{00000000-0005-0000-0000-00005F0F0000}"/>
    <cellStyle name="Percent 14 3" xfId="3451" xr:uid="{00000000-0005-0000-0000-0000600F0000}"/>
    <cellStyle name="Percent 14 3 2" xfId="3452" xr:uid="{00000000-0005-0000-0000-0000610F0000}"/>
    <cellStyle name="Percent 14 4" xfId="3453" xr:uid="{00000000-0005-0000-0000-0000620F0000}"/>
    <cellStyle name="Percent 15" xfId="3454" xr:uid="{00000000-0005-0000-0000-0000630F0000}"/>
    <cellStyle name="Percent 15 2" xfId="3455" xr:uid="{00000000-0005-0000-0000-0000640F0000}"/>
    <cellStyle name="Percent 15 2 2" xfId="3456" xr:uid="{00000000-0005-0000-0000-0000650F0000}"/>
    <cellStyle name="Percent 15 3" xfId="3457" xr:uid="{00000000-0005-0000-0000-0000660F0000}"/>
    <cellStyle name="Percent 15 3 2" xfId="3458" xr:uid="{00000000-0005-0000-0000-0000670F0000}"/>
    <cellStyle name="Percent 15 4" xfId="3459" xr:uid="{00000000-0005-0000-0000-0000680F0000}"/>
    <cellStyle name="Percent 16" xfId="3460" xr:uid="{00000000-0005-0000-0000-0000690F0000}"/>
    <cellStyle name="Percent 16 2" xfId="3461" xr:uid="{00000000-0005-0000-0000-00006A0F0000}"/>
    <cellStyle name="Percent 16 2 2" xfId="3462" xr:uid="{00000000-0005-0000-0000-00006B0F0000}"/>
    <cellStyle name="Percent 16 3" xfId="3463" xr:uid="{00000000-0005-0000-0000-00006C0F0000}"/>
    <cellStyle name="Percent 16 3 2" xfId="3464" xr:uid="{00000000-0005-0000-0000-00006D0F0000}"/>
    <cellStyle name="Percent 16 4" xfId="3465" xr:uid="{00000000-0005-0000-0000-00006E0F0000}"/>
    <cellStyle name="Percent 17" xfId="3466" xr:uid="{00000000-0005-0000-0000-00006F0F0000}"/>
    <cellStyle name="Percent 17 2" xfId="3467" xr:uid="{00000000-0005-0000-0000-0000700F0000}"/>
    <cellStyle name="Percent 17 2 2" xfId="3468" xr:uid="{00000000-0005-0000-0000-0000710F0000}"/>
    <cellStyle name="Percent 17 3" xfId="3469" xr:uid="{00000000-0005-0000-0000-0000720F0000}"/>
    <cellStyle name="Percent 17 3 2" xfId="3470" xr:uid="{00000000-0005-0000-0000-0000730F0000}"/>
    <cellStyle name="Percent 17 4" xfId="3471" xr:uid="{00000000-0005-0000-0000-0000740F0000}"/>
    <cellStyle name="Percent 18" xfId="3472" xr:uid="{00000000-0005-0000-0000-0000750F0000}"/>
    <cellStyle name="Percent 18 2" xfId="3473" xr:uid="{00000000-0005-0000-0000-0000760F0000}"/>
    <cellStyle name="Percent 18 2 2" xfId="3474" xr:uid="{00000000-0005-0000-0000-0000770F0000}"/>
    <cellStyle name="Percent 18 3" xfId="3475" xr:uid="{00000000-0005-0000-0000-0000780F0000}"/>
    <cellStyle name="Percent 18 3 2" xfId="3476" xr:uid="{00000000-0005-0000-0000-0000790F0000}"/>
    <cellStyle name="Percent 18 4" xfId="3477" xr:uid="{00000000-0005-0000-0000-00007A0F0000}"/>
    <cellStyle name="Percent 19" xfId="3478" xr:uid="{00000000-0005-0000-0000-00007B0F0000}"/>
    <cellStyle name="Percent 19 2" xfId="3479" xr:uid="{00000000-0005-0000-0000-00007C0F0000}"/>
    <cellStyle name="Percent 19 2 2" xfId="3480" xr:uid="{00000000-0005-0000-0000-00007D0F0000}"/>
    <cellStyle name="Percent 19 3" xfId="3481" xr:uid="{00000000-0005-0000-0000-00007E0F0000}"/>
    <cellStyle name="Percent 19 3 2" xfId="3482" xr:uid="{00000000-0005-0000-0000-00007F0F0000}"/>
    <cellStyle name="Percent 19 4" xfId="3483" xr:uid="{00000000-0005-0000-0000-0000800F0000}"/>
    <cellStyle name="Percent 2" xfId="46" xr:uid="{00000000-0005-0000-0000-0000810F0000}"/>
    <cellStyle name="Percent 2 2" xfId="47" xr:uid="{00000000-0005-0000-0000-0000820F0000}"/>
    <cellStyle name="Percent 2 2 10" xfId="3484" xr:uid="{00000000-0005-0000-0000-0000830F0000}"/>
    <cellStyle name="Percent 2 2 10 2" xfId="3485" xr:uid="{00000000-0005-0000-0000-0000840F0000}"/>
    <cellStyle name="Percent 2 2 10 2 2" xfId="3486" xr:uid="{00000000-0005-0000-0000-0000850F0000}"/>
    <cellStyle name="Percent 2 2 10 3" xfId="3487" xr:uid="{00000000-0005-0000-0000-0000860F0000}"/>
    <cellStyle name="Percent 2 2 10 3 2" xfId="3488" xr:uid="{00000000-0005-0000-0000-0000870F0000}"/>
    <cellStyle name="Percent 2 2 10 4" xfId="3489" xr:uid="{00000000-0005-0000-0000-0000880F0000}"/>
    <cellStyle name="Percent 2 2 11" xfId="3490" xr:uid="{00000000-0005-0000-0000-0000890F0000}"/>
    <cellStyle name="Percent 2 2 12" xfId="3491" xr:uid="{00000000-0005-0000-0000-00008A0F0000}"/>
    <cellStyle name="Percent 2 2 2" xfId="48" xr:uid="{00000000-0005-0000-0000-00008B0F0000}"/>
    <cellStyle name="Percent 2 2 2 10" xfId="3492" xr:uid="{00000000-0005-0000-0000-00008C0F0000}"/>
    <cellStyle name="Percent 2 2 2 11" xfId="3493" xr:uid="{00000000-0005-0000-0000-00008D0F0000}"/>
    <cellStyle name="Percent 2 2 2 2" xfId="3494" xr:uid="{00000000-0005-0000-0000-00008E0F0000}"/>
    <cellStyle name="Percent 2 2 2 2 2" xfId="3495" xr:uid="{00000000-0005-0000-0000-00008F0F0000}"/>
    <cellStyle name="Percent 2 2 2 2 2 2" xfId="3496" xr:uid="{00000000-0005-0000-0000-0000900F0000}"/>
    <cellStyle name="Percent 2 2 2 2 2 2 2" xfId="3497" xr:uid="{00000000-0005-0000-0000-0000910F0000}"/>
    <cellStyle name="Percent 2 2 2 2 2 3" xfId="3498" xr:uid="{00000000-0005-0000-0000-0000920F0000}"/>
    <cellStyle name="Percent 2 2 2 2 2 3 2" xfId="3499" xr:uid="{00000000-0005-0000-0000-0000930F0000}"/>
    <cellStyle name="Percent 2 2 2 2 2 4" xfId="3500" xr:uid="{00000000-0005-0000-0000-0000940F0000}"/>
    <cellStyle name="Percent 2 2 2 2 3" xfId="3501" xr:uid="{00000000-0005-0000-0000-0000950F0000}"/>
    <cellStyle name="Percent 2 2 2 2 3 2" xfId="3502" xr:uid="{00000000-0005-0000-0000-0000960F0000}"/>
    <cellStyle name="Percent 2 2 2 2 3 2 2" xfId="3503" xr:uid="{00000000-0005-0000-0000-0000970F0000}"/>
    <cellStyle name="Percent 2 2 2 2 3 3" xfId="3504" xr:uid="{00000000-0005-0000-0000-0000980F0000}"/>
    <cellStyle name="Percent 2 2 2 2 3 3 2" xfId="3505" xr:uid="{00000000-0005-0000-0000-0000990F0000}"/>
    <cellStyle name="Percent 2 2 2 2 3 4" xfId="3506" xr:uid="{00000000-0005-0000-0000-00009A0F0000}"/>
    <cellStyle name="Percent 2 2 2 2 4" xfId="3507" xr:uid="{00000000-0005-0000-0000-00009B0F0000}"/>
    <cellStyle name="Percent 2 2 2 2 4 2" xfId="3508" xr:uid="{00000000-0005-0000-0000-00009C0F0000}"/>
    <cellStyle name="Percent 2 2 2 2 5" xfId="3509" xr:uid="{00000000-0005-0000-0000-00009D0F0000}"/>
    <cellStyle name="Percent 2 2 2 2 5 2" xfId="3510" xr:uid="{00000000-0005-0000-0000-00009E0F0000}"/>
    <cellStyle name="Percent 2 2 2 2 6" xfId="3511" xr:uid="{00000000-0005-0000-0000-00009F0F0000}"/>
    <cellStyle name="Percent 2 2 2 3" xfId="3512" xr:uid="{00000000-0005-0000-0000-0000A00F0000}"/>
    <cellStyle name="Percent 2 2 2 3 2" xfId="3513" xr:uid="{00000000-0005-0000-0000-0000A10F0000}"/>
    <cellStyle name="Percent 2 2 2 3 2 2" xfId="3514" xr:uid="{00000000-0005-0000-0000-0000A20F0000}"/>
    <cellStyle name="Percent 2 2 2 3 3" xfId="3515" xr:uid="{00000000-0005-0000-0000-0000A30F0000}"/>
    <cellStyle name="Percent 2 2 2 3 3 2" xfId="3516" xr:uid="{00000000-0005-0000-0000-0000A40F0000}"/>
    <cellStyle name="Percent 2 2 2 3 4" xfId="3517" xr:uid="{00000000-0005-0000-0000-0000A50F0000}"/>
    <cellStyle name="Percent 2 2 2 4" xfId="3518" xr:uid="{00000000-0005-0000-0000-0000A60F0000}"/>
    <cellStyle name="Percent 2 2 2 4 2" xfId="3519" xr:uid="{00000000-0005-0000-0000-0000A70F0000}"/>
    <cellStyle name="Percent 2 2 2 4 2 2" xfId="3520" xr:uid="{00000000-0005-0000-0000-0000A80F0000}"/>
    <cellStyle name="Percent 2 2 2 4 3" xfId="3521" xr:uid="{00000000-0005-0000-0000-0000A90F0000}"/>
    <cellStyle name="Percent 2 2 2 4 3 2" xfId="3522" xr:uid="{00000000-0005-0000-0000-0000AA0F0000}"/>
    <cellStyle name="Percent 2 2 2 4 4" xfId="3523" xr:uid="{00000000-0005-0000-0000-0000AB0F0000}"/>
    <cellStyle name="Percent 2 2 2 5" xfId="3524" xr:uid="{00000000-0005-0000-0000-0000AC0F0000}"/>
    <cellStyle name="Percent 2 2 2 5 2" xfId="3525" xr:uid="{00000000-0005-0000-0000-0000AD0F0000}"/>
    <cellStyle name="Percent 2 2 2 5 2 2" xfId="3526" xr:uid="{00000000-0005-0000-0000-0000AE0F0000}"/>
    <cellStyle name="Percent 2 2 2 5 3" xfId="3527" xr:uid="{00000000-0005-0000-0000-0000AF0F0000}"/>
    <cellStyle name="Percent 2 2 2 5 3 2" xfId="3528" xr:uid="{00000000-0005-0000-0000-0000B00F0000}"/>
    <cellStyle name="Percent 2 2 2 5 4" xfId="3529" xr:uid="{00000000-0005-0000-0000-0000B10F0000}"/>
    <cellStyle name="Percent 2 2 2 6" xfId="3530" xr:uid="{00000000-0005-0000-0000-0000B20F0000}"/>
    <cellStyle name="Percent 2 2 2 6 2" xfId="3531" xr:uid="{00000000-0005-0000-0000-0000B30F0000}"/>
    <cellStyle name="Percent 2 2 2 6 2 2" xfId="3532" xr:uid="{00000000-0005-0000-0000-0000B40F0000}"/>
    <cellStyle name="Percent 2 2 2 6 3" xfId="3533" xr:uid="{00000000-0005-0000-0000-0000B50F0000}"/>
    <cellStyle name="Percent 2 2 2 6 3 2" xfId="3534" xr:uid="{00000000-0005-0000-0000-0000B60F0000}"/>
    <cellStyle name="Percent 2 2 2 6 4" xfId="3535" xr:uid="{00000000-0005-0000-0000-0000B70F0000}"/>
    <cellStyle name="Percent 2 2 2 7" xfId="3536" xr:uid="{00000000-0005-0000-0000-0000B80F0000}"/>
    <cellStyle name="Percent 2 2 2 7 2" xfId="3537" xr:uid="{00000000-0005-0000-0000-0000B90F0000}"/>
    <cellStyle name="Percent 2 2 2 7 2 2" xfId="3538" xr:uid="{00000000-0005-0000-0000-0000BA0F0000}"/>
    <cellStyle name="Percent 2 2 2 7 3" xfId="3539" xr:uid="{00000000-0005-0000-0000-0000BB0F0000}"/>
    <cellStyle name="Percent 2 2 2 7 3 2" xfId="3540" xr:uid="{00000000-0005-0000-0000-0000BC0F0000}"/>
    <cellStyle name="Percent 2 2 2 7 4" xfId="3541" xr:uid="{00000000-0005-0000-0000-0000BD0F0000}"/>
    <cellStyle name="Percent 2 2 2 8" xfId="3542" xr:uid="{00000000-0005-0000-0000-0000BE0F0000}"/>
    <cellStyle name="Percent 2 2 2 8 2" xfId="3543" xr:uid="{00000000-0005-0000-0000-0000BF0F0000}"/>
    <cellStyle name="Percent 2 2 2 9" xfId="3544" xr:uid="{00000000-0005-0000-0000-0000C00F0000}"/>
    <cellStyle name="Percent 2 2 2 9 2" xfId="3545" xr:uid="{00000000-0005-0000-0000-0000C10F0000}"/>
    <cellStyle name="Percent 2 2 3" xfId="49" xr:uid="{00000000-0005-0000-0000-0000C20F0000}"/>
    <cellStyle name="Percent 2 2 3 2" xfId="3546" xr:uid="{00000000-0005-0000-0000-0000C30F0000}"/>
    <cellStyle name="Percent 2 2 3 2 2" xfId="3547" xr:uid="{00000000-0005-0000-0000-0000C40F0000}"/>
    <cellStyle name="Percent 2 2 3 2 2 2" xfId="3548" xr:uid="{00000000-0005-0000-0000-0000C50F0000}"/>
    <cellStyle name="Percent 2 2 3 2 2 2 2" xfId="3549" xr:uid="{00000000-0005-0000-0000-0000C60F0000}"/>
    <cellStyle name="Percent 2 2 3 2 2 3" xfId="3550" xr:uid="{00000000-0005-0000-0000-0000C70F0000}"/>
    <cellStyle name="Percent 2 2 3 2 2 3 2" xfId="3551" xr:uid="{00000000-0005-0000-0000-0000C80F0000}"/>
    <cellStyle name="Percent 2 2 3 2 2 4" xfId="3552" xr:uid="{00000000-0005-0000-0000-0000C90F0000}"/>
    <cellStyle name="Percent 2 2 3 2 3" xfId="3553" xr:uid="{00000000-0005-0000-0000-0000CA0F0000}"/>
    <cellStyle name="Percent 2 2 3 2 3 2" xfId="3554" xr:uid="{00000000-0005-0000-0000-0000CB0F0000}"/>
    <cellStyle name="Percent 2 2 3 2 3 2 2" xfId="3555" xr:uid="{00000000-0005-0000-0000-0000CC0F0000}"/>
    <cellStyle name="Percent 2 2 3 2 3 3" xfId="3556" xr:uid="{00000000-0005-0000-0000-0000CD0F0000}"/>
    <cellStyle name="Percent 2 2 3 2 3 3 2" xfId="3557" xr:uid="{00000000-0005-0000-0000-0000CE0F0000}"/>
    <cellStyle name="Percent 2 2 3 2 3 4" xfId="3558" xr:uid="{00000000-0005-0000-0000-0000CF0F0000}"/>
    <cellStyle name="Percent 2 2 3 2 4" xfId="3559" xr:uid="{00000000-0005-0000-0000-0000D00F0000}"/>
    <cellStyle name="Percent 2 2 3 2 4 2" xfId="3560" xr:uid="{00000000-0005-0000-0000-0000D10F0000}"/>
    <cellStyle name="Percent 2 2 3 2 5" xfId="3561" xr:uid="{00000000-0005-0000-0000-0000D20F0000}"/>
    <cellStyle name="Percent 2 2 3 2 5 2" xfId="3562" xr:uid="{00000000-0005-0000-0000-0000D30F0000}"/>
    <cellStyle name="Percent 2 2 3 2 6" xfId="3563" xr:uid="{00000000-0005-0000-0000-0000D40F0000}"/>
    <cellStyle name="Percent 2 2 3 3" xfId="3564" xr:uid="{00000000-0005-0000-0000-0000D50F0000}"/>
    <cellStyle name="Percent 2 2 3 3 2" xfId="3565" xr:uid="{00000000-0005-0000-0000-0000D60F0000}"/>
    <cellStyle name="Percent 2 2 3 3 2 2" xfId="3566" xr:uid="{00000000-0005-0000-0000-0000D70F0000}"/>
    <cellStyle name="Percent 2 2 3 3 3" xfId="3567" xr:uid="{00000000-0005-0000-0000-0000D80F0000}"/>
    <cellStyle name="Percent 2 2 3 3 3 2" xfId="3568" xr:uid="{00000000-0005-0000-0000-0000D90F0000}"/>
    <cellStyle name="Percent 2 2 3 3 4" xfId="3569" xr:uid="{00000000-0005-0000-0000-0000DA0F0000}"/>
    <cellStyle name="Percent 2 2 3 4" xfId="3570" xr:uid="{00000000-0005-0000-0000-0000DB0F0000}"/>
    <cellStyle name="Percent 2 2 3 4 2" xfId="3571" xr:uid="{00000000-0005-0000-0000-0000DC0F0000}"/>
    <cellStyle name="Percent 2 2 3 4 2 2" xfId="3572" xr:uid="{00000000-0005-0000-0000-0000DD0F0000}"/>
    <cellStyle name="Percent 2 2 3 4 3" xfId="3573" xr:uid="{00000000-0005-0000-0000-0000DE0F0000}"/>
    <cellStyle name="Percent 2 2 3 4 3 2" xfId="3574" xr:uid="{00000000-0005-0000-0000-0000DF0F0000}"/>
    <cellStyle name="Percent 2 2 3 4 4" xfId="3575" xr:uid="{00000000-0005-0000-0000-0000E00F0000}"/>
    <cellStyle name="Percent 2 2 3 5" xfId="3576" xr:uid="{00000000-0005-0000-0000-0000E10F0000}"/>
    <cellStyle name="Percent 2 2 3 5 2" xfId="3577" xr:uid="{00000000-0005-0000-0000-0000E20F0000}"/>
    <cellStyle name="Percent 2 2 3 5 2 2" xfId="3578" xr:uid="{00000000-0005-0000-0000-0000E30F0000}"/>
    <cellStyle name="Percent 2 2 3 5 3" xfId="3579" xr:uid="{00000000-0005-0000-0000-0000E40F0000}"/>
    <cellStyle name="Percent 2 2 3 5 3 2" xfId="3580" xr:uid="{00000000-0005-0000-0000-0000E50F0000}"/>
    <cellStyle name="Percent 2 2 3 5 4" xfId="3581" xr:uid="{00000000-0005-0000-0000-0000E60F0000}"/>
    <cellStyle name="Percent 2 2 3 6" xfId="3582" xr:uid="{00000000-0005-0000-0000-0000E70F0000}"/>
    <cellStyle name="Percent 2 2 3 6 2" xfId="3583" xr:uid="{00000000-0005-0000-0000-0000E80F0000}"/>
    <cellStyle name="Percent 2 2 3 7" xfId="3584" xr:uid="{00000000-0005-0000-0000-0000E90F0000}"/>
    <cellStyle name="Percent 2 2 3 7 2" xfId="3585" xr:uid="{00000000-0005-0000-0000-0000EA0F0000}"/>
    <cellStyle name="Percent 2 2 3 8" xfId="3586" xr:uid="{00000000-0005-0000-0000-0000EB0F0000}"/>
    <cellStyle name="Percent 2 2 3 9" xfId="3587" xr:uid="{00000000-0005-0000-0000-0000EC0F0000}"/>
    <cellStyle name="Percent 2 2 4" xfId="3588" xr:uid="{00000000-0005-0000-0000-0000ED0F0000}"/>
    <cellStyle name="Percent 2 2 4 2" xfId="3589" xr:uid="{00000000-0005-0000-0000-0000EE0F0000}"/>
    <cellStyle name="Percent 2 2 4 2 2" xfId="3590" xr:uid="{00000000-0005-0000-0000-0000EF0F0000}"/>
    <cellStyle name="Percent 2 2 4 2 2 2" xfId="3591" xr:uid="{00000000-0005-0000-0000-0000F00F0000}"/>
    <cellStyle name="Percent 2 2 4 2 3" xfId="3592" xr:uid="{00000000-0005-0000-0000-0000F10F0000}"/>
    <cellStyle name="Percent 2 2 4 2 3 2" xfId="3593" xr:uid="{00000000-0005-0000-0000-0000F20F0000}"/>
    <cellStyle name="Percent 2 2 4 2 4" xfId="3594" xr:uid="{00000000-0005-0000-0000-0000F30F0000}"/>
    <cellStyle name="Percent 2 2 4 3" xfId="3595" xr:uid="{00000000-0005-0000-0000-0000F40F0000}"/>
    <cellStyle name="Percent 2 2 4 3 2" xfId="3596" xr:uid="{00000000-0005-0000-0000-0000F50F0000}"/>
    <cellStyle name="Percent 2 2 4 3 2 2" xfId="3597" xr:uid="{00000000-0005-0000-0000-0000F60F0000}"/>
    <cellStyle name="Percent 2 2 4 3 3" xfId="3598" xr:uid="{00000000-0005-0000-0000-0000F70F0000}"/>
    <cellStyle name="Percent 2 2 4 3 3 2" xfId="3599" xr:uid="{00000000-0005-0000-0000-0000F80F0000}"/>
    <cellStyle name="Percent 2 2 4 3 4" xfId="3600" xr:uid="{00000000-0005-0000-0000-0000F90F0000}"/>
    <cellStyle name="Percent 2 2 4 4" xfId="3601" xr:uid="{00000000-0005-0000-0000-0000FA0F0000}"/>
    <cellStyle name="Percent 2 2 4 4 2" xfId="3602" xr:uid="{00000000-0005-0000-0000-0000FB0F0000}"/>
    <cellStyle name="Percent 2 2 4 5" xfId="3603" xr:uid="{00000000-0005-0000-0000-0000FC0F0000}"/>
    <cellStyle name="Percent 2 2 4 5 2" xfId="3604" xr:uid="{00000000-0005-0000-0000-0000FD0F0000}"/>
    <cellStyle name="Percent 2 2 4 6" xfId="3605" xr:uid="{00000000-0005-0000-0000-0000FE0F0000}"/>
    <cellStyle name="Percent 2 2 5" xfId="3606" xr:uid="{00000000-0005-0000-0000-0000FF0F0000}"/>
    <cellStyle name="Percent 2 2 5 2" xfId="3607" xr:uid="{00000000-0005-0000-0000-000000100000}"/>
    <cellStyle name="Percent 2 2 5 2 2" xfId="3608" xr:uid="{00000000-0005-0000-0000-000001100000}"/>
    <cellStyle name="Percent 2 2 5 2 2 2" xfId="3609" xr:uid="{00000000-0005-0000-0000-000002100000}"/>
    <cellStyle name="Percent 2 2 5 2 3" xfId="3610" xr:uid="{00000000-0005-0000-0000-000003100000}"/>
    <cellStyle name="Percent 2 2 5 2 3 2" xfId="3611" xr:uid="{00000000-0005-0000-0000-000004100000}"/>
    <cellStyle name="Percent 2 2 5 2 4" xfId="3612" xr:uid="{00000000-0005-0000-0000-000005100000}"/>
    <cellStyle name="Percent 2 2 5 3" xfId="3613" xr:uid="{00000000-0005-0000-0000-000006100000}"/>
    <cellStyle name="Percent 2 2 5 3 2" xfId="3614" xr:uid="{00000000-0005-0000-0000-000007100000}"/>
    <cellStyle name="Percent 2 2 5 3 2 2" xfId="3615" xr:uid="{00000000-0005-0000-0000-000008100000}"/>
    <cellStyle name="Percent 2 2 5 3 3" xfId="3616" xr:uid="{00000000-0005-0000-0000-000009100000}"/>
    <cellStyle name="Percent 2 2 5 3 3 2" xfId="3617" xr:uid="{00000000-0005-0000-0000-00000A100000}"/>
    <cellStyle name="Percent 2 2 5 3 4" xfId="3618" xr:uid="{00000000-0005-0000-0000-00000B100000}"/>
    <cellStyle name="Percent 2 2 5 4" xfId="3619" xr:uid="{00000000-0005-0000-0000-00000C100000}"/>
    <cellStyle name="Percent 2 2 5 4 2" xfId="3620" xr:uid="{00000000-0005-0000-0000-00000D100000}"/>
    <cellStyle name="Percent 2 2 5 5" xfId="3621" xr:uid="{00000000-0005-0000-0000-00000E100000}"/>
    <cellStyle name="Percent 2 2 5 5 2" xfId="3622" xr:uid="{00000000-0005-0000-0000-00000F100000}"/>
    <cellStyle name="Percent 2 2 5 6" xfId="3623" xr:uid="{00000000-0005-0000-0000-000010100000}"/>
    <cellStyle name="Percent 2 2 6" xfId="3624" xr:uid="{00000000-0005-0000-0000-000011100000}"/>
    <cellStyle name="Percent 2 2 6 2" xfId="3625" xr:uid="{00000000-0005-0000-0000-000012100000}"/>
    <cellStyle name="Percent 2 2 6 2 2" xfId="3626" xr:uid="{00000000-0005-0000-0000-000013100000}"/>
    <cellStyle name="Percent 2 2 6 2 2 2" xfId="3627" xr:uid="{00000000-0005-0000-0000-000014100000}"/>
    <cellStyle name="Percent 2 2 6 2 3" xfId="3628" xr:uid="{00000000-0005-0000-0000-000015100000}"/>
    <cellStyle name="Percent 2 2 6 2 3 2" xfId="3629" xr:uid="{00000000-0005-0000-0000-000016100000}"/>
    <cellStyle name="Percent 2 2 6 2 4" xfId="3630" xr:uid="{00000000-0005-0000-0000-000017100000}"/>
    <cellStyle name="Percent 2 2 6 3" xfId="3631" xr:uid="{00000000-0005-0000-0000-000018100000}"/>
    <cellStyle name="Percent 2 2 6 3 2" xfId="3632" xr:uid="{00000000-0005-0000-0000-000019100000}"/>
    <cellStyle name="Percent 2 2 6 4" xfId="3633" xr:uid="{00000000-0005-0000-0000-00001A100000}"/>
    <cellStyle name="Percent 2 2 6 4 2" xfId="3634" xr:uid="{00000000-0005-0000-0000-00001B100000}"/>
    <cellStyle name="Percent 2 2 6 5" xfId="3635" xr:uid="{00000000-0005-0000-0000-00001C100000}"/>
    <cellStyle name="Percent 2 2 7" xfId="3636" xr:uid="{00000000-0005-0000-0000-00001D100000}"/>
    <cellStyle name="Percent 2 2 7 2" xfId="3637" xr:uid="{00000000-0005-0000-0000-00001E100000}"/>
    <cellStyle name="Percent 2 2 7 2 2" xfId="3638" xr:uid="{00000000-0005-0000-0000-00001F100000}"/>
    <cellStyle name="Percent 2 2 7 2 2 2" xfId="3639" xr:uid="{00000000-0005-0000-0000-000020100000}"/>
    <cellStyle name="Percent 2 2 7 2 3" xfId="3640" xr:uid="{00000000-0005-0000-0000-000021100000}"/>
    <cellStyle name="Percent 2 2 7 2 3 2" xfId="3641" xr:uid="{00000000-0005-0000-0000-000022100000}"/>
    <cellStyle name="Percent 2 2 7 2 4" xfId="3642" xr:uid="{00000000-0005-0000-0000-000023100000}"/>
    <cellStyle name="Percent 2 2 7 3" xfId="3643" xr:uid="{00000000-0005-0000-0000-000024100000}"/>
    <cellStyle name="Percent 2 2 7 3 2" xfId="3644" xr:uid="{00000000-0005-0000-0000-000025100000}"/>
    <cellStyle name="Percent 2 2 7 4" xfId="3645" xr:uid="{00000000-0005-0000-0000-000026100000}"/>
    <cellStyle name="Percent 2 2 7 4 2" xfId="3646" xr:uid="{00000000-0005-0000-0000-000027100000}"/>
    <cellStyle name="Percent 2 2 7 5" xfId="3647" xr:uid="{00000000-0005-0000-0000-000028100000}"/>
    <cellStyle name="Percent 2 2 8" xfId="3648" xr:uid="{00000000-0005-0000-0000-000029100000}"/>
    <cellStyle name="Percent 2 2 8 2" xfId="3649" xr:uid="{00000000-0005-0000-0000-00002A100000}"/>
    <cellStyle name="Percent 2 2 8 2 2" xfId="3650" xr:uid="{00000000-0005-0000-0000-00002B100000}"/>
    <cellStyle name="Percent 2 2 8 2 2 2" xfId="3651" xr:uid="{00000000-0005-0000-0000-00002C100000}"/>
    <cellStyle name="Percent 2 2 8 2 3" xfId="3652" xr:uid="{00000000-0005-0000-0000-00002D100000}"/>
    <cellStyle name="Percent 2 2 8 2 3 2" xfId="3653" xr:uid="{00000000-0005-0000-0000-00002E100000}"/>
    <cellStyle name="Percent 2 2 8 2 4" xfId="3654" xr:uid="{00000000-0005-0000-0000-00002F100000}"/>
    <cellStyle name="Percent 2 2 8 3" xfId="3655" xr:uid="{00000000-0005-0000-0000-000030100000}"/>
    <cellStyle name="Percent 2 2 8 3 2" xfId="3656" xr:uid="{00000000-0005-0000-0000-000031100000}"/>
    <cellStyle name="Percent 2 2 8 4" xfId="3657" xr:uid="{00000000-0005-0000-0000-000032100000}"/>
    <cellStyle name="Percent 2 2 8 4 2" xfId="3658" xr:uid="{00000000-0005-0000-0000-000033100000}"/>
    <cellStyle name="Percent 2 2 8 5" xfId="3659" xr:uid="{00000000-0005-0000-0000-000034100000}"/>
    <cellStyle name="Percent 2 2 9" xfId="3660" xr:uid="{00000000-0005-0000-0000-000035100000}"/>
    <cellStyle name="Percent 2 2 9 2" xfId="3661" xr:uid="{00000000-0005-0000-0000-000036100000}"/>
    <cellStyle name="Percent 2 2 9 2 2" xfId="3662" xr:uid="{00000000-0005-0000-0000-000037100000}"/>
    <cellStyle name="Percent 2 2 9 2 2 2" xfId="3663" xr:uid="{00000000-0005-0000-0000-000038100000}"/>
    <cellStyle name="Percent 2 2 9 2 3" xfId="3664" xr:uid="{00000000-0005-0000-0000-000039100000}"/>
    <cellStyle name="Percent 2 2 9 2 3 2" xfId="3665" xr:uid="{00000000-0005-0000-0000-00003A100000}"/>
    <cellStyle name="Percent 2 2 9 2 4" xfId="3666" xr:uid="{00000000-0005-0000-0000-00003B100000}"/>
    <cellStyle name="Percent 2 2 9 3" xfId="3667" xr:uid="{00000000-0005-0000-0000-00003C100000}"/>
    <cellStyle name="Percent 2 2 9 3 2" xfId="3668" xr:uid="{00000000-0005-0000-0000-00003D100000}"/>
    <cellStyle name="Percent 2 2 9 4" xfId="3669" xr:uid="{00000000-0005-0000-0000-00003E100000}"/>
    <cellStyle name="Percent 2 2 9 4 2" xfId="3670" xr:uid="{00000000-0005-0000-0000-00003F100000}"/>
    <cellStyle name="Percent 2 2 9 5" xfId="3671" xr:uid="{00000000-0005-0000-0000-000040100000}"/>
    <cellStyle name="Percent 2 3" xfId="3672" xr:uid="{00000000-0005-0000-0000-000041100000}"/>
    <cellStyle name="Percent 2 4" xfId="3673" xr:uid="{00000000-0005-0000-0000-000042100000}"/>
    <cellStyle name="Percent 2 5" xfId="3674" xr:uid="{00000000-0005-0000-0000-000043100000}"/>
    <cellStyle name="Percent 2 6" xfId="3675" xr:uid="{00000000-0005-0000-0000-000044100000}"/>
    <cellStyle name="Percent 2_Sheet1" xfId="3676" xr:uid="{00000000-0005-0000-0000-000045100000}"/>
    <cellStyle name="Percent 20" xfId="3677" xr:uid="{00000000-0005-0000-0000-000046100000}"/>
    <cellStyle name="Percent 20 2" xfId="3678" xr:uid="{00000000-0005-0000-0000-000047100000}"/>
    <cellStyle name="Percent 20 2 2" xfId="3679" xr:uid="{00000000-0005-0000-0000-000048100000}"/>
    <cellStyle name="Percent 20 3" xfId="3680" xr:uid="{00000000-0005-0000-0000-000049100000}"/>
    <cellStyle name="Percent 20 3 2" xfId="3681" xr:uid="{00000000-0005-0000-0000-00004A100000}"/>
    <cellStyle name="Percent 20 4" xfId="3682" xr:uid="{00000000-0005-0000-0000-00004B100000}"/>
    <cellStyle name="Percent 21" xfId="3683" xr:uid="{00000000-0005-0000-0000-00004C100000}"/>
    <cellStyle name="Percent 21 2" xfId="3684" xr:uid="{00000000-0005-0000-0000-00004D100000}"/>
    <cellStyle name="Percent 21 2 2" xfId="3685" xr:uid="{00000000-0005-0000-0000-00004E100000}"/>
    <cellStyle name="Percent 21 3" xfId="3686" xr:uid="{00000000-0005-0000-0000-00004F100000}"/>
    <cellStyle name="Percent 21 3 2" xfId="3687" xr:uid="{00000000-0005-0000-0000-000050100000}"/>
    <cellStyle name="Percent 21 4" xfId="3688" xr:uid="{00000000-0005-0000-0000-000051100000}"/>
    <cellStyle name="Percent 22" xfId="3689" xr:uid="{00000000-0005-0000-0000-000052100000}"/>
    <cellStyle name="Percent 23" xfId="3690" xr:uid="{00000000-0005-0000-0000-000053100000}"/>
    <cellStyle name="Percent 23 2" xfId="3691" xr:uid="{00000000-0005-0000-0000-000054100000}"/>
    <cellStyle name="Percent 23 2 2" xfId="3692" xr:uid="{00000000-0005-0000-0000-000055100000}"/>
    <cellStyle name="Percent 23 3" xfId="3693" xr:uid="{00000000-0005-0000-0000-000056100000}"/>
    <cellStyle name="Percent 23 3 2" xfId="3694" xr:uid="{00000000-0005-0000-0000-000057100000}"/>
    <cellStyle name="Percent 23 4" xfId="3695" xr:uid="{00000000-0005-0000-0000-000058100000}"/>
    <cellStyle name="Percent 24" xfId="3696" xr:uid="{00000000-0005-0000-0000-000059100000}"/>
    <cellStyle name="Percent 25" xfId="3697" xr:uid="{00000000-0005-0000-0000-00005A100000}"/>
    <cellStyle name="Percent 26" xfId="3698" xr:uid="{00000000-0005-0000-0000-00005B100000}"/>
    <cellStyle name="Percent 27" xfId="3699" xr:uid="{00000000-0005-0000-0000-00005C100000}"/>
    <cellStyle name="Percent 28" xfId="3700" xr:uid="{00000000-0005-0000-0000-00005D100000}"/>
    <cellStyle name="Percent 29" xfId="3701" xr:uid="{00000000-0005-0000-0000-00005E100000}"/>
    <cellStyle name="Percent 3" xfId="50" xr:uid="{00000000-0005-0000-0000-00005F100000}"/>
    <cellStyle name="Percent 3 2" xfId="3702" xr:uid="{00000000-0005-0000-0000-000060100000}"/>
    <cellStyle name="Percent 3 2 2" xfId="3703" xr:uid="{00000000-0005-0000-0000-000061100000}"/>
    <cellStyle name="Percent 3 3" xfId="3704" xr:uid="{00000000-0005-0000-0000-000062100000}"/>
    <cellStyle name="Percent 3 3 2" xfId="3705" xr:uid="{00000000-0005-0000-0000-000063100000}"/>
    <cellStyle name="Percent 3 3 2 2" xfId="3706" xr:uid="{00000000-0005-0000-0000-000064100000}"/>
    <cellStyle name="Percent 3 3 3" xfId="3707" xr:uid="{00000000-0005-0000-0000-000065100000}"/>
    <cellStyle name="Percent 3 3 3 2" xfId="3708" xr:uid="{00000000-0005-0000-0000-000066100000}"/>
    <cellStyle name="Percent 3 3 4" xfId="3709" xr:uid="{00000000-0005-0000-0000-000067100000}"/>
    <cellStyle name="Percent 3 4" xfId="3710" xr:uid="{00000000-0005-0000-0000-000068100000}"/>
    <cellStyle name="Percent 3 4 2" xfId="3711" xr:uid="{00000000-0005-0000-0000-000069100000}"/>
    <cellStyle name="Percent 3 4 2 2" xfId="3712" xr:uid="{00000000-0005-0000-0000-00006A100000}"/>
    <cellStyle name="Percent 3 4 3" xfId="3713" xr:uid="{00000000-0005-0000-0000-00006B100000}"/>
    <cellStyle name="Percent 3 4 3 2" xfId="3714" xr:uid="{00000000-0005-0000-0000-00006C100000}"/>
    <cellStyle name="Percent 3 4 4" xfId="3715" xr:uid="{00000000-0005-0000-0000-00006D100000}"/>
    <cellStyle name="Percent 3 5" xfId="3716" xr:uid="{00000000-0005-0000-0000-00006E100000}"/>
    <cellStyle name="Percent 3 5 2" xfId="3717" xr:uid="{00000000-0005-0000-0000-00006F100000}"/>
    <cellStyle name="Percent 3 5 2 2" xfId="3718" xr:uid="{00000000-0005-0000-0000-000070100000}"/>
    <cellStyle name="Percent 3 5 3" xfId="3719" xr:uid="{00000000-0005-0000-0000-000071100000}"/>
    <cellStyle name="Percent 3 5 3 2" xfId="3720" xr:uid="{00000000-0005-0000-0000-000072100000}"/>
    <cellStyle name="Percent 3 5 4" xfId="3721" xr:uid="{00000000-0005-0000-0000-000073100000}"/>
    <cellStyle name="Percent 3 6" xfId="3722" xr:uid="{00000000-0005-0000-0000-000074100000}"/>
    <cellStyle name="Percent 3 6 2" xfId="3723" xr:uid="{00000000-0005-0000-0000-000075100000}"/>
    <cellStyle name="Percent 3 6 2 2" xfId="3724" xr:uid="{00000000-0005-0000-0000-000076100000}"/>
    <cellStyle name="Percent 3 6 2 2 2" xfId="3725" xr:uid="{00000000-0005-0000-0000-000077100000}"/>
    <cellStyle name="Percent 3 6 2 3" xfId="3726" xr:uid="{00000000-0005-0000-0000-000078100000}"/>
    <cellStyle name="Percent 3 6 2 3 2" xfId="3727" xr:uid="{00000000-0005-0000-0000-000079100000}"/>
    <cellStyle name="Percent 3 6 2 4" xfId="3728" xr:uid="{00000000-0005-0000-0000-00007A100000}"/>
    <cellStyle name="Percent 3 6 3" xfId="3729" xr:uid="{00000000-0005-0000-0000-00007B100000}"/>
    <cellStyle name="Percent 3 6 3 2" xfId="3730" xr:uid="{00000000-0005-0000-0000-00007C100000}"/>
    <cellStyle name="Percent 3 6 3 2 2" xfId="3731" xr:uid="{00000000-0005-0000-0000-00007D100000}"/>
    <cellStyle name="Percent 3 6 3 3" xfId="3732" xr:uid="{00000000-0005-0000-0000-00007E100000}"/>
    <cellStyle name="Percent 3 6 3 3 2" xfId="3733" xr:uid="{00000000-0005-0000-0000-00007F100000}"/>
    <cellStyle name="Percent 3 6 3 4" xfId="3734" xr:uid="{00000000-0005-0000-0000-000080100000}"/>
    <cellStyle name="Percent 3 6 4" xfId="3735" xr:uid="{00000000-0005-0000-0000-000081100000}"/>
    <cellStyle name="Percent 3 6 4 2" xfId="3736" xr:uid="{00000000-0005-0000-0000-000082100000}"/>
    <cellStyle name="Percent 3 6 5" xfId="3737" xr:uid="{00000000-0005-0000-0000-000083100000}"/>
    <cellStyle name="Percent 3 6 5 2" xfId="3738" xr:uid="{00000000-0005-0000-0000-000084100000}"/>
    <cellStyle name="Percent 3 6 6" xfId="3739" xr:uid="{00000000-0005-0000-0000-000085100000}"/>
    <cellStyle name="Percent 3 7" xfId="3740" xr:uid="{00000000-0005-0000-0000-000086100000}"/>
    <cellStyle name="Percent 3 8" xfId="3741" xr:uid="{00000000-0005-0000-0000-000087100000}"/>
    <cellStyle name="Percent 30" xfId="3742" xr:uid="{00000000-0005-0000-0000-000088100000}"/>
    <cellStyle name="Percent 31" xfId="3743" xr:uid="{00000000-0005-0000-0000-000089100000}"/>
    <cellStyle name="Percent 32" xfId="3744" xr:uid="{00000000-0005-0000-0000-00008A100000}"/>
    <cellStyle name="Percent 33" xfId="3745" xr:uid="{00000000-0005-0000-0000-00008B100000}"/>
    <cellStyle name="Percent 34" xfId="3746" xr:uid="{00000000-0005-0000-0000-00008C100000}"/>
    <cellStyle name="Percent 4" xfId="51" xr:uid="{00000000-0005-0000-0000-00008D100000}"/>
    <cellStyle name="Percent 4 2" xfId="3747" xr:uid="{00000000-0005-0000-0000-00008E100000}"/>
    <cellStyle name="Percent 4 3" xfId="3748" xr:uid="{00000000-0005-0000-0000-00008F100000}"/>
    <cellStyle name="Percent 4 4" xfId="3749" xr:uid="{00000000-0005-0000-0000-000090100000}"/>
    <cellStyle name="Percent 4 5" xfId="3750" xr:uid="{00000000-0005-0000-0000-000091100000}"/>
    <cellStyle name="Percent 4 6" xfId="3751" xr:uid="{00000000-0005-0000-0000-000092100000}"/>
    <cellStyle name="Percent 5" xfId="59" xr:uid="{00000000-0005-0000-0000-000093100000}"/>
    <cellStyle name="Percent 5 2" xfId="3752" xr:uid="{00000000-0005-0000-0000-000094100000}"/>
    <cellStyle name="Percent 5 2 2" xfId="3753" xr:uid="{00000000-0005-0000-0000-000095100000}"/>
    <cellStyle name="Percent 5 2 2 2" xfId="3754" xr:uid="{00000000-0005-0000-0000-000096100000}"/>
    <cellStyle name="Percent 5 2 3" xfId="3755" xr:uid="{00000000-0005-0000-0000-000097100000}"/>
    <cellStyle name="Percent 5 2 3 2" xfId="3756" xr:uid="{00000000-0005-0000-0000-000098100000}"/>
    <cellStyle name="Percent 5 2 4" xfId="3757" xr:uid="{00000000-0005-0000-0000-000099100000}"/>
    <cellStyle name="Percent 5 3" xfId="3758" xr:uid="{00000000-0005-0000-0000-00009A100000}"/>
    <cellStyle name="Percent 5 3 2" xfId="3759" xr:uid="{00000000-0005-0000-0000-00009B100000}"/>
    <cellStyle name="Percent 5 3 2 2" xfId="3760" xr:uid="{00000000-0005-0000-0000-00009C100000}"/>
    <cellStyle name="Percent 5 3 3" xfId="3761" xr:uid="{00000000-0005-0000-0000-00009D100000}"/>
    <cellStyle name="Percent 5 3 3 2" xfId="3762" xr:uid="{00000000-0005-0000-0000-00009E100000}"/>
    <cellStyle name="Percent 5 3 4" xfId="3763" xr:uid="{00000000-0005-0000-0000-00009F100000}"/>
    <cellStyle name="Percent 5 4" xfId="3764" xr:uid="{00000000-0005-0000-0000-0000A0100000}"/>
    <cellStyle name="Percent 5 4 2" xfId="3765" xr:uid="{00000000-0005-0000-0000-0000A1100000}"/>
    <cellStyle name="Percent 5 4 2 2" xfId="3766" xr:uid="{00000000-0005-0000-0000-0000A2100000}"/>
    <cellStyle name="Percent 5 4 3" xfId="3767" xr:uid="{00000000-0005-0000-0000-0000A3100000}"/>
    <cellStyle name="Percent 5 4 3 2" xfId="3768" xr:uid="{00000000-0005-0000-0000-0000A4100000}"/>
    <cellStyle name="Percent 5 4 4" xfId="3769" xr:uid="{00000000-0005-0000-0000-0000A5100000}"/>
    <cellStyle name="Percent 5 5" xfId="3770" xr:uid="{00000000-0005-0000-0000-0000A6100000}"/>
    <cellStyle name="Percent 5 5 2" xfId="3771" xr:uid="{00000000-0005-0000-0000-0000A7100000}"/>
    <cellStyle name="Percent 5 6" xfId="3772" xr:uid="{00000000-0005-0000-0000-0000A8100000}"/>
    <cellStyle name="Percent 5 6 2" xfId="3773" xr:uid="{00000000-0005-0000-0000-0000A9100000}"/>
    <cellStyle name="Percent 5 7" xfId="3774" xr:uid="{00000000-0005-0000-0000-0000AA100000}"/>
    <cellStyle name="Percent 5 8" xfId="3775" xr:uid="{00000000-0005-0000-0000-0000AB100000}"/>
    <cellStyle name="Percent 5 9" xfId="3776" xr:uid="{00000000-0005-0000-0000-0000AC100000}"/>
    <cellStyle name="Percent 6" xfId="3777" xr:uid="{00000000-0005-0000-0000-0000AD100000}"/>
    <cellStyle name="Percent 6 2" xfId="3778" xr:uid="{00000000-0005-0000-0000-0000AE100000}"/>
    <cellStyle name="Percent 6 2 2" xfId="3779" xr:uid="{00000000-0005-0000-0000-0000AF100000}"/>
    <cellStyle name="Percent 6 2 2 2" xfId="3780" xr:uid="{00000000-0005-0000-0000-0000B0100000}"/>
    <cellStyle name="Percent 6 2 3" xfId="3781" xr:uid="{00000000-0005-0000-0000-0000B1100000}"/>
    <cellStyle name="Percent 6 2 3 2" xfId="3782" xr:uid="{00000000-0005-0000-0000-0000B2100000}"/>
    <cellStyle name="Percent 6 2 4" xfId="3783" xr:uid="{00000000-0005-0000-0000-0000B3100000}"/>
    <cellStyle name="Percent 6 3" xfId="3784" xr:uid="{00000000-0005-0000-0000-0000B4100000}"/>
    <cellStyle name="Percent 6 3 2" xfId="3785" xr:uid="{00000000-0005-0000-0000-0000B5100000}"/>
    <cellStyle name="Percent 6 3 2 2" xfId="3786" xr:uid="{00000000-0005-0000-0000-0000B6100000}"/>
    <cellStyle name="Percent 6 3 3" xfId="3787" xr:uid="{00000000-0005-0000-0000-0000B7100000}"/>
    <cellStyle name="Percent 6 3 3 2" xfId="3788" xr:uid="{00000000-0005-0000-0000-0000B8100000}"/>
    <cellStyle name="Percent 6 3 4" xfId="3789" xr:uid="{00000000-0005-0000-0000-0000B9100000}"/>
    <cellStyle name="Percent 6 4" xfId="3790" xr:uid="{00000000-0005-0000-0000-0000BA100000}"/>
    <cellStyle name="Percent 6 4 2" xfId="3791" xr:uid="{00000000-0005-0000-0000-0000BB100000}"/>
    <cellStyle name="Percent 6 4 2 2" xfId="3792" xr:uid="{00000000-0005-0000-0000-0000BC100000}"/>
    <cellStyle name="Percent 6 4 3" xfId="3793" xr:uid="{00000000-0005-0000-0000-0000BD100000}"/>
    <cellStyle name="Percent 6 4 3 2" xfId="3794" xr:uid="{00000000-0005-0000-0000-0000BE100000}"/>
    <cellStyle name="Percent 6 4 4" xfId="3795" xr:uid="{00000000-0005-0000-0000-0000BF100000}"/>
    <cellStyle name="Percent 6 5" xfId="3796" xr:uid="{00000000-0005-0000-0000-0000C0100000}"/>
    <cellStyle name="Percent 6 5 2" xfId="3797" xr:uid="{00000000-0005-0000-0000-0000C1100000}"/>
    <cellStyle name="Percent 6 5 2 2" xfId="3798" xr:uid="{00000000-0005-0000-0000-0000C2100000}"/>
    <cellStyle name="Percent 6 5 3" xfId="3799" xr:uid="{00000000-0005-0000-0000-0000C3100000}"/>
    <cellStyle name="Percent 6 5 3 2" xfId="3800" xr:uid="{00000000-0005-0000-0000-0000C4100000}"/>
    <cellStyle name="Percent 6 5 4" xfId="3801" xr:uid="{00000000-0005-0000-0000-0000C5100000}"/>
    <cellStyle name="Percent 6 6" xfId="3802" xr:uid="{00000000-0005-0000-0000-0000C6100000}"/>
    <cellStyle name="Percent 6 6 2" xfId="3803" xr:uid="{00000000-0005-0000-0000-0000C7100000}"/>
    <cellStyle name="Percent 6 7" xfId="3804" xr:uid="{00000000-0005-0000-0000-0000C8100000}"/>
    <cellStyle name="Percent 6 7 2" xfId="3805" xr:uid="{00000000-0005-0000-0000-0000C9100000}"/>
    <cellStyle name="Percent 6 8" xfId="3806" xr:uid="{00000000-0005-0000-0000-0000CA100000}"/>
    <cellStyle name="Percent 7" xfId="3807" xr:uid="{00000000-0005-0000-0000-0000CB100000}"/>
    <cellStyle name="Percent 7 2" xfId="3808" xr:uid="{00000000-0005-0000-0000-0000CC100000}"/>
    <cellStyle name="Percent 7 2 2" xfId="3809" xr:uid="{00000000-0005-0000-0000-0000CD100000}"/>
    <cellStyle name="Percent 7 2 2 2" xfId="3810" xr:uid="{00000000-0005-0000-0000-0000CE100000}"/>
    <cellStyle name="Percent 7 2 3" xfId="3811" xr:uid="{00000000-0005-0000-0000-0000CF100000}"/>
    <cellStyle name="Percent 7 2 3 2" xfId="3812" xr:uid="{00000000-0005-0000-0000-0000D0100000}"/>
    <cellStyle name="Percent 7 2 4" xfId="3813" xr:uid="{00000000-0005-0000-0000-0000D1100000}"/>
    <cellStyle name="Percent 7 3" xfId="3814" xr:uid="{00000000-0005-0000-0000-0000D2100000}"/>
    <cellStyle name="Percent 7 3 2" xfId="3815" xr:uid="{00000000-0005-0000-0000-0000D3100000}"/>
    <cellStyle name="Percent 7 3 2 2" xfId="3816" xr:uid="{00000000-0005-0000-0000-0000D4100000}"/>
    <cellStyle name="Percent 7 3 3" xfId="3817" xr:uid="{00000000-0005-0000-0000-0000D5100000}"/>
    <cellStyle name="Percent 7 3 3 2" xfId="3818" xr:uid="{00000000-0005-0000-0000-0000D6100000}"/>
    <cellStyle name="Percent 7 3 4" xfId="3819" xr:uid="{00000000-0005-0000-0000-0000D7100000}"/>
    <cellStyle name="Percent 7 4" xfId="3820" xr:uid="{00000000-0005-0000-0000-0000D8100000}"/>
    <cellStyle name="Percent 7 4 2" xfId="3821" xr:uid="{00000000-0005-0000-0000-0000D9100000}"/>
    <cellStyle name="Percent 7 4 2 2" xfId="3822" xr:uid="{00000000-0005-0000-0000-0000DA100000}"/>
    <cellStyle name="Percent 7 4 3" xfId="3823" xr:uid="{00000000-0005-0000-0000-0000DB100000}"/>
    <cellStyle name="Percent 7 4 3 2" xfId="3824" xr:uid="{00000000-0005-0000-0000-0000DC100000}"/>
    <cellStyle name="Percent 7 4 4" xfId="3825" xr:uid="{00000000-0005-0000-0000-0000DD100000}"/>
    <cellStyle name="Percent 7 5" xfId="3826" xr:uid="{00000000-0005-0000-0000-0000DE100000}"/>
    <cellStyle name="Percent 7 5 2" xfId="3827" xr:uid="{00000000-0005-0000-0000-0000DF100000}"/>
    <cellStyle name="Percent 7 5 2 2" xfId="3828" xr:uid="{00000000-0005-0000-0000-0000E0100000}"/>
    <cellStyle name="Percent 7 5 3" xfId="3829" xr:uid="{00000000-0005-0000-0000-0000E1100000}"/>
    <cellStyle name="Percent 7 5 3 2" xfId="3830" xr:uid="{00000000-0005-0000-0000-0000E2100000}"/>
    <cellStyle name="Percent 7 5 4" xfId="3831" xr:uid="{00000000-0005-0000-0000-0000E3100000}"/>
    <cellStyle name="Percent 7 6" xfId="3832" xr:uid="{00000000-0005-0000-0000-0000E4100000}"/>
    <cellStyle name="Percent 7 6 2" xfId="3833" xr:uid="{00000000-0005-0000-0000-0000E5100000}"/>
    <cellStyle name="Percent 7 7" xfId="3834" xr:uid="{00000000-0005-0000-0000-0000E6100000}"/>
    <cellStyle name="Percent 7 7 2" xfId="3835" xr:uid="{00000000-0005-0000-0000-0000E7100000}"/>
    <cellStyle name="Percent 7 8" xfId="3836" xr:uid="{00000000-0005-0000-0000-0000E8100000}"/>
    <cellStyle name="Percent 8" xfId="3837" xr:uid="{00000000-0005-0000-0000-0000E9100000}"/>
    <cellStyle name="Percent 8 2" xfId="3838" xr:uid="{00000000-0005-0000-0000-0000EA100000}"/>
    <cellStyle name="Percent 8 3" xfId="3839" xr:uid="{00000000-0005-0000-0000-0000EB100000}"/>
    <cellStyle name="Percent 8 3 2" xfId="3840" xr:uid="{00000000-0005-0000-0000-0000EC100000}"/>
    <cellStyle name="Percent 8 4" xfId="3841" xr:uid="{00000000-0005-0000-0000-0000ED100000}"/>
    <cellStyle name="Percent 8 4 2" xfId="3842" xr:uid="{00000000-0005-0000-0000-0000EE100000}"/>
    <cellStyle name="Percent 8 5" xfId="3843" xr:uid="{00000000-0005-0000-0000-0000EF100000}"/>
    <cellStyle name="Percent 9" xfId="3844" xr:uid="{00000000-0005-0000-0000-0000F0100000}"/>
    <cellStyle name="Percent 9 10" xfId="3845" xr:uid="{00000000-0005-0000-0000-0000F1100000}"/>
    <cellStyle name="Percent 9 10 2" xfId="3846" xr:uid="{00000000-0005-0000-0000-0000F2100000}"/>
    <cellStyle name="Percent 9 11" xfId="3847" xr:uid="{00000000-0005-0000-0000-0000F3100000}"/>
    <cellStyle name="Percent 9 2" xfId="3848" xr:uid="{00000000-0005-0000-0000-0000F4100000}"/>
    <cellStyle name="Percent 9 2 2" xfId="3849" xr:uid="{00000000-0005-0000-0000-0000F5100000}"/>
    <cellStyle name="Percent 9 2 2 2" xfId="3850" xr:uid="{00000000-0005-0000-0000-0000F6100000}"/>
    <cellStyle name="Percent 9 2 3" xfId="3851" xr:uid="{00000000-0005-0000-0000-0000F7100000}"/>
    <cellStyle name="Percent 9 2 3 2" xfId="3852" xr:uid="{00000000-0005-0000-0000-0000F8100000}"/>
    <cellStyle name="Percent 9 2 4" xfId="3853" xr:uid="{00000000-0005-0000-0000-0000F9100000}"/>
    <cellStyle name="Percent 9 3" xfId="3854" xr:uid="{00000000-0005-0000-0000-0000FA100000}"/>
    <cellStyle name="Percent 9 3 2" xfId="3855" xr:uid="{00000000-0005-0000-0000-0000FB100000}"/>
    <cellStyle name="Percent 9 3 2 2" xfId="3856" xr:uid="{00000000-0005-0000-0000-0000FC100000}"/>
    <cellStyle name="Percent 9 3 3" xfId="3857" xr:uid="{00000000-0005-0000-0000-0000FD100000}"/>
    <cellStyle name="Percent 9 3 3 2" xfId="3858" xr:uid="{00000000-0005-0000-0000-0000FE100000}"/>
    <cellStyle name="Percent 9 3 4" xfId="3859" xr:uid="{00000000-0005-0000-0000-0000FF100000}"/>
    <cellStyle name="Percent 9 4" xfId="3860" xr:uid="{00000000-0005-0000-0000-000000110000}"/>
    <cellStyle name="Percent 9 4 2" xfId="3861" xr:uid="{00000000-0005-0000-0000-000001110000}"/>
    <cellStyle name="Percent 9 4 2 2" xfId="3862" xr:uid="{00000000-0005-0000-0000-000002110000}"/>
    <cellStyle name="Percent 9 4 3" xfId="3863" xr:uid="{00000000-0005-0000-0000-000003110000}"/>
    <cellStyle name="Percent 9 4 3 2" xfId="3864" xr:uid="{00000000-0005-0000-0000-000004110000}"/>
    <cellStyle name="Percent 9 4 4" xfId="3865" xr:uid="{00000000-0005-0000-0000-000005110000}"/>
    <cellStyle name="Percent 9 5" xfId="3866" xr:uid="{00000000-0005-0000-0000-000006110000}"/>
    <cellStyle name="Percent 9 5 2" xfId="3867" xr:uid="{00000000-0005-0000-0000-000007110000}"/>
    <cellStyle name="Percent 9 5 2 2" xfId="3868" xr:uid="{00000000-0005-0000-0000-000008110000}"/>
    <cellStyle name="Percent 9 5 3" xfId="3869" xr:uid="{00000000-0005-0000-0000-000009110000}"/>
    <cellStyle name="Percent 9 5 3 2" xfId="3870" xr:uid="{00000000-0005-0000-0000-00000A110000}"/>
    <cellStyle name="Percent 9 5 4" xfId="3871" xr:uid="{00000000-0005-0000-0000-00000B110000}"/>
    <cellStyle name="Percent 9 6" xfId="3872" xr:uid="{00000000-0005-0000-0000-00000C110000}"/>
    <cellStyle name="Percent 9 6 2" xfId="3873" xr:uid="{00000000-0005-0000-0000-00000D110000}"/>
    <cellStyle name="Percent 9 6 2 2" xfId="3874" xr:uid="{00000000-0005-0000-0000-00000E110000}"/>
    <cellStyle name="Percent 9 6 3" xfId="3875" xr:uid="{00000000-0005-0000-0000-00000F110000}"/>
    <cellStyle name="Percent 9 6 3 2" xfId="3876" xr:uid="{00000000-0005-0000-0000-000010110000}"/>
    <cellStyle name="Percent 9 6 4" xfId="3877" xr:uid="{00000000-0005-0000-0000-000011110000}"/>
    <cellStyle name="Percent 9 7" xfId="3878" xr:uid="{00000000-0005-0000-0000-000012110000}"/>
    <cellStyle name="Percent 9 7 2" xfId="3879" xr:uid="{00000000-0005-0000-0000-000013110000}"/>
    <cellStyle name="Percent 9 7 2 2" xfId="3880" xr:uid="{00000000-0005-0000-0000-000014110000}"/>
    <cellStyle name="Percent 9 7 3" xfId="3881" xr:uid="{00000000-0005-0000-0000-000015110000}"/>
    <cellStyle name="Percent 9 7 3 2" xfId="3882" xr:uid="{00000000-0005-0000-0000-000016110000}"/>
    <cellStyle name="Percent 9 7 4" xfId="3883" xr:uid="{00000000-0005-0000-0000-000017110000}"/>
    <cellStyle name="Percent 9 8" xfId="3884" xr:uid="{00000000-0005-0000-0000-000018110000}"/>
    <cellStyle name="Percent 9 8 2" xfId="3885" xr:uid="{00000000-0005-0000-0000-000019110000}"/>
    <cellStyle name="Percent 9 8 2 2" xfId="3886" xr:uid="{00000000-0005-0000-0000-00001A110000}"/>
    <cellStyle name="Percent 9 8 3" xfId="3887" xr:uid="{00000000-0005-0000-0000-00001B110000}"/>
    <cellStyle name="Percent 9 8 3 2" xfId="3888" xr:uid="{00000000-0005-0000-0000-00001C110000}"/>
    <cellStyle name="Percent 9 8 4" xfId="3889" xr:uid="{00000000-0005-0000-0000-00001D110000}"/>
    <cellStyle name="Percent 9 9" xfId="3890" xr:uid="{00000000-0005-0000-0000-00001E110000}"/>
    <cellStyle name="Percent 9 9 2" xfId="3891" xr:uid="{00000000-0005-0000-0000-00001F110000}"/>
    <cellStyle name="Result" xfId="52" xr:uid="{00000000-0005-0000-0000-000020110000}"/>
    <cellStyle name="Result 2" xfId="3892" xr:uid="{00000000-0005-0000-0000-000021110000}"/>
    <cellStyle name="Result 3" xfId="3893" xr:uid="{00000000-0005-0000-0000-000022110000}"/>
    <cellStyle name="Result_AGL" xfId="3894" xr:uid="{00000000-0005-0000-0000-000023110000}"/>
    <cellStyle name="Result2" xfId="53" xr:uid="{00000000-0005-0000-0000-000024110000}"/>
    <cellStyle name="Result2 2" xfId="3895" xr:uid="{00000000-0005-0000-0000-000025110000}"/>
    <cellStyle name="Result2 3" xfId="3896" xr:uid="{00000000-0005-0000-0000-000026110000}"/>
    <cellStyle name="Result2_AGL" xfId="3897" xr:uid="{00000000-0005-0000-0000-000027110000}"/>
    <cellStyle name="Standard_Tables  Draft Report" xfId="3898" xr:uid="{00000000-0005-0000-0000-000028110000}"/>
    <cellStyle name="Style 1" xfId="3899" xr:uid="{00000000-0005-0000-0000-000029110000}"/>
    <cellStyle name="Style 1 2" xfId="3900" xr:uid="{00000000-0005-0000-0000-00002A110000}"/>
    <cellStyle name="Style 1 3" xfId="3901" xr:uid="{00000000-0005-0000-0000-00002B110000}"/>
    <cellStyle name="Style 1_AGL" xfId="3902" xr:uid="{00000000-0005-0000-0000-00002C110000}"/>
    <cellStyle name="Table_HeaderRow" xfId="3903" xr:uid="{00000000-0005-0000-0000-00002D110000}"/>
    <cellStyle name="Title 2" xfId="3904" xr:uid="{00000000-0005-0000-0000-00002E110000}"/>
    <cellStyle name="Total 2" xfId="3905" xr:uid="{00000000-0005-0000-0000-00002F110000}"/>
    <cellStyle name="Total 2 2" xfId="3906" xr:uid="{00000000-0005-0000-0000-000030110000}"/>
    <cellStyle name="Total 2 2 2" xfId="3907" xr:uid="{00000000-0005-0000-0000-000031110000}"/>
    <cellStyle name="Total 2 2 2 2" xfId="4418" xr:uid="{00000000-0005-0000-0000-000032110000}"/>
    <cellStyle name="Total 2 2 3" xfId="4417" xr:uid="{00000000-0005-0000-0000-000033110000}"/>
    <cellStyle name="Total 2 2_Sheet10" xfId="3908" xr:uid="{00000000-0005-0000-0000-000034110000}"/>
    <cellStyle name="Total 2 3" xfId="3909" xr:uid="{00000000-0005-0000-0000-000035110000}"/>
    <cellStyle name="Total 2 3 2" xfId="4419" xr:uid="{00000000-0005-0000-0000-000036110000}"/>
    <cellStyle name="Total 2_AGL" xfId="3910" xr:uid="{00000000-0005-0000-0000-000037110000}"/>
    <cellStyle name="Total 3" xfId="3911" xr:uid="{00000000-0005-0000-0000-000038110000}"/>
    <cellStyle name="Total 3 2" xfId="3912" xr:uid="{00000000-0005-0000-0000-000039110000}"/>
    <cellStyle name="Total 3 2 2" xfId="4421" xr:uid="{00000000-0005-0000-0000-00003A110000}"/>
    <cellStyle name="Total 3 3" xfId="4420" xr:uid="{00000000-0005-0000-0000-00003B110000}"/>
    <cellStyle name="Total 3_Sheet10" xfId="3913" xr:uid="{00000000-0005-0000-0000-00003C110000}"/>
    <cellStyle name="Total 4" xfId="3914" xr:uid="{00000000-0005-0000-0000-00003D110000}"/>
    <cellStyle name="Total 4 2" xfId="4422" xr:uid="{00000000-0005-0000-0000-00003E110000}"/>
    <cellStyle name="Update" xfId="3915" xr:uid="{00000000-0005-0000-0000-00003F110000}"/>
    <cellStyle name="Warning Text 2" xfId="3916" xr:uid="{00000000-0005-0000-0000-000040110000}"/>
    <cellStyle name="Warning Text 2 2" xfId="3917" xr:uid="{00000000-0005-0000-0000-000041110000}"/>
    <cellStyle name="Warning Text 2 3" xfId="3918" xr:uid="{00000000-0005-0000-0000-000042110000}"/>
    <cellStyle name="Warning Text 2_AGL" xfId="3919" xr:uid="{00000000-0005-0000-0000-000043110000}"/>
    <cellStyle name="Warning Text 3" xfId="3920" xr:uid="{00000000-0005-0000-0000-000044110000}"/>
    <cellStyle name="Warning Text 4" xfId="3921" xr:uid="{00000000-0005-0000-0000-000045110000}"/>
    <cellStyle name="Обычный_2++" xfId="54" xr:uid="{00000000-0005-0000-0000-000046110000}"/>
    <cellStyle name="標準 2" xfId="3922" xr:uid="{00000000-0005-0000-0000-000047110000}"/>
    <cellStyle name="標準_Sheet1 2" xfId="3923" xr:uid="{00000000-0005-0000-0000-000048110000}"/>
  </cellStyles>
  <dxfs count="23">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4.xml"/><Relationship Id="rId33"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externalLink" Target="externalLinks/externalLink3.xml"/><Relationship Id="rId32"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externalLink" Target="externalLinks/externalLink2.xml"/><Relationship Id="rId28" Type="http://schemas.openxmlformats.org/officeDocument/2006/relationships/externalLink" Target="externalLinks/externalLink7.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openxmlformats.org/officeDocument/2006/relationships/externalLink" Target="externalLinks/externalLink6.xml"/><Relationship Id="rId30" Type="http://schemas.openxmlformats.org/officeDocument/2006/relationships/styles" Target="styles.xml"/><Relationship Id="rId8" Type="http://schemas.openxmlformats.org/officeDocument/2006/relationships/worksheet" Target="worksheets/sheet8.xml"/></Relationships>
</file>

<file path=xl/charts/_rels/chart3.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4.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5.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6.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8.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9.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10.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4.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2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3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RES!$C$22</c:f>
              <c:strCache>
                <c:ptCount val="1"/>
                <c:pt idx="0">
                  <c:v>Low Income</c:v>
                </c:pt>
              </c:strCache>
            </c:strRef>
          </c:tx>
          <c:cat>
            <c:numRef>
              <c:f>RES!$E$21:$I$21</c:f>
              <c:numCache>
                <c:formatCode>General</c:formatCode>
                <c:ptCount val="5"/>
                <c:pt idx="0">
                  <c:v>2012</c:v>
                </c:pt>
                <c:pt idx="1">
                  <c:v>2020</c:v>
                </c:pt>
                <c:pt idx="2">
                  <c:v>2030</c:v>
                </c:pt>
                <c:pt idx="3">
                  <c:v>2040</c:v>
                </c:pt>
                <c:pt idx="4">
                  <c:v>2050</c:v>
                </c:pt>
              </c:numCache>
            </c:numRef>
          </c:cat>
          <c:val>
            <c:numRef>
              <c:f>RES!$E$22:$I$22</c:f>
              <c:numCache>
                <c:formatCode>0.0</c:formatCode>
                <c:ptCount val="5"/>
                <c:pt idx="0">
                  <c:v>26.162716441035041</c:v>
                </c:pt>
                <c:pt idx="1">
                  <c:v>26.998265626975765</c:v>
                </c:pt>
                <c:pt idx="2">
                  <c:v>27.268179044262631</c:v>
                </c:pt>
                <c:pt idx="3">
                  <c:v>24.363641895847387</c:v>
                </c:pt>
                <c:pt idx="4" formatCode="0.000">
                  <c:v>20.711110331567543</c:v>
                </c:pt>
              </c:numCache>
            </c:numRef>
          </c:val>
          <c:extLst>
            <c:ext xmlns:c16="http://schemas.microsoft.com/office/drawing/2014/chart" uri="{C3380CC4-5D6E-409C-BE32-E72D297353CC}">
              <c16:uniqueId val="{00000000-00D9-4774-931B-45CE2C08E25D}"/>
            </c:ext>
          </c:extLst>
        </c:ser>
        <c:ser>
          <c:idx val="1"/>
          <c:order val="1"/>
          <c:tx>
            <c:strRef>
              <c:f>RES!$C$23</c:f>
              <c:strCache>
                <c:ptCount val="1"/>
                <c:pt idx="0">
                  <c:v>Middle Income</c:v>
                </c:pt>
              </c:strCache>
            </c:strRef>
          </c:tx>
          <c:cat>
            <c:numRef>
              <c:f>RES!$E$21:$I$21</c:f>
              <c:numCache>
                <c:formatCode>General</c:formatCode>
                <c:ptCount val="5"/>
                <c:pt idx="0">
                  <c:v>2012</c:v>
                </c:pt>
                <c:pt idx="1">
                  <c:v>2020</c:v>
                </c:pt>
                <c:pt idx="2">
                  <c:v>2030</c:v>
                </c:pt>
                <c:pt idx="3">
                  <c:v>2040</c:v>
                </c:pt>
                <c:pt idx="4">
                  <c:v>2050</c:v>
                </c:pt>
              </c:numCache>
            </c:numRef>
          </c:cat>
          <c:val>
            <c:numRef>
              <c:f>RES!$E$23:$I$23</c:f>
              <c:numCache>
                <c:formatCode>0.0</c:formatCode>
                <c:ptCount val="5"/>
                <c:pt idx="0">
                  <c:v>15.697629864621025</c:v>
                </c:pt>
                <c:pt idx="1">
                  <c:v>19.311259441517389</c:v>
                </c:pt>
                <c:pt idx="2">
                  <c:v>21.60781205322996</c:v>
                </c:pt>
                <c:pt idx="3">
                  <c:v>24.637054970594811</c:v>
                </c:pt>
                <c:pt idx="4" formatCode="0.000">
                  <c:v>27.181128980417853</c:v>
                </c:pt>
              </c:numCache>
            </c:numRef>
          </c:val>
          <c:extLst>
            <c:ext xmlns:c16="http://schemas.microsoft.com/office/drawing/2014/chart" uri="{C3380CC4-5D6E-409C-BE32-E72D297353CC}">
              <c16:uniqueId val="{00000001-00D9-4774-931B-45CE2C08E25D}"/>
            </c:ext>
          </c:extLst>
        </c:ser>
        <c:ser>
          <c:idx val="2"/>
          <c:order val="2"/>
          <c:tx>
            <c:strRef>
              <c:f>RES!$C$24</c:f>
              <c:strCache>
                <c:ptCount val="1"/>
                <c:pt idx="0">
                  <c:v>High Income</c:v>
                </c:pt>
              </c:strCache>
            </c:strRef>
          </c:tx>
          <c:cat>
            <c:numRef>
              <c:f>RES!$E$21:$I$21</c:f>
              <c:numCache>
                <c:formatCode>General</c:formatCode>
                <c:ptCount val="5"/>
                <c:pt idx="0">
                  <c:v>2012</c:v>
                </c:pt>
                <c:pt idx="1">
                  <c:v>2020</c:v>
                </c:pt>
                <c:pt idx="2">
                  <c:v>2030</c:v>
                </c:pt>
                <c:pt idx="3">
                  <c:v>2040</c:v>
                </c:pt>
                <c:pt idx="4">
                  <c:v>2050</c:v>
                </c:pt>
              </c:numCache>
            </c:numRef>
          </c:cat>
          <c:val>
            <c:numRef>
              <c:f>RES!$E$24:$I$24</c:f>
              <c:numCache>
                <c:formatCode>0.0</c:formatCode>
                <c:ptCount val="5"/>
                <c:pt idx="0">
                  <c:v>10.465086576414015</c:v>
                </c:pt>
                <c:pt idx="1">
                  <c:v>12.021367799432369</c:v>
                </c:pt>
                <c:pt idx="2">
                  <c:v>17.164799763201472</c:v>
                </c:pt>
                <c:pt idx="3">
                  <c:v>22.424914126799209</c:v>
                </c:pt>
                <c:pt idx="4" formatCode="0.000">
                  <c:v>27.625669642404802</c:v>
                </c:pt>
              </c:numCache>
            </c:numRef>
          </c:val>
          <c:extLst>
            <c:ext xmlns:c16="http://schemas.microsoft.com/office/drawing/2014/chart" uri="{C3380CC4-5D6E-409C-BE32-E72D297353CC}">
              <c16:uniqueId val="{00000002-00D9-4774-931B-45CE2C08E25D}"/>
            </c:ext>
          </c:extLst>
        </c:ser>
        <c:dLbls>
          <c:showLegendKey val="0"/>
          <c:showVal val="0"/>
          <c:showCatName val="0"/>
          <c:showSerName val="0"/>
          <c:showPercent val="0"/>
          <c:showBubbleSize val="0"/>
        </c:dLbls>
        <c:axId val="515096576"/>
        <c:axId val="515096184"/>
      </c:areaChart>
      <c:catAx>
        <c:axId val="515096576"/>
        <c:scaling>
          <c:orientation val="minMax"/>
        </c:scaling>
        <c:delete val="0"/>
        <c:axPos val="b"/>
        <c:numFmt formatCode="General" sourceLinked="1"/>
        <c:majorTickMark val="out"/>
        <c:minorTickMark val="none"/>
        <c:tickLblPos val="nextTo"/>
        <c:crossAx val="515096184"/>
        <c:crosses val="autoZero"/>
        <c:auto val="1"/>
        <c:lblAlgn val="ctr"/>
        <c:lblOffset val="100"/>
        <c:noMultiLvlLbl val="0"/>
      </c:catAx>
      <c:valAx>
        <c:axId val="515096184"/>
        <c:scaling>
          <c:orientation val="minMax"/>
        </c:scaling>
        <c:delete val="0"/>
        <c:axPos val="l"/>
        <c:majorGridlines/>
        <c:numFmt formatCode="0.0" sourceLinked="1"/>
        <c:majorTickMark val="out"/>
        <c:minorTickMark val="none"/>
        <c:tickLblPos val="nextTo"/>
        <c:crossAx val="515096576"/>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3"/>
          <c:order val="0"/>
          <c:tx>
            <c:strRef>
              <c:f>RES!$C$37</c:f>
              <c:strCache>
                <c:ptCount val="1"/>
                <c:pt idx="0">
                  <c:v>Low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RES!$E$37:$I$37</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0-58F7-427C-8CEB-72FE487C2F50}"/>
            </c:ext>
          </c:extLst>
        </c:ser>
        <c:ser>
          <c:idx val="0"/>
          <c:order val="1"/>
          <c:tx>
            <c:strRef>
              <c:f>RES!$C$34</c:f>
              <c:strCache>
                <c:ptCount val="1"/>
                <c:pt idx="0">
                  <c:v>Low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RES!$E$34:$I$34</c:f>
              <c:numCache>
                <c:formatCode>0.0</c:formatCode>
                <c:ptCount val="5"/>
                <c:pt idx="0">
                  <c:v>26.162716441035041</c:v>
                </c:pt>
                <c:pt idx="1">
                  <c:v>26.998265626975765</c:v>
                </c:pt>
                <c:pt idx="2">
                  <c:v>27.268179044262631</c:v>
                </c:pt>
                <c:pt idx="3">
                  <c:v>24.363641895847387</c:v>
                </c:pt>
                <c:pt idx="4">
                  <c:v>20.711110331567543</c:v>
                </c:pt>
              </c:numCache>
            </c:numRef>
          </c:val>
          <c:extLst>
            <c:ext xmlns:c16="http://schemas.microsoft.com/office/drawing/2014/chart" uri="{C3380CC4-5D6E-409C-BE32-E72D297353CC}">
              <c16:uniqueId val="{00000001-58F7-427C-8CEB-72FE487C2F50}"/>
            </c:ext>
          </c:extLst>
        </c:ser>
        <c:ser>
          <c:idx val="4"/>
          <c:order val="2"/>
          <c:tx>
            <c:strRef>
              <c:f>RES!$C$38</c:f>
              <c:strCache>
                <c:ptCount val="1"/>
                <c:pt idx="0">
                  <c:v>Middle Income Non-Electrified</c:v>
                </c:pt>
              </c:strCache>
            </c:strRef>
          </c:tx>
          <c:spPr>
            <a:ln w="25400">
              <a:noFill/>
            </a:ln>
          </c:spPr>
          <c:cat>
            <c:numRef>
              <c:f>RES!$E$21:$I$21</c:f>
              <c:numCache>
                <c:formatCode>General</c:formatCode>
                <c:ptCount val="5"/>
                <c:pt idx="0">
                  <c:v>2012</c:v>
                </c:pt>
                <c:pt idx="1">
                  <c:v>2020</c:v>
                </c:pt>
                <c:pt idx="2">
                  <c:v>2030</c:v>
                </c:pt>
                <c:pt idx="3">
                  <c:v>2040</c:v>
                </c:pt>
                <c:pt idx="4">
                  <c:v>2050</c:v>
                </c:pt>
              </c:numCache>
            </c:numRef>
          </c:cat>
          <c:val>
            <c:numRef>
              <c:f>RES!$E$38:$I$38</c:f>
              <c:numCache>
                <c:formatCode>0.0</c:formatCode>
                <c:ptCount val="5"/>
                <c:pt idx="0">
                  <c:v>0</c:v>
                </c:pt>
                <c:pt idx="1">
                  <c:v>0</c:v>
                </c:pt>
                <c:pt idx="2">
                  <c:v>0</c:v>
                </c:pt>
                <c:pt idx="3">
                  <c:v>0</c:v>
                </c:pt>
                <c:pt idx="4">
                  <c:v>0</c:v>
                </c:pt>
              </c:numCache>
            </c:numRef>
          </c:val>
          <c:extLst>
            <c:ext xmlns:c16="http://schemas.microsoft.com/office/drawing/2014/chart" uri="{C3380CC4-5D6E-409C-BE32-E72D297353CC}">
              <c16:uniqueId val="{00000002-58F7-427C-8CEB-72FE487C2F50}"/>
            </c:ext>
          </c:extLst>
        </c:ser>
        <c:ser>
          <c:idx val="1"/>
          <c:order val="3"/>
          <c:tx>
            <c:strRef>
              <c:f>RES!$C$35</c:f>
              <c:strCache>
                <c:ptCount val="1"/>
                <c:pt idx="0">
                  <c:v>Middle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RES!$E$35:$I$35</c:f>
              <c:numCache>
                <c:formatCode>0.0</c:formatCode>
                <c:ptCount val="5"/>
                <c:pt idx="0">
                  <c:v>15.697629864621025</c:v>
                </c:pt>
                <c:pt idx="1">
                  <c:v>19.311259441517389</c:v>
                </c:pt>
                <c:pt idx="2">
                  <c:v>21.60781205322996</c:v>
                </c:pt>
                <c:pt idx="3">
                  <c:v>24.637054970594811</c:v>
                </c:pt>
                <c:pt idx="4">
                  <c:v>27.181128980417853</c:v>
                </c:pt>
              </c:numCache>
            </c:numRef>
          </c:val>
          <c:extLst>
            <c:ext xmlns:c16="http://schemas.microsoft.com/office/drawing/2014/chart" uri="{C3380CC4-5D6E-409C-BE32-E72D297353CC}">
              <c16:uniqueId val="{00000003-58F7-427C-8CEB-72FE487C2F50}"/>
            </c:ext>
          </c:extLst>
        </c:ser>
        <c:ser>
          <c:idx val="2"/>
          <c:order val="4"/>
          <c:tx>
            <c:strRef>
              <c:f>RES!$C$36</c:f>
              <c:strCache>
                <c:ptCount val="1"/>
                <c:pt idx="0">
                  <c:v>High Income Electrified</c:v>
                </c:pt>
              </c:strCache>
            </c:strRef>
          </c:tx>
          <c:cat>
            <c:numRef>
              <c:f>RES!$E$21:$I$21</c:f>
              <c:numCache>
                <c:formatCode>General</c:formatCode>
                <c:ptCount val="5"/>
                <c:pt idx="0">
                  <c:v>2012</c:v>
                </c:pt>
                <c:pt idx="1">
                  <c:v>2020</c:v>
                </c:pt>
                <c:pt idx="2">
                  <c:v>2030</c:v>
                </c:pt>
                <c:pt idx="3">
                  <c:v>2040</c:v>
                </c:pt>
                <c:pt idx="4">
                  <c:v>2050</c:v>
                </c:pt>
              </c:numCache>
            </c:numRef>
          </c:cat>
          <c:val>
            <c:numRef>
              <c:f>RES!$E$36:$I$36</c:f>
              <c:numCache>
                <c:formatCode>0.0</c:formatCode>
                <c:ptCount val="5"/>
                <c:pt idx="0">
                  <c:v>10.465086576414015</c:v>
                </c:pt>
                <c:pt idx="1">
                  <c:v>12.021367799432369</c:v>
                </c:pt>
                <c:pt idx="2">
                  <c:v>17.164799763201472</c:v>
                </c:pt>
                <c:pt idx="3">
                  <c:v>22.424914126799209</c:v>
                </c:pt>
                <c:pt idx="4">
                  <c:v>27.625669642404802</c:v>
                </c:pt>
              </c:numCache>
            </c:numRef>
          </c:val>
          <c:extLst>
            <c:ext xmlns:c16="http://schemas.microsoft.com/office/drawing/2014/chart" uri="{C3380CC4-5D6E-409C-BE32-E72D297353CC}">
              <c16:uniqueId val="{00000004-58F7-427C-8CEB-72FE487C2F50}"/>
            </c:ext>
          </c:extLst>
        </c:ser>
        <c:dLbls>
          <c:showLegendKey val="0"/>
          <c:showVal val="0"/>
          <c:showCatName val="0"/>
          <c:showSerName val="0"/>
          <c:showPercent val="0"/>
          <c:showBubbleSize val="0"/>
        </c:dLbls>
        <c:axId val="515095400"/>
        <c:axId val="518098880"/>
      </c:areaChart>
      <c:catAx>
        <c:axId val="515095400"/>
        <c:scaling>
          <c:orientation val="minMax"/>
        </c:scaling>
        <c:delete val="0"/>
        <c:axPos val="b"/>
        <c:numFmt formatCode="General" sourceLinked="1"/>
        <c:majorTickMark val="out"/>
        <c:minorTickMark val="none"/>
        <c:tickLblPos val="nextTo"/>
        <c:crossAx val="518098880"/>
        <c:crosses val="autoZero"/>
        <c:auto val="1"/>
        <c:lblAlgn val="ctr"/>
        <c:lblOffset val="100"/>
        <c:noMultiLvlLbl val="0"/>
      </c:catAx>
      <c:valAx>
        <c:axId val="518098880"/>
        <c:scaling>
          <c:orientation val="minMax"/>
        </c:scaling>
        <c:delete val="0"/>
        <c:axPos val="l"/>
        <c:majorGridlines/>
        <c:numFmt formatCode="0.0" sourceLinked="1"/>
        <c:majorTickMark val="out"/>
        <c:minorTickMark val="none"/>
        <c:tickLblPos val="nextTo"/>
        <c:crossAx val="515095400"/>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RES!$J$99:$AP$99</c:f>
              <c:numCache>
                <c:formatCode>0.000</c:formatCode>
                <c:ptCount val="29"/>
                <c:pt idx="0">
                  <c:v>10.675871970797223</c:v>
                </c:pt>
                <c:pt idx="1">
                  <c:v>16.362877742831945</c:v>
                </c:pt>
                <c:pt idx="2">
                  <c:v>18.258546333510182</c:v>
                </c:pt>
                <c:pt idx="3">
                  <c:v>20.154214924188423</c:v>
                </c:pt>
                <c:pt idx="4">
                  <c:v>20.115619104279475</c:v>
                </c:pt>
                <c:pt idx="5">
                  <c:v>20.303949672683693</c:v>
                </c:pt>
                <c:pt idx="6">
                  <c:v>21.126818187459595</c:v>
                </c:pt>
                <c:pt idx="7">
                  <c:v>22.917911510773006</c:v>
                </c:pt>
                <c:pt idx="8">
                  <c:v>22.882998279601509</c:v>
                </c:pt>
                <c:pt idx="9">
                  <c:v>22.787073927250443</c:v>
                </c:pt>
                <c:pt idx="10">
                  <c:v>22.626649588119761</c:v>
                </c:pt>
                <c:pt idx="11">
                  <c:v>22.461327195838408</c:v>
                </c:pt>
                <c:pt idx="12">
                  <c:v>22.249415663441727</c:v>
                </c:pt>
                <c:pt idx="13">
                  <c:v>21.983655998891244</c:v>
                </c:pt>
                <c:pt idx="14">
                  <c:v>21.715941580164461</c:v>
                </c:pt>
                <c:pt idx="15">
                  <c:v>21.477192524420889</c:v>
                </c:pt>
                <c:pt idx="16">
                  <c:v>21.338032188098133</c:v>
                </c:pt>
                <c:pt idx="17">
                  <c:v>21.168391760367712</c:v>
                </c:pt>
                <c:pt idx="18">
                  <c:v>20.924886940712135</c:v>
                </c:pt>
                <c:pt idx="19">
                  <c:v>20.686722377601608</c:v>
                </c:pt>
                <c:pt idx="20">
                  <c:v>20.475641915229289</c:v>
                </c:pt>
                <c:pt idx="21">
                  <c:v>20.281970654395099</c:v>
                </c:pt>
                <c:pt idx="22">
                  <c:v>20.05186411081538</c:v>
                </c:pt>
                <c:pt idx="23">
                  <c:v>19.793256398538166</c:v>
                </c:pt>
                <c:pt idx="24">
                  <c:v>19.550123960248687</c:v>
                </c:pt>
                <c:pt idx="25">
                  <c:v>19.313747356478999</c:v>
                </c:pt>
                <c:pt idx="26">
                  <c:v>19.065159215399518</c:v>
                </c:pt>
                <c:pt idx="27">
                  <c:v>17.584529061157181</c:v>
                </c:pt>
                <c:pt idx="28">
                  <c:v>16.206961901961886</c:v>
                </c:pt>
              </c:numCache>
            </c:numRef>
          </c:val>
          <c:smooth val="0"/>
          <c:extLst>
            <c:ext xmlns:c16="http://schemas.microsoft.com/office/drawing/2014/chart" uri="{C3380CC4-5D6E-409C-BE32-E72D297353CC}">
              <c16:uniqueId val="{00000000-E241-4F06-B277-7B04E0A01E55}"/>
            </c:ext>
          </c:extLst>
        </c:ser>
        <c:ser>
          <c:idx val="1"/>
          <c:order val="1"/>
          <c:spPr>
            <a:ln w="28575" cap="rnd">
              <a:solidFill>
                <a:schemeClr val="accent2"/>
              </a:solidFill>
              <a:round/>
            </a:ln>
            <a:effectLst/>
          </c:spPr>
          <c:marker>
            <c:symbol val="none"/>
          </c:marker>
          <c:val>
            <c:numRef>
              <c:f>RES!$J$100:$AP$100</c:f>
              <c:numCache>
                <c:formatCode>0.000</c:formatCode>
                <c:ptCount val="29"/>
                <c:pt idx="0" formatCode="0.00">
                  <c:v>4.742986727829742E-2</c:v>
                </c:pt>
                <c:pt idx="1">
                  <c:v>4.2287971795668518E-2</c:v>
                </c:pt>
                <c:pt idx="2">
                  <c:v>4.0574006634792215E-2</c:v>
                </c:pt>
                <c:pt idx="3">
                  <c:v>3.8860041473915911E-2</c:v>
                </c:pt>
                <c:pt idx="4">
                  <c:v>3.8785623533647673E-2</c:v>
                </c:pt>
                <c:pt idx="5">
                  <c:v>3.9148750240717303E-2</c:v>
                </c:pt>
                <c:pt idx="6">
                  <c:v>4.0735351590958625E-2</c:v>
                </c:pt>
                <c:pt idx="7">
                  <c:v>4.4188820807667187E-2</c:v>
                </c:pt>
                <c:pt idx="8">
                  <c:v>4.412150339458927E-2</c:v>
                </c:pt>
                <c:pt idx="9">
                  <c:v>4.3936548320688225E-2</c:v>
                </c:pt>
                <c:pt idx="10">
                  <c:v>4.3627228583080289E-2</c:v>
                </c:pt>
                <c:pt idx="11">
                  <c:v>4.3308464739150551E-2</c:v>
                </c:pt>
                <c:pt idx="12">
                  <c:v>4.2899870756764623E-2</c:v>
                </c:pt>
                <c:pt idx="13">
                  <c:v>4.2387450321368196E-2</c:v>
                </c:pt>
                <c:pt idx="14">
                  <c:v>4.1871260856582736E-2</c:v>
                </c:pt>
                <c:pt idx="15">
                  <c:v>4.1410920513733733E-2</c:v>
                </c:pt>
                <c:pt idx="16">
                  <c:v>4.114260063814601E-2</c:v>
                </c:pt>
                <c:pt idx="17">
                  <c:v>4.0815511040160964E-2</c:v>
                </c:pt>
                <c:pt idx="18">
                  <c:v>4.0346000943810974E-2</c:v>
                </c:pt>
                <c:pt idx="19">
                  <c:v>3.9886787581499127E-2</c:v>
                </c:pt>
                <c:pt idx="20">
                  <c:v>3.9479796014078791E-2</c:v>
                </c:pt>
                <c:pt idx="21">
                  <c:v>3.9106371732526166E-2</c:v>
                </c:pt>
                <c:pt idx="22">
                  <c:v>3.866269531741582E-2</c:v>
                </c:pt>
                <c:pt idx="23">
                  <c:v>3.8164064809486385E-2</c:v>
                </c:pt>
                <c:pt idx="24">
                  <c:v>3.7695272714576053E-2</c:v>
                </c:pt>
                <c:pt idx="25">
                  <c:v>3.7239506778740508E-2</c:v>
                </c:pt>
                <c:pt idx="26">
                  <c:v>3.6760195353879276E-2</c:v>
                </c:pt>
                <c:pt idx="27">
                  <c:v>3.3905340951570932E-2</c:v>
                </c:pt>
                <c:pt idx="28">
                  <c:v>3.1249205887972604E-2</c:v>
                </c:pt>
              </c:numCache>
            </c:numRef>
          </c:val>
          <c:smooth val="0"/>
          <c:extLst>
            <c:ext xmlns:c16="http://schemas.microsoft.com/office/drawing/2014/chart" uri="{C3380CC4-5D6E-409C-BE32-E72D297353CC}">
              <c16:uniqueId val="{00000001-E241-4F06-B277-7B04E0A01E55}"/>
            </c:ext>
          </c:extLst>
        </c:ser>
        <c:ser>
          <c:idx val="2"/>
          <c:order val="2"/>
          <c:spPr>
            <a:ln w="28575" cap="rnd">
              <a:solidFill>
                <a:schemeClr val="accent3"/>
              </a:solidFill>
              <a:round/>
            </a:ln>
            <a:effectLst/>
          </c:spPr>
          <c:marker>
            <c:symbol val="none"/>
          </c:marker>
          <c:val>
            <c:numRef>
              <c:f>RES!$J$101:$AP$101</c:f>
              <c:numCache>
                <c:formatCode>0.000</c:formatCode>
                <c:ptCount val="29"/>
                <c:pt idx="0" formatCode="0.00">
                  <c:v>10.057139730159809</c:v>
                </c:pt>
                <c:pt idx="1">
                  <c:v>11.72053355251486</c:v>
                </c:pt>
                <c:pt idx="2">
                  <c:v>12.274998159966543</c:v>
                </c:pt>
                <c:pt idx="3">
                  <c:v>12.829462767418228</c:v>
                </c:pt>
                <c:pt idx="4">
                  <c:v>12.804894028999867</c:v>
                </c:pt>
                <c:pt idx="5">
                  <c:v>12.92477863003232</c:v>
                </c:pt>
                <c:pt idx="6">
                  <c:v>13.448587719719463</c:v>
                </c:pt>
                <c:pt idx="7">
                  <c:v>14.588734591768665</c:v>
                </c:pt>
                <c:pt idx="8">
                  <c:v>14.566510059526161</c:v>
                </c:pt>
                <c:pt idx="9">
                  <c:v>14.505447998234967</c:v>
                </c:pt>
                <c:pt idx="10">
                  <c:v>14.403327519039587</c:v>
                </c:pt>
                <c:pt idx="11">
                  <c:v>14.298089111869055</c:v>
                </c:pt>
                <c:pt idx="12">
                  <c:v>14.163193700408158</c:v>
                </c:pt>
                <c:pt idx="13">
                  <c:v>13.99402046621088</c:v>
                </c:pt>
                <c:pt idx="14">
                  <c:v>13.823602904411729</c:v>
                </c:pt>
                <c:pt idx="15">
                  <c:v>13.671623671633862</c:v>
                </c:pt>
                <c:pt idx="16">
                  <c:v>13.583039107051716</c:v>
                </c:pt>
                <c:pt idx="17">
                  <c:v>13.475051990728753</c:v>
                </c:pt>
                <c:pt idx="18">
                  <c:v>13.32004540628925</c:v>
                </c:pt>
                <c:pt idx="19">
                  <c:v>13.168438240917713</c:v>
                </c:pt>
                <c:pt idx="20">
                  <c:v>13.034071859338393</c:v>
                </c:pt>
                <c:pt idx="21">
                  <c:v>12.910787561768997</c:v>
                </c:pt>
                <c:pt idx="22">
                  <c:v>12.764309847578689</c:v>
                </c:pt>
                <c:pt idx="23">
                  <c:v>12.599689294086138</c:v>
                </c:pt>
                <c:pt idx="24">
                  <c:v>12.444919754497532</c:v>
                </c:pt>
                <c:pt idx="25">
                  <c:v>12.294450741015275</c:v>
                </c:pt>
                <c:pt idx="26">
                  <c:v>12.136208293348746</c:v>
                </c:pt>
                <c:pt idx="27">
                  <c:v>11.193691330637845</c:v>
                </c:pt>
                <c:pt idx="28">
                  <c:v>10.316780637515137</c:v>
                </c:pt>
              </c:numCache>
            </c:numRef>
          </c:val>
          <c:smooth val="0"/>
          <c:extLst>
            <c:ext xmlns:c16="http://schemas.microsoft.com/office/drawing/2014/chart" uri="{C3380CC4-5D6E-409C-BE32-E72D297353CC}">
              <c16:uniqueId val="{00000002-E241-4F06-B277-7B04E0A01E55}"/>
            </c:ext>
          </c:extLst>
        </c:ser>
        <c:ser>
          <c:idx val="3"/>
          <c:order val="3"/>
          <c:spPr>
            <a:ln w="28575" cap="rnd">
              <a:solidFill>
                <a:schemeClr val="accent4"/>
              </a:solidFill>
              <a:round/>
            </a:ln>
            <a:effectLst/>
          </c:spPr>
          <c:marker>
            <c:symbol val="none"/>
          </c:marker>
          <c:val>
            <c:numRef>
              <c:f>RES!$J$102:$AP$102</c:f>
              <c:numCache>
                <c:formatCode>0.000</c:formatCode>
                <c:ptCount val="29"/>
                <c:pt idx="0" formatCode="0.00">
                  <c:v>14.6766565883431</c:v>
                </c:pt>
                <c:pt idx="1">
                  <c:v>12.828825413633773</c:v>
                </c:pt>
                <c:pt idx="2">
                  <c:v>12.212881688730663</c:v>
                </c:pt>
                <c:pt idx="3">
                  <c:v>11.596937963827553</c:v>
                </c:pt>
                <c:pt idx="4">
                  <c:v>11.574729540883233</c:v>
                </c:pt>
                <c:pt idx="5">
                  <c:v>11.683096844035036</c:v>
                </c:pt>
                <c:pt idx="6">
                  <c:v>12.156583663250711</c:v>
                </c:pt>
                <c:pt idx="7">
                  <c:v>13.187196775000475</c:v>
                </c:pt>
                <c:pt idx="8">
                  <c:v>13.167107350652484</c:v>
                </c:pt>
                <c:pt idx="9">
                  <c:v>13.111911513572245</c:v>
                </c:pt>
                <c:pt idx="10">
                  <c:v>13.019601735405013</c:v>
                </c:pt>
                <c:pt idx="11">
                  <c:v>12.924473568193823</c:v>
                </c:pt>
                <c:pt idx="12">
                  <c:v>12.802537541200557</c:v>
                </c:pt>
                <c:pt idx="13">
                  <c:v>12.649616757400606</c:v>
                </c:pt>
                <c:pt idx="14">
                  <c:v>12.495571188388116</c:v>
                </c:pt>
                <c:pt idx="15">
                  <c:v>12.358192580548739</c:v>
                </c:pt>
                <c:pt idx="16">
                  <c:v>12.278118323455077</c:v>
                </c:pt>
                <c:pt idx="17">
                  <c:v>12.180505515218833</c:v>
                </c:pt>
                <c:pt idx="18">
                  <c:v>12.040390392994471</c:v>
                </c:pt>
                <c:pt idx="19">
                  <c:v>11.90334810809455</c:v>
                </c:pt>
                <c:pt idx="20">
                  <c:v>11.781890287151597</c:v>
                </c:pt>
                <c:pt idx="21">
                  <c:v>11.670449895862784</c:v>
                </c:pt>
                <c:pt idx="22">
                  <c:v>11.538044276442596</c:v>
                </c:pt>
                <c:pt idx="23">
                  <c:v>11.389238797909822</c:v>
                </c:pt>
                <c:pt idx="24">
                  <c:v>11.249337947668653</c:v>
                </c:pt>
                <c:pt idx="25">
                  <c:v>11.113324472555446</c:v>
                </c:pt>
                <c:pt idx="26">
                  <c:v>10.970284356059416</c:v>
                </c:pt>
                <c:pt idx="27">
                  <c:v>10.118314874206119</c:v>
                </c:pt>
                <c:pt idx="28">
                  <c:v>9.3256488762356078</c:v>
                </c:pt>
              </c:numCache>
            </c:numRef>
          </c:val>
          <c:smooth val="0"/>
          <c:extLst>
            <c:ext xmlns:c16="http://schemas.microsoft.com/office/drawing/2014/chart" uri="{C3380CC4-5D6E-409C-BE32-E72D297353CC}">
              <c16:uniqueId val="{00000003-E241-4F06-B277-7B04E0A01E55}"/>
            </c:ext>
          </c:extLst>
        </c:ser>
        <c:ser>
          <c:idx val="4"/>
          <c:order val="4"/>
          <c:spPr>
            <a:ln w="28575" cap="rnd">
              <a:solidFill>
                <a:schemeClr val="accent5"/>
              </a:solidFill>
              <a:round/>
            </a:ln>
            <a:effectLst/>
          </c:spPr>
          <c:marker>
            <c:symbol val="none"/>
          </c:marker>
          <c:val>
            <c:numRef>
              <c:f>RES!$J$103:$AP$103</c:f>
              <c:numCache>
                <c:formatCode>0.000</c:formatCode>
                <c:ptCount val="29"/>
                <c:pt idx="0" formatCode="0.0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numCache>
            </c:numRef>
          </c:val>
          <c:smooth val="0"/>
          <c:extLst>
            <c:ext xmlns:c16="http://schemas.microsoft.com/office/drawing/2014/chart" uri="{C3380CC4-5D6E-409C-BE32-E72D297353CC}">
              <c16:uniqueId val="{00000004-E241-4F06-B277-7B04E0A01E55}"/>
            </c:ext>
          </c:extLst>
        </c:ser>
        <c:ser>
          <c:idx val="5"/>
          <c:order val="5"/>
          <c:spPr>
            <a:ln w="28575" cap="rnd">
              <a:solidFill>
                <a:schemeClr val="accent6"/>
              </a:solidFill>
              <a:round/>
            </a:ln>
            <a:effectLst/>
          </c:spPr>
          <c:marker>
            <c:symbol val="none"/>
          </c:marker>
          <c:val>
            <c:numRef>
              <c:f>RES!$J$104:$AP$104</c:f>
              <c:numCache>
                <c:formatCode>0.000</c:formatCode>
                <c:ptCount val="29"/>
                <c:pt idx="0" formatCode="0.00">
                  <c:v>5.6663373040102876</c:v>
                </c:pt>
                <c:pt idx="1">
                  <c:v>6.7221015918023692</c:v>
                </c:pt>
                <c:pt idx="2">
                  <c:v>7.074023021066397</c:v>
                </c:pt>
                <c:pt idx="3">
                  <c:v>7.4259444503304239</c:v>
                </c:pt>
                <c:pt idx="4">
                  <c:v>7.4117235830956094</c:v>
                </c:pt>
                <c:pt idx="5">
                  <c:v>7.4811151393794724</c:v>
                </c:pt>
                <c:pt idx="6">
                  <c:v>7.7843061048245241</c:v>
                </c:pt>
                <c:pt idx="7">
                  <c:v>8.4442454561867155</c:v>
                </c:pt>
                <c:pt idx="8">
                  <c:v>8.4313814614225286</c:v>
                </c:pt>
                <c:pt idx="9">
                  <c:v>8.3960375438017039</c:v>
                </c:pt>
                <c:pt idx="10">
                  <c:v>8.3369282093351131</c:v>
                </c:pt>
                <c:pt idx="11">
                  <c:v>8.2760141570589489</c:v>
                </c:pt>
                <c:pt idx="12">
                  <c:v>8.1979340495538189</c:v>
                </c:pt>
                <c:pt idx="13">
                  <c:v>8.1000132665556297</c:v>
                </c:pt>
                <c:pt idx="14">
                  <c:v>8.0013722423581743</c:v>
                </c:pt>
                <c:pt idx="15">
                  <c:v>7.9134036843076805</c:v>
                </c:pt>
                <c:pt idx="16">
                  <c:v>7.8621292024630991</c:v>
                </c:pt>
                <c:pt idx="17">
                  <c:v>7.7996241434670033</c:v>
                </c:pt>
                <c:pt idx="18">
                  <c:v>7.7099032949520945</c:v>
                </c:pt>
                <c:pt idx="19">
                  <c:v>7.6221500968072551</c:v>
                </c:pt>
                <c:pt idx="20">
                  <c:v>7.5443762021642202</c:v>
                </c:pt>
                <c:pt idx="21">
                  <c:v>7.473016834905807</c:v>
                </c:pt>
                <c:pt idx="22">
                  <c:v>7.3882326636191475</c:v>
                </c:pt>
                <c:pt idx="23">
                  <c:v>7.2929470614251954</c:v>
                </c:pt>
                <c:pt idx="24">
                  <c:v>7.2033634191150124</c:v>
                </c:pt>
                <c:pt idx="25">
                  <c:v>7.1162690055864157</c:v>
                </c:pt>
                <c:pt idx="26">
                  <c:v>7.0246751760271406</c:v>
                </c:pt>
                <c:pt idx="27">
                  <c:v>6.4791278888593409</c:v>
                </c:pt>
                <c:pt idx="28">
                  <c:v>5.9715547961209898</c:v>
                </c:pt>
              </c:numCache>
            </c:numRef>
          </c:val>
          <c:smooth val="0"/>
          <c:extLst>
            <c:ext xmlns:c16="http://schemas.microsoft.com/office/drawing/2014/chart" uri="{C3380CC4-5D6E-409C-BE32-E72D297353CC}">
              <c16:uniqueId val="{00000005-E241-4F06-B277-7B04E0A01E55}"/>
            </c:ext>
          </c:extLst>
        </c:ser>
        <c:ser>
          <c:idx val="6"/>
          <c:order val="6"/>
          <c:spPr>
            <a:ln w="28575" cap="rnd">
              <a:solidFill>
                <a:schemeClr val="accent1">
                  <a:lumMod val="60000"/>
                </a:schemeClr>
              </a:solidFill>
              <a:round/>
            </a:ln>
            <a:effectLst/>
          </c:spPr>
          <c:marker>
            <c:symbol val="none"/>
          </c:marker>
          <c:val>
            <c:numRef>
              <c:f>RES!$J$105:$AP$105</c:f>
              <c:numCache>
                <c:formatCode>0.000</c:formatCode>
                <c:ptCount val="29"/>
                <c:pt idx="0" formatCode="0.00">
                  <c:v>1.4352211531349246</c:v>
                </c:pt>
                <c:pt idx="1">
                  <c:v>2.197392318212755</c:v>
                </c:pt>
                <c:pt idx="2">
                  <c:v>2.4514493732386988</c:v>
                </c:pt>
                <c:pt idx="3">
                  <c:v>2.7055064282646422</c:v>
                </c:pt>
                <c:pt idx="4">
                  <c:v>2.7003253165586991</c:v>
                </c:pt>
                <c:pt idx="5">
                  <c:v>2.7256068552032446</c:v>
                </c:pt>
                <c:pt idx="6">
                  <c:v>2.8360689131259713</c:v>
                </c:pt>
                <c:pt idx="7">
                  <c:v>3.0765056911435824</c:v>
                </c:pt>
                <c:pt idx="8">
                  <c:v>3.0718189309933468</c:v>
                </c:pt>
                <c:pt idx="9">
                  <c:v>3.0589420239597986</c:v>
                </c:pt>
                <c:pt idx="10">
                  <c:v>3.0374066239255724</c:v>
                </c:pt>
                <c:pt idx="11">
                  <c:v>3.0152137081143748</c:v>
                </c:pt>
                <c:pt idx="12">
                  <c:v>2.9867666554616545</c:v>
                </c:pt>
                <c:pt idx="13">
                  <c:v>2.9510910172133071</c:v>
                </c:pt>
                <c:pt idx="14">
                  <c:v>2.9151529723165468</c:v>
                </c:pt>
                <c:pt idx="15">
                  <c:v>2.8831032443819145</c:v>
                </c:pt>
                <c:pt idx="16">
                  <c:v>2.8644223289556914</c:v>
                </c:pt>
                <c:pt idx="17">
                  <c:v>2.8416497590766543</c:v>
                </c:pt>
                <c:pt idx="18">
                  <c:v>2.8089616163050444</c:v>
                </c:pt>
                <c:pt idx="19">
                  <c:v>2.7769903507953648</c:v>
                </c:pt>
                <c:pt idx="20">
                  <c:v>2.7486548611730925</c:v>
                </c:pt>
                <c:pt idx="21">
                  <c:v>2.7226563867533242</c:v>
                </c:pt>
                <c:pt idx="22">
                  <c:v>2.691766831631357</c:v>
                </c:pt>
                <c:pt idx="23">
                  <c:v>2.6570512730945124</c:v>
                </c:pt>
                <c:pt idx="24">
                  <c:v>2.6244131188827908</c:v>
                </c:pt>
                <c:pt idx="25">
                  <c:v>2.5926818694446037</c:v>
                </c:pt>
                <c:pt idx="26">
                  <c:v>2.5593113404405834</c:v>
                </c:pt>
                <c:pt idx="27">
                  <c:v>2.3605512093586518</c:v>
                </c:pt>
                <c:pt idx="28">
                  <c:v>2.1756262783410669</c:v>
                </c:pt>
              </c:numCache>
            </c:numRef>
          </c:val>
          <c:smooth val="0"/>
          <c:extLst>
            <c:ext xmlns:c16="http://schemas.microsoft.com/office/drawing/2014/chart" uri="{C3380CC4-5D6E-409C-BE32-E72D297353CC}">
              <c16:uniqueId val="{00000006-E241-4F06-B277-7B04E0A01E55}"/>
            </c:ext>
          </c:extLst>
        </c:ser>
        <c:ser>
          <c:idx val="7"/>
          <c:order val="7"/>
          <c:spPr>
            <a:ln w="28575" cap="rnd">
              <a:solidFill>
                <a:schemeClr val="accent2">
                  <a:lumMod val="60000"/>
                </a:schemeClr>
              </a:solidFill>
              <a:round/>
            </a:ln>
            <a:effectLst/>
          </c:spPr>
          <c:marker>
            <c:symbol val="none"/>
          </c:marker>
          <c:val>
            <c:numRef>
              <c:f>RES!$J$106:$AP$106</c:f>
              <c:numCache>
                <c:formatCode>0.000</c:formatCode>
                <c:ptCount val="29"/>
                <c:pt idx="0" formatCode="0.00">
                  <c:v>1.9876880086386437</c:v>
                </c:pt>
                <c:pt idx="1">
                  <c:v>2.4660656558101177</c:v>
                </c:pt>
                <c:pt idx="2">
                  <c:v>2.6255248715339423</c:v>
                </c:pt>
                <c:pt idx="3">
                  <c:v>2.7849840872577669</c:v>
                </c:pt>
                <c:pt idx="4">
                  <c:v>2.7796507738697032</c:v>
                </c:pt>
                <c:pt idx="5">
                  <c:v>2.8056749895547544</c:v>
                </c:pt>
                <c:pt idx="6">
                  <c:v>2.9193820095590874</c:v>
                </c:pt>
                <c:pt idx="7">
                  <c:v>3.1668819207679753</c:v>
                </c:pt>
                <c:pt idx="8">
                  <c:v>3.1620574811352178</c:v>
                </c:pt>
                <c:pt idx="9">
                  <c:v>3.1488022987387256</c:v>
                </c:pt>
                <c:pt idx="10">
                  <c:v>3.1266342692040405</c:v>
                </c:pt>
                <c:pt idx="11">
                  <c:v>3.103789408538276</c:v>
                </c:pt>
                <c:pt idx="12">
                  <c:v>3.0745066878840044</c:v>
                </c:pt>
                <c:pt idx="13">
                  <c:v>3.0377830328276234</c:v>
                </c:pt>
                <c:pt idx="14">
                  <c:v>3.0007892625970238</c:v>
                </c:pt>
                <c:pt idx="15">
                  <c:v>2.9677980335367611</c:v>
                </c:pt>
                <c:pt idx="16">
                  <c:v>2.9485683426907445</c:v>
                </c:pt>
                <c:pt idx="17">
                  <c:v>2.9251267998888064</c:v>
                </c:pt>
                <c:pt idx="18">
                  <c:v>2.8914784017516282</c:v>
                </c:pt>
                <c:pt idx="19">
                  <c:v>2.8585679400488773</c:v>
                </c:pt>
                <c:pt idx="20">
                  <c:v>2.8294000597295899</c:v>
                </c:pt>
                <c:pt idx="21">
                  <c:v>2.8026378473779179</c:v>
                </c:pt>
                <c:pt idx="22">
                  <c:v>2.7708408726679634</c:v>
                </c:pt>
                <c:pt idx="23">
                  <c:v>2.7351055008738583</c:v>
                </c:pt>
                <c:pt idx="24">
                  <c:v>2.7015085597734774</c:v>
                </c:pt>
                <c:pt idx="25">
                  <c:v>2.6688451649166258</c:v>
                </c:pt>
                <c:pt idx="26">
                  <c:v>2.6344943345919751</c:v>
                </c:pt>
                <c:pt idx="27">
                  <c:v>2.429895374315433</c:v>
                </c:pt>
                <c:pt idx="28">
                  <c:v>2.2395380405309582</c:v>
                </c:pt>
              </c:numCache>
            </c:numRef>
          </c:val>
          <c:smooth val="0"/>
          <c:extLst>
            <c:ext xmlns:c16="http://schemas.microsoft.com/office/drawing/2014/chart" uri="{C3380CC4-5D6E-409C-BE32-E72D297353CC}">
              <c16:uniqueId val="{00000007-E241-4F06-B277-7B04E0A01E55}"/>
            </c:ext>
          </c:extLst>
        </c:ser>
        <c:dLbls>
          <c:showLegendKey val="0"/>
          <c:showVal val="0"/>
          <c:showCatName val="0"/>
          <c:showSerName val="0"/>
          <c:showPercent val="0"/>
          <c:showBubbleSize val="0"/>
        </c:dLbls>
        <c:smooth val="0"/>
        <c:axId val="1843419903"/>
        <c:axId val="170375887"/>
      </c:lineChart>
      <c:catAx>
        <c:axId val="184341990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375887"/>
        <c:crosses val="autoZero"/>
        <c:auto val="1"/>
        <c:lblAlgn val="ctr"/>
        <c:lblOffset val="100"/>
        <c:noMultiLvlLbl val="0"/>
      </c:catAx>
      <c:valAx>
        <c:axId val="170375887"/>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41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RES!$J$110:$AP$110</c:f>
              <c:numCache>
                <c:formatCode>0.000</c:formatCode>
                <c:ptCount val="29"/>
                <c:pt idx="0" formatCode="0.00">
                  <c:v>16.048370490489006</c:v>
                </c:pt>
                <c:pt idx="1">
                  <c:v>20.840944279495119</c:v>
                </c:pt>
                <c:pt idx="2">
                  <c:v>22.438468875830488</c:v>
                </c:pt>
                <c:pt idx="3">
                  <c:v>24.03599347216586</c:v>
                </c:pt>
                <c:pt idx="4">
                  <c:v>24.68451854066841</c:v>
                </c:pt>
                <c:pt idx="5">
                  <c:v>25.35159957822934</c:v>
                </c:pt>
                <c:pt idx="6">
                  <c:v>26.641342163460667</c:v>
                </c:pt>
                <c:pt idx="7">
                  <c:v>25.486981670497457</c:v>
                </c:pt>
                <c:pt idx="8">
                  <c:v>25.964081137341417</c:v>
                </c:pt>
                <c:pt idx="9">
                  <c:v>26.402453714264393</c:v>
                </c:pt>
                <c:pt idx="10">
                  <c:v>26.870782107968992</c:v>
                </c:pt>
                <c:pt idx="11">
                  <c:v>27.369929730482021</c:v>
                </c:pt>
                <c:pt idx="12">
                  <c:v>27.790964366370137</c:v>
                </c:pt>
                <c:pt idx="13">
                  <c:v>28.2922386312739</c:v>
                </c:pt>
                <c:pt idx="14">
                  <c:v>28.784111473530764</c:v>
                </c:pt>
                <c:pt idx="15">
                  <c:v>29.281286769365721</c:v>
                </c:pt>
                <c:pt idx="16">
                  <c:v>29.809610090796664</c:v>
                </c:pt>
                <c:pt idx="17">
                  <c:v>30.15083059222361</c:v>
                </c:pt>
                <c:pt idx="18">
                  <c:v>30.625380618371612</c:v>
                </c:pt>
                <c:pt idx="19">
                  <c:v>31.071462137653153</c:v>
                </c:pt>
                <c:pt idx="20">
                  <c:v>31.536408549861349</c:v>
                </c:pt>
                <c:pt idx="21">
                  <c:v>31.964121607036237</c:v>
                </c:pt>
                <c:pt idx="22">
                  <c:v>32.353282604340784</c:v>
                </c:pt>
                <c:pt idx="23">
                  <c:v>32.777153449466816</c:v>
                </c:pt>
                <c:pt idx="24">
                  <c:v>33.203258644348054</c:v>
                </c:pt>
                <c:pt idx="25">
                  <c:v>33.602415857919006</c:v>
                </c:pt>
                <c:pt idx="26">
                  <c:v>33.988679679818532</c:v>
                </c:pt>
                <c:pt idx="27">
                  <c:v>35.851053343386347</c:v>
                </c:pt>
                <c:pt idx="28">
                  <c:v>37.498422086320915</c:v>
                </c:pt>
              </c:numCache>
            </c:numRef>
          </c:val>
          <c:smooth val="0"/>
          <c:extLst>
            <c:ext xmlns:c16="http://schemas.microsoft.com/office/drawing/2014/chart" uri="{C3380CC4-5D6E-409C-BE32-E72D297353CC}">
              <c16:uniqueId val="{00000000-A1C7-4D59-855A-509FECAAA809}"/>
            </c:ext>
          </c:extLst>
        </c:ser>
        <c:ser>
          <c:idx val="1"/>
          <c:order val="1"/>
          <c:spPr>
            <a:ln w="28575" cap="rnd">
              <a:solidFill>
                <a:schemeClr val="accent2"/>
              </a:solidFill>
              <a:round/>
            </a:ln>
            <a:effectLst/>
          </c:spPr>
          <c:marker>
            <c:symbol val="none"/>
          </c:marker>
          <c:val>
            <c:numRef>
              <c:f>RES!$J$111:$AP$111</c:f>
              <c:numCache>
                <c:formatCode>0.000</c:formatCode>
                <c:ptCount val="29"/>
                <c:pt idx="0" formatCode="0.00">
                  <c:v>3.3422499241462768E-2</c:v>
                </c:pt>
                <c:pt idx="1">
                  <c:v>5.5878501397382103E-2</c:v>
                </c:pt>
                <c:pt idx="2">
                  <c:v>6.3363835449355213E-2</c:v>
                </c:pt>
                <c:pt idx="3">
                  <c:v>7.084916950132833E-2</c:v>
                </c:pt>
                <c:pt idx="4">
                  <c:v>7.276078020955247E-2</c:v>
                </c:pt>
                <c:pt idx="5">
                  <c:v>7.4727087013388427E-2</c:v>
                </c:pt>
                <c:pt idx="6">
                  <c:v>7.8528768484967801E-2</c:v>
                </c:pt>
                <c:pt idx="7">
                  <c:v>7.5126143071281598E-2</c:v>
                </c:pt>
                <c:pt idx="8">
                  <c:v>7.6532454860913451E-2</c:v>
                </c:pt>
                <c:pt idx="9">
                  <c:v>7.782461418202144E-2</c:v>
                </c:pt>
                <c:pt idx="10">
                  <c:v>7.9205072110098584E-2</c:v>
                </c:pt>
                <c:pt idx="11">
                  <c:v>8.0676373662687331E-2</c:v>
                </c:pt>
                <c:pt idx="12">
                  <c:v>8.1917427181798619E-2</c:v>
                </c:pt>
                <c:pt idx="13">
                  <c:v>8.3394997285233183E-2</c:v>
                </c:pt>
                <c:pt idx="14">
                  <c:v>8.4844855491198842E-2</c:v>
                </c:pt>
                <c:pt idx="15">
                  <c:v>8.631034335827098E-2</c:v>
                </c:pt>
                <c:pt idx="16">
                  <c:v>8.786764402050122E-2</c:v>
                </c:pt>
                <c:pt idx="17">
                  <c:v>8.8873435154989633E-2</c:v>
                </c:pt>
                <c:pt idx="18">
                  <c:v>9.0272232141615283E-2</c:v>
                </c:pt>
                <c:pt idx="19">
                  <c:v>9.1587114557754506E-2</c:v>
                </c:pt>
                <c:pt idx="20">
                  <c:v>9.295760366217698E-2</c:v>
                </c:pt>
                <c:pt idx="21">
                  <c:v>9.4218342683462145E-2</c:v>
                </c:pt>
                <c:pt idx="22">
                  <c:v>9.5365444570191485E-2</c:v>
                </c:pt>
                <c:pt idx="23">
                  <c:v>9.6614858179318225E-2</c:v>
                </c:pt>
                <c:pt idx="24">
                  <c:v>9.7870857820543666E-2</c:v>
                </c:pt>
                <c:pt idx="25">
                  <c:v>9.9047424835121828E-2</c:v>
                </c:pt>
                <c:pt idx="26">
                  <c:v>0.1001859869262491</c:v>
                </c:pt>
                <c:pt idx="27">
                  <c:v>0.10567557184886625</c:v>
                </c:pt>
                <c:pt idx="28">
                  <c:v>0.11053140222818962</c:v>
                </c:pt>
              </c:numCache>
            </c:numRef>
          </c:val>
          <c:smooth val="0"/>
          <c:extLst>
            <c:ext xmlns:c16="http://schemas.microsoft.com/office/drawing/2014/chart" uri="{C3380CC4-5D6E-409C-BE32-E72D297353CC}">
              <c16:uniqueId val="{00000001-A1C7-4D59-855A-509FECAAA809}"/>
            </c:ext>
          </c:extLst>
        </c:ser>
        <c:ser>
          <c:idx val="2"/>
          <c:order val="2"/>
          <c:spPr>
            <a:ln w="28575" cap="rnd">
              <a:solidFill>
                <a:schemeClr val="accent3"/>
              </a:solidFill>
              <a:round/>
            </a:ln>
            <a:effectLst/>
          </c:spPr>
          <c:marker>
            <c:symbol val="none"/>
          </c:marker>
          <c:val>
            <c:numRef>
              <c:f>RES!$J$112:$AP$112</c:f>
              <c:numCache>
                <c:formatCode>0.000</c:formatCode>
                <c:ptCount val="29"/>
                <c:pt idx="0" formatCode="0.00">
                  <c:v>9.0463558635584818</c:v>
                </c:pt>
                <c:pt idx="1">
                  <c:v>8.808989075859543</c:v>
                </c:pt>
                <c:pt idx="2">
                  <c:v>8.7298668132932313</c:v>
                </c:pt>
                <c:pt idx="3">
                  <c:v>8.6507445507269178</c:v>
                </c:pt>
                <c:pt idx="4">
                  <c:v>8.8841538628427248</c:v>
                </c:pt>
                <c:pt idx="5">
                  <c:v>9.124241615290158</c:v>
                </c:pt>
                <c:pt idx="6">
                  <c:v>9.5884301937215266</c:v>
                </c:pt>
                <c:pt idx="7">
                  <c:v>9.1729667032841551</c:v>
                </c:pt>
                <c:pt idx="8">
                  <c:v>9.3446785827092569</c:v>
                </c:pt>
                <c:pt idx="9">
                  <c:v>9.5024523475172753</c:v>
                </c:pt>
                <c:pt idx="10">
                  <c:v>9.6710074482033495</c:v>
                </c:pt>
                <c:pt idx="11">
                  <c:v>9.8506546335990031</c:v>
                </c:pt>
                <c:pt idx="12">
                  <c:v>10.002188336014683</c:v>
                </c:pt>
                <c:pt idx="13">
                  <c:v>10.182600916861716</c:v>
                </c:pt>
                <c:pt idx="14">
                  <c:v>10.359629851186048</c:v>
                </c:pt>
                <c:pt idx="15">
                  <c:v>10.538567180578356</c:v>
                </c:pt>
                <c:pt idx="16">
                  <c:v>10.728714931250002</c:v>
                </c:pt>
                <c:pt idx="17">
                  <c:v>10.851522894096792</c:v>
                </c:pt>
                <c:pt idx="18">
                  <c:v>11.022317209609527</c:v>
                </c:pt>
                <c:pt idx="19">
                  <c:v>11.182865483870522</c:v>
                </c:pt>
                <c:pt idx="20">
                  <c:v>11.350203382611749</c:v>
                </c:pt>
                <c:pt idx="21">
                  <c:v>11.504140701779152</c:v>
                </c:pt>
                <c:pt idx="22">
                  <c:v>11.644202829050331</c:v>
                </c:pt>
                <c:pt idx="23">
                  <c:v>11.796757305649447</c:v>
                </c:pt>
                <c:pt idx="24">
                  <c:v>11.950115942434063</c:v>
                </c:pt>
                <c:pt idx="25">
                  <c:v>12.093775787165713</c:v>
                </c:pt>
                <c:pt idx="26">
                  <c:v>12.232795198046722</c:v>
                </c:pt>
                <c:pt idx="27">
                  <c:v>12.903078240026383</c:v>
                </c:pt>
                <c:pt idx="28">
                  <c:v>13.49597930702334</c:v>
                </c:pt>
              </c:numCache>
            </c:numRef>
          </c:val>
          <c:smooth val="0"/>
          <c:extLst>
            <c:ext xmlns:c16="http://schemas.microsoft.com/office/drawing/2014/chart" uri="{C3380CC4-5D6E-409C-BE32-E72D297353CC}">
              <c16:uniqueId val="{00000002-A1C7-4D59-855A-509FECAAA809}"/>
            </c:ext>
          </c:extLst>
        </c:ser>
        <c:ser>
          <c:idx val="3"/>
          <c:order val="3"/>
          <c:spPr>
            <a:ln w="28575" cap="rnd">
              <a:solidFill>
                <a:schemeClr val="accent4"/>
              </a:solidFill>
              <a:round/>
            </a:ln>
            <a:effectLst/>
          </c:spPr>
          <c:marker>
            <c:symbol val="none"/>
          </c:marker>
          <c:val>
            <c:numRef>
              <c:f>RES!$J$113:$AP$113</c:f>
              <c:numCache>
                <c:formatCode>0.000</c:formatCode>
                <c:ptCount val="29"/>
                <c:pt idx="0" formatCode="0.00">
                  <c:v>13.162661948752438</c:v>
                </c:pt>
                <c:pt idx="1">
                  <c:v>13.078673088567156</c:v>
                </c:pt>
                <c:pt idx="2">
                  <c:v>13.050676801838728</c:v>
                </c:pt>
                <c:pt idx="3">
                  <c:v>13.0226805151103</c:v>
                </c:pt>
                <c:pt idx="4">
                  <c:v>13.374050837411678</c:v>
                </c:pt>
                <c:pt idx="5">
                  <c:v>13.735474767731189</c:v>
                </c:pt>
                <c:pt idx="6">
                  <c:v>14.434256187090865</c:v>
                </c:pt>
                <c:pt idx="7">
                  <c:v>13.808824668458882</c:v>
                </c:pt>
                <c:pt idx="8">
                  <c:v>14.067316747757923</c:v>
                </c:pt>
                <c:pt idx="9">
                  <c:v>14.304826631527213</c:v>
                </c:pt>
                <c:pt idx="10">
                  <c:v>14.558566550970626</c:v>
                </c:pt>
                <c:pt idx="11">
                  <c:v>14.829004301978982</c:v>
                </c:pt>
                <c:pt idx="12">
                  <c:v>15.057120504261869</c:v>
                </c:pt>
                <c:pt idx="13">
                  <c:v>15.328710468281786</c:v>
                </c:pt>
                <c:pt idx="14">
                  <c:v>15.595206749627014</c:v>
                </c:pt>
                <c:pt idx="15">
                  <c:v>15.864575895743723</c:v>
                </c:pt>
                <c:pt idx="16">
                  <c:v>16.15082101524105</c:v>
                </c:pt>
                <c:pt idx="17">
                  <c:v>16.335693988369229</c:v>
                </c:pt>
                <c:pt idx="18">
                  <c:v>16.592804782899904</c:v>
                </c:pt>
                <c:pt idx="19">
                  <c:v>16.834491364984629</c:v>
                </c:pt>
                <c:pt idx="20">
                  <c:v>17.086398929772653</c:v>
                </c:pt>
                <c:pt idx="21">
                  <c:v>17.318133494943833</c:v>
                </c:pt>
                <c:pt idx="22">
                  <c:v>17.528980587355782</c:v>
                </c:pt>
                <c:pt idx="23">
                  <c:v>17.758633445355528</c:v>
                </c:pt>
                <c:pt idx="24">
                  <c:v>17.989496872123929</c:v>
                </c:pt>
                <c:pt idx="25">
                  <c:v>18.205759905880186</c:v>
                </c:pt>
                <c:pt idx="26">
                  <c:v>18.415037311158567</c:v>
                </c:pt>
                <c:pt idx="27">
                  <c:v>19.424069754460099</c:v>
                </c:pt>
                <c:pt idx="28">
                  <c:v>20.316612717356925</c:v>
                </c:pt>
              </c:numCache>
            </c:numRef>
          </c:val>
          <c:smooth val="0"/>
          <c:extLst>
            <c:ext xmlns:c16="http://schemas.microsoft.com/office/drawing/2014/chart" uri="{C3380CC4-5D6E-409C-BE32-E72D297353CC}">
              <c16:uniqueId val="{00000003-A1C7-4D59-855A-509FECAAA809}"/>
            </c:ext>
          </c:extLst>
        </c:ser>
        <c:ser>
          <c:idx val="4"/>
          <c:order val="4"/>
          <c:spPr>
            <a:ln w="28575" cap="rnd">
              <a:solidFill>
                <a:schemeClr val="accent5"/>
              </a:solidFill>
              <a:round/>
            </a:ln>
            <a:effectLst/>
          </c:spPr>
          <c:marker>
            <c:symbol val="none"/>
          </c:marker>
          <c:val>
            <c:numRef>
              <c:f>RES!$J$114:$AP$114</c:f>
              <c:numCache>
                <c:formatCode>0.000</c:formatCode>
                <c:ptCount val="29"/>
                <c:pt idx="0" formatCode="0.00">
                  <c:v>8.7188816642673164</c:v>
                </c:pt>
                <c:pt idx="1">
                  <c:v>10.25860199250944</c:v>
                </c:pt>
                <c:pt idx="2">
                  <c:v>10.771842101923482</c:v>
                </c:pt>
                <c:pt idx="3">
                  <c:v>11.285082211337523</c:v>
                </c:pt>
                <c:pt idx="4">
                  <c:v>11.589569676049132</c:v>
                </c:pt>
                <c:pt idx="5">
                  <c:v>11.902769309724233</c:v>
                </c:pt>
                <c:pt idx="6">
                  <c:v>12.508313287869065</c:v>
                </c:pt>
                <c:pt idx="7">
                  <c:v>11.966332234342174</c:v>
                </c:pt>
                <c:pt idx="8">
                  <c:v>12.190334071942699</c:v>
                </c:pt>
                <c:pt idx="9">
                  <c:v>12.39615333943004</c:v>
                </c:pt>
                <c:pt idx="10">
                  <c:v>12.616037091311579</c:v>
                </c:pt>
                <c:pt idx="11">
                  <c:v>12.850390706117484</c:v>
                </c:pt>
                <c:pt idx="12">
                  <c:v>13.048069678085927</c:v>
                </c:pt>
                <c:pt idx="13">
                  <c:v>13.283421767710081</c:v>
                </c:pt>
                <c:pt idx="14">
                  <c:v>13.514359817715</c:v>
                </c:pt>
                <c:pt idx="15">
                  <c:v>13.747787410106421</c:v>
                </c:pt>
                <c:pt idx="16">
                  <c:v>13.995839238021061</c:v>
                </c:pt>
                <c:pt idx="17">
                  <c:v>14.156044865271545</c:v>
                </c:pt>
                <c:pt idx="18">
                  <c:v>14.378849721025652</c:v>
                </c:pt>
                <c:pt idx="19">
                  <c:v>14.588288395731571</c:v>
                </c:pt>
                <c:pt idx="20">
                  <c:v>14.806584281512702</c:v>
                </c:pt>
                <c:pt idx="21">
                  <c:v>15.00739882319872</c:v>
                </c:pt>
                <c:pt idx="22">
                  <c:v>15.190112878813419</c:v>
                </c:pt>
                <c:pt idx="23">
                  <c:v>15.389123472645361</c:v>
                </c:pt>
                <c:pt idx="24">
                  <c:v>15.589183110724447</c:v>
                </c:pt>
                <c:pt idx="25">
                  <c:v>15.776590466098085</c:v>
                </c:pt>
                <c:pt idx="26">
                  <c:v>15.957944275768961</c:v>
                </c:pt>
                <c:pt idx="27">
                  <c:v>16.832342911545378</c:v>
                </c:pt>
                <c:pt idx="28">
                  <c:v>17.605795097656706</c:v>
                </c:pt>
              </c:numCache>
            </c:numRef>
          </c:val>
          <c:smooth val="0"/>
          <c:extLst>
            <c:ext xmlns:c16="http://schemas.microsoft.com/office/drawing/2014/chart" uri="{C3380CC4-5D6E-409C-BE32-E72D297353CC}">
              <c16:uniqueId val="{00000004-A1C7-4D59-855A-509FECAAA809}"/>
            </c:ext>
          </c:extLst>
        </c:ser>
        <c:ser>
          <c:idx val="5"/>
          <c:order val="5"/>
          <c:spPr>
            <a:ln w="28575" cap="rnd">
              <a:solidFill>
                <a:schemeClr val="accent6"/>
              </a:solidFill>
              <a:round/>
            </a:ln>
            <a:effectLst/>
          </c:spPr>
          <c:marker>
            <c:symbol val="none"/>
          </c:marker>
          <c:val>
            <c:numRef>
              <c:f>RES!$J$115:$AP$115</c:f>
              <c:numCache>
                <c:formatCode>0.000</c:formatCode>
                <c:ptCount val="29"/>
                <c:pt idx="0" formatCode="0.00">
                  <c:v>6.0852856077195092</c:v>
                </c:pt>
                <c:pt idx="1">
                  <c:v>5.572995690369198</c:v>
                </c:pt>
                <c:pt idx="2">
                  <c:v>5.4022323845857603</c:v>
                </c:pt>
                <c:pt idx="3">
                  <c:v>5.2314690788023235</c:v>
                </c:pt>
                <c:pt idx="4">
                  <c:v>5.3726215069983168</c:v>
                </c:pt>
                <c:pt idx="5">
                  <c:v>5.5178126689570126</c:v>
                </c:pt>
                <c:pt idx="6">
                  <c:v>5.7985270260342725</c:v>
                </c:pt>
                <c:pt idx="7">
                  <c:v>5.5472787790366471</c:v>
                </c:pt>
                <c:pt idx="8">
                  <c:v>5.6511201747000959</c:v>
                </c:pt>
                <c:pt idx="9">
                  <c:v>5.7465326062196489</c:v>
                </c:pt>
                <c:pt idx="10">
                  <c:v>5.8484649650059817</c:v>
                </c:pt>
                <c:pt idx="11">
                  <c:v>5.9571051739475642</c:v>
                </c:pt>
                <c:pt idx="12">
                  <c:v>6.0487439772824114</c:v>
                </c:pt>
                <c:pt idx="13">
                  <c:v>6.1578470530458578</c:v>
                </c:pt>
                <c:pt idx="14">
                  <c:v>6.2649038954413774</c:v>
                </c:pt>
                <c:pt idx="15">
                  <c:v>6.373114824601303</c:v>
                </c:pt>
                <c:pt idx="16">
                  <c:v>6.4881051670174292</c:v>
                </c:pt>
                <c:pt idx="17">
                  <c:v>6.5623723074348055</c:v>
                </c:pt>
                <c:pt idx="18">
                  <c:v>6.6656588136078492</c:v>
                </c:pt>
                <c:pt idx="19">
                  <c:v>6.7627491076890554</c:v>
                </c:pt>
                <c:pt idx="20">
                  <c:v>6.8639453732640137</c:v>
                </c:pt>
                <c:pt idx="21">
                  <c:v>6.957037744744377</c:v>
                </c:pt>
                <c:pt idx="22">
                  <c:v>7.0417392040966682</c:v>
                </c:pt>
                <c:pt idx="23">
                  <c:v>7.1339953125138438</c:v>
                </c:pt>
                <c:pt idx="24">
                  <c:v>7.2267377304180442</c:v>
                </c:pt>
                <c:pt idx="25">
                  <c:v>7.3136148808381218</c:v>
                </c:pt>
                <c:pt idx="26">
                  <c:v>7.3976857657327875</c:v>
                </c:pt>
                <c:pt idx="27">
                  <c:v>7.8030341132189589</c:v>
                </c:pt>
                <c:pt idx="28">
                  <c:v>8.1615863257591901</c:v>
                </c:pt>
              </c:numCache>
            </c:numRef>
          </c:val>
          <c:smooth val="0"/>
          <c:extLst>
            <c:ext xmlns:c16="http://schemas.microsoft.com/office/drawing/2014/chart" uri="{C3380CC4-5D6E-409C-BE32-E72D297353CC}">
              <c16:uniqueId val="{00000005-A1C7-4D59-855A-509FECAAA809}"/>
            </c:ext>
          </c:extLst>
        </c:ser>
        <c:ser>
          <c:idx val="6"/>
          <c:order val="6"/>
          <c:spPr>
            <a:ln w="28575" cap="rnd">
              <a:solidFill>
                <a:schemeClr val="accent1">
                  <a:lumMod val="60000"/>
                </a:schemeClr>
              </a:solidFill>
              <a:round/>
            </a:ln>
            <a:effectLst/>
          </c:spPr>
          <c:marker>
            <c:symbol val="none"/>
          </c:marker>
          <c:val>
            <c:numRef>
              <c:f>RES!$J$116:$AP$116</c:f>
              <c:numCache>
                <c:formatCode>0.000</c:formatCode>
                <c:ptCount val="29"/>
                <c:pt idx="0" formatCode="0.00">
                  <c:v>3.2555704876676663</c:v>
                </c:pt>
                <c:pt idx="1">
                  <c:v>4.1341176544240943</c:v>
                </c:pt>
                <c:pt idx="2">
                  <c:v>4.4269667100095695</c:v>
                </c:pt>
                <c:pt idx="3">
                  <c:v>4.7198157655950457</c:v>
                </c:pt>
                <c:pt idx="4">
                  <c:v>4.8471630643970087</c:v>
                </c:pt>
                <c:pt idx="5">
                  <c:v>4.9781540967275681</c:v>
                </c:pt>
                <c:pt idx="6">
                  <c:v>5.2314137506038847</c:v>
                </c:pt>
                <c:pt idx="7">
                  <c:v>5.0047383331647373</c:v>
                </c:pt>
                <c:pt idx="8">
                  <c:v>5.0984237299416488</c:v>
                </c:pt>
                <c:pt idx="9">
                  <c:v>5.1845045404628189</c:v>
                </c:pt>
                <c:pt idx="10">
                  <c:v>5.2764676098754677</c:v>
                </c:pt>
                <c:pt idx="11">
                  <c:v>5.3744824816478554</c:v>
                </c:pt>
                <c:pt idx="12">
                  <c:v>5.4571587361004754</c:v>
                </c:pt>
                <c:pt idx="13">
                  <c:v>5.5555912049360003</c:v>
                </c:pt>
                <c:pt idx="14">
                  <c:v>5.6521775681433457</c:v>
                </c:pt>
                <c:pt idx="15">
                  <c:v>5.7498051449798764</c:v>
                </c:pt>
                <c:pt idx="16">
                  <c:v>5.8535490881919152</c:v>
                </c:pt>
                <c:pt idx="17">
                  <c:v>5.9205526802857529</c:v>
                </c:pt>
                <c:pt idx="18">
                  <c:v>6.0137374574230327</c:v>
                </c:pt>
                <c:pt idx="19">
                  <c:v>6.1013320305320544</c:v>
                </c:pt>
                <c:pt idx="20">
                  <c:v>6.192630998849646</c:v>
                </c:pt>
                <c:pt idx="21">
                  <c:v>6.2766186581383128</c:v>
                </c:pt>
                <c:pt idx="22">
                  <c:v>6.3530360615861747</c:v>
                </c:pt>
                <c:pt idx="23">
                  <c:v>6.4362692468388945</c:v>
                </c:pt>
                <c:pt idx="24">
                  <c:v>6.519941179057188</c:v>
                </c:pt>
                <c:pt idx="25">
                  <c:v>6.5983214844830833</c:v>
                </c:pt>
                <c:pt idx="26">
                  <c:v>6.6741699855401153</c:v>
                </c:pt>
                <c:pt idx="27">
                  <c:v>7.0398740530218875</c:v>
                </c:pt>
                <c:pt idx="28">
                  <c:v>7.3633587874330102</c:v>
                </c:pt>
              </c:numCache>
            </c:numRef>
          </c:val>
          <c:smooth val="0"/>
          <c:extLst>
            <c:ext xmlns:c16="http://schemas.microsoft.com/office/drawing/2014/chart" uri="{C3380CC4-5D6E-409C-BE32-E72D297353CC}">
              <c16:uniqueId val="{00000006-A1C7-4D59-855A-509FECAAA809}"/>
            </c:ext>
          </c:extLst>
        </c:ser>
        <c:ser>
          <c:idx val="7"/>
          <c:order val="7"/>
          <c:spPr>
            <a:ln w="28575" cap="rnd">
              <a:solidFill>
                <a:schemeClr val="accent2">
                  <a:lumMod val="60000"/>
                </a:schemeClr>
              </a:solidFill>
              <a:round/>
            </a:ln>
            <a:effectLst/>
          </c:spPr>
          <c:marker>
            <c:symbol val="none"/>
          </c:marker>
          <c:val>
            <c:numRef>
              <c:f>RES!$J$117:$AP$117</c:f>
              <c:numCache>
                <c:formatCode>0.000</c:formatCode>
                <c:ptCount val="29"/>
                <c:pt idx="0" formatCode="0.00">
                  <c:v>5.817816552719238</c:v>
                </c:pt>
                <c:pt idx="1">
                  <c:v>7.6545635085977279</c:v>
                </c:pt>
                <c:pt idx="2">
                  <c:v>8.2668124938905585</c:v>
                </c:pt>
                <c:pt idx="3">
                  <c:v>8.8790614791833882</c:v>
                </c:pt>
                <c:pt idx="4">
                  <c:v>9.118631104657533</c:v>
                </c:pt>
                <c:pt idx="5">
                  <c:v>9.3650554328618139</c:v>
                </c:pt>
                <c:pt idx="6">
                  <c:v>9.8414952238715401</c:v>
                </c:pt>
                <c:pt idx="7">
                  <c:v>9.4150665098668522</c:v>
                </c:pt>
                <c:pt idx="8">
                  <c:v>9.5913103378034315</c:v>
                </c:pt>
                <c:pt idx="9">
                  <c:v>9.7532481859641305</c:v>
                </c:pt>
                <c:pt idx="10">
                  <c:v>9.9262519190931862</c:v>
                </c:pt>
                <c:pt idx="11">
                  <c:v>10.110640487537994</c:v>
                </c:pt>
                <c:pt idx="12">
                  <c:v>10.266173580906708</c:v>
                </c:pt>
                <c:pt idx="13">
                  <c:v>10.451347745692829</c:v>
                </c:pt>
                <c:pt idx="14">
                  <c:v>10.633048960223315</c:v>
                </c:pt>
                <c:pt idx="15">
                  <c:v>10.816708937613548</c:v>
                </c:pt>
                <c:pt idx="16">
                  <c:v>11.011875210116658</c:v>
                </c:pt>
                <c:pt idx="17">
                  <c:v>11.137924412685967</c:v>
                </c:pt>
                <c:pt idx="18">
                  <c:v>11.313226459676269</c:v>
                </c:pt>
                <c:pt idx="19">
                  <c:v>11.478012044221172</c:v>
                </c:pt>
                <c:pt idx="20">
                  <c:v>11.649766450100129</c:v>
                </c:pt>
                <c:pt idx="21">
                  <c:v>11.807766598273872</c:v>
                </c:pt>
                <c:pt idx="22">
                  <c:v>11.951525350096166</c:v>
                </c:pt>
                <c:pt idx="23">
                  <c:v>12.108106158684992</c:v>
                </c:pt>
                <c:pt idx="24">
                  <c:v>12.265512351457144</c:v>
                </c:pt>
                <c:pt idx="25">
                  <c:v>12.412963774393342</c:v>
                </c:pt>
                <c:pt idx="26">
                  <c:v>12.555652289673638</c:v>
                </c:pt>
                <c:pt idx="27">
                  <c:v>13.243625943651361</c:v>
                </c:pt>
                <c:pt idx="28">
                  <c:v>13.85217529961368</c:v>
                </c:pt>
              </c:numCache>
            </c:numRef>
          </c:val>
          <c:smooth val="0"/>
          <c:extLst>
            <c:ext xmlns:c16="http://schemas.microsoft.com/office/drawing/2014/chart" uri="{C3380CC4-5D6E-409C-BE32-E72D297353CC}">
              <c16:uniqueId val="{00000007-A1C7-4D59-855A-509FECAAA809}"/>
            </c:ext>
          </c:extLst>
        </c:ser>
        <c:dLbls>
          <c:showLegendKey val="0"/>
          <c:showVal val="0"/>
          <c:showCatName val="0"/>
          <c:showSerName val="0"/>
          <c:showPercent val="0"/>
          <c:showBubbleSize val="0"/>
        </c:dLbls>
        <c:smooth val="0"/>
        <c:axId val="12848239"/>
        <c:axId val="212271"/>
      </c:lineChart>
      <c:catAx>
        <c:axId val="128482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71"/>
        <c:crosses val="autoZero"/>
        <c:auto val="1"/>
        <c:lblAlgn val="ctr"/>
        <c:lblOffset val="100"/>
        <c:noMultiLvlLbl val="0"/>
      </c:catAx>
      <c:valAx>
        <c:axId val="21227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4823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RES!$J$121:$AP$121</c:f>
              <c:numCache>
                <c:formatCode>0.000</c:formatCode>
                <c:ptCount val="29"/>
                <c:pt idx="0" formatCode="0.00">
                  <c:v>29.155130644409116</c:v>
                </c:pt>
                <c:pt idx="1">
                  <c:v>31.478619619069001</c:v>
                </c:pt>
                <c:pt idx="2">
                  <c:v>32.253115943955628</c:v>
                </c:pt>
                <c:pt idx="3">
                  <c:v>33.027612268842255</c:v>
                </c:pt>
                <c:pt idx="4">
                  <c:v>34.248550627720562</c:v>
                </c:pt>
                <c:pt idx="5">
                  <c:v>34.755017633641756</c:v>
                </c:pt>
                <c:pt idx="6">
                  <c:v>29.75433118927532</c:v>
                </c:pt>
                <c:pt idx="7">
                  <c:v>30.533666323137812</c:v>
                </c:pt>
                <c:pt idx="8">
                  <c:v>31.628891726790076</c:v>
                </c:pt>
                <c:pt idx="9">
                  <c:v>32.869090764580896</c:v>
                </c:pt>
                <c:pt idx="10">
                  <c:v>34.2284790907147</c:v>
                </c:pt>
                <c:pt idx="11">
                  <c:v>35.515502779635646</c:v>
                </c:pt>
                <c:pt idx="12">
                  <c:v>37.055998726024185</c:v>
                </c:pt>
                <c:pt idx="13">
                  <c:v>38.587372811824963</c:v>
                </c:pt>
                <c:pt idx="14">
                  <c:v>40.104882018378504</c:v>
                </c:pt>
                <c:pt idx="15">
                  <c:v>41.494344149702997</c:v>
                </c:pt>
                <c:pt idx="16">
                  <c:v>42.484943932587022</c:v>
                </c:pt>
                <c:pt idx="17">
                  <c:v>43.878602994299335</c:v>
                </c:pt>
                <c:pt idx="18">
                  <c:v>45.236612632682125</c:v>
                </c:pt>
                <c:pt idx="19">
                  <c:v>46.597708155405165</c:v>
                </c:pt>
                <c:pt idx="20">
                  <c:v>47.81050566865305</c:v>
                </c:pt>
                <c:pt idx="21">
                  <c:v>49.005340733269705</c:v>
                </c:pt>
                <c:pt idx="22">
                  <c:v>50.35398991833803</c:v>
                </c:pt>
                <c:pt idx="23">
                  <c:v>51.699033106894966</c:v>
                </c:pt>
                <c:pt idx="24">
                  <c:v>52.958769744021531</c:v>
                </c:pt>
                <c:pt idx="25">
                  <c:v>54.215872221150157</c:v>
                </c:pt>
                <c:pt idx="26">
                  <c:v>55.504359649602314</c:v>
                </c:pt>
                <c:pt idx="27">
                  <c:v>62.341678512425815</c:v>
                </c:pt>
                <c:pt idx="28">
                  <c:v>68.376855078374234</c:v>
                </c:pt>
              </c:numCache>
            </c:numRef>
          </c:val>
          <c:smooth val="0"/>
          <c:extLst>
            <c:ext xmlns:c16="http://schemas.microsoft.com/office/drawing/2014/chart" uri="{C3380CC4-5D6E-409C-BE32-E72D297353CC}">
              <c16:uniqueId val="{00000000-FCE1-4578-8869-E1D0DCE86E50}"/>
            </c:ext>
          </c:extLst>
        </c:ser>
        <c:ser>
          <c:idx val="1"/>
          <c:order val="1"/>
          <c:spPr>
            <a:ln w="28575" cap="rnd">
              <a:solidFill>
                <a:schemeClr val="accent2"/>
              </a:solidFill>
              <a:round/>
            </a:ln>
            <a:effectLst/>
          </c:spPr>
          <c:marker>
            <c:symbol val="none"/>
          </c:marker>
          <c:val>
            <c:numRef>
              <c:f>RES!$J$122:$AP$122</c:f>
              <c:numCache>
                <c:formatCode>0.000</c:formatCode>
                <c:ptCount val="29"/>
                <c:pt idx="0" formatCode="0.00">
                  <c:v>3.8919384966800701</c:v>
                </c:pt>
                <c:pt idx="1">
                  <c:v>4.8927621681785096</c:v>
                </c:pt>
                <c:pt idx="2">
                  <c:v>5.2263700586779898</c:v>
                </c:pt>
                <c:pt idx="3">
                  <c:v>5.559977949177469</c:v>
                </c:pt>
                <c:pt idx="4">
                  <c:v>5.7655147678070247</c:v>
                </c:pt>
                <c:pt idx="5">
                  <c:v>5.8507751057928949</c:v>
                </c:pt>
                <c:pt idx="6">
                  <c:v>5.0089429401761976</c:v>
                </c:pt>
                <c:pt idx="7">
                  <c:v>5.1401388051398449</c:v>
                </c:pt>
                <c:pt idx="8">
                  <c:v>5.3245126873362958</c:v>
                </c:pt>
                <c:pt idx="9">
                  <c:v>5.5332919126275275</c:v>
                </c:pt>
                <c:pt idx="10">
                  <c:v>5.762135858600681</c:v>
                </c:pt>
                <c:pt idx="11">
                  <c:v>5.9787977011892899</c:v>
                </c:pt>
                <c:pt idx="12">
                  <c:v>6.2381299054975541</c:v>
                </c:pt>
                <c:pt idx="13">
                  <c:v>6.4959265054965947</c:v>
                </c:pt>
                <c:pt idx="14">
                  <c:v>6.7513890456715355</c:v>
                </c:pt>
                <c:pt idx="15">
                  <c:v>6.985295715899384</c:v>
                </c:pt>
                <c:pt idx="16">
                  <c:v>7.1520565735860613</c:v>
                </c:pt>
                <c:pt idx="17">
                  <c:v>7.3866697690153238</c:v>
                </c:pt>
                <c:pt idx="18">
                  <c:v>7.6152816221132174</c:v>
                </c:pt>
                <c:pt idx="19">
                  <c:v>7.8444129632305861</c:v>
                </c:pt>
                <c:pt idx="20">
                  <c:v>8.0485793248672373</c:v>
                </c:pt>
                <c:pt idx="21">
                  <c:v>8.24972182823978</c:v>
                </c:pt>
                <c:pt idx="22">
                  <c:v>8.476757911536362</c:v>
                </c:pt>
                <c:pt idx="23">
                  <c:v>8.7031869494030492</c:v>
                </c:pt>
                <c:pt idx="24">
                  <c:v>8.9152551990597839</c:v>
                </c:pt>
                <c:pt idx="25">
                  <c:v>9.1268800054732129</c:v>
                </c:pt>
                <c:pt idx="26">
                  <c:v>9.3437882588362555</c:v>
                </c:pt>
                <c:pt idx="27">
                  <c:v>10.49480522607421</c:v>
                </c:pt>
                <c:pt idx="28">
                  <c:v>11.510786894773934</c:v>
                </c:pt>
              </c:numCache>
            </c:numRef>
          </c:val>
          <c:smooth val="0"/>
          <c:extLst>
            <c:ext xmlns:c16="http://schemas.microsoft.com/office/drawing/2014/chart" uri="{C3380CC4-5D6E-409C-BE32-E72D297353CC}">
              <c16:uniqueId val="{00000001-FCE1-4578-8869-E1D0DCE86E50}"/>
            </c:ext>
          </c:extLst>
        </c:ser>
        <c:ser>
          <c:idx val="2"/>
          <c:order val="2"/>
          <c:spPr>
            <a:ln w="28575" cap="rnd">
              <a:solidFill>
                <a:schemeClr val="accent3"/>
              </a:solidFill>
              <a:round/>
            </a:ln>
            <a:effectLst/>
          </c:spPr>
          <c:marker>
            <c:symbol val="none"/>
          </c:marker>
          <c:val>
            <c:numRef>
              <c:f>RES!$J$123:$AP$123</c:f>
              <c:numCache>
                <c:formatCode>0.000</c:formatCode>
                <c:ptCount val="29"/>
                <c:pt idx="0" formatCode="0.00">
                  <c:v>7.0843020492948998</c:v>
                </c:pt>
                <c:pt idx="1">
                  <c:v>7.5308480569795657</c:v>
                </c:pt>
                <c:pt idx="2">
                  <c:v>7.6796967262077871</c:v>
                </c:pt>
                <c:pt idx="3">
                  <c:v>7.8285453954360094</c:v>
                </c:pt>
                <c:pt idx="4">
                  <c:v>8.1179448012939073</c:v>
                </c:pt>
                <c:pt idx="5">
                  <c:v>8.2379928360979573</c:v>
                </c:pt>
                <c:pt idx="6">
                  <c:v>7.0526785445469491</c:v>
                </c:pt>
                <c:pt idx="7">
                  <c:v>7.2374045981301922</c:v>
                </c:pt>
                <c:pt idx="8">
                  <c:v>7.4970062223994436</c:v>
                </c:pt>
                <c:pt idx="9">
                  <c:v>7.7909709930795437</c:v>
                </c:pt>
                <c:pt idx="10">
                  <c:v>8.1131872385210517</c:v>
                </c:pt>
                <c:pt idx="11">
                  <c:v>8.4182508710871939</c:v>
                </c:pt>
                <c:pt idx="12">
                  <c:v>8.783395113111764</c:v>
                </c:pt>
                <c:pt idx="13">
                  <c:v>9.1463771976324608</c:v>
                </c:pt>
                <c:pt idx="14">
                  <c:v>9.506072885434385</c:v>
                </c:pt>
                <c:pt idx="15">
                  <c:v>9.8354175344441686</c:v>
                </c:pt>
                <c:pt idx="16">
                  <c:v>10.070219714689349</c:v>
                </c:pt>
                <c:pt idx="17">
                  <c:v>10.400559163438063</c:v>
                </c:pt>
                <c:pt idx="18">
                  <c:v>10.722448618085338</c:v>
                </c:pt>
                <c:pt idx="19">
                  <c:v>11.045069520875037</c:v>
                </c:pt>
                <c:pt idx="20">
                  <c:v>11.332539299515073</c:v>
                </c:pt>
                <c:pt idx="21">
                  <c:v>11.615751433267608</c:v>
                </c:pt>
                <c:pt idx="22">
                  <c:v>11.93542217670144</c:v>
                </c:pt>
                <c:pt idx="23">
                  <c:v>12.254238189640212</c:v>
                </c:pt>
                <c:pt idx="24">
                  <c:v>12.552833963678131</c:v>
                </c:pt>
                <c:pt idx="25">
                  <c:v>12.850805361937539</c:v>
                </c:pt>
                <c:pt idx="26">
                  <c:v>13.156215945148309</c:v>
                </c:pt>
                <c:pt idx="27">
                  <c:v>14.776867800480296</c:v>
                </c:pt>
                <c:pt idx="28">
                  <c:v>16.207387613157479</c:v>
                </c:pt>
              </c:numCache>
            </c:numRef>
          </c:val>
          <c:smooth val="0"/>
          <c:extLst>
            <c:ext xmlns:c16="http://schemas.microsoft.com/office/drawing/2014/chart" uri="{C3380CC4-5D6E-409C-BE32-E72D297353CC}">
              <c16:uniqueId val="{00000002-FCE1-4578-8869-E1D0DCE86E50}"/>
            </c:ext>
          </c:extLst>
        </c:ser>
        <c:ser>
          <c:idx val="3"/>
          <c:order val="3"/>
          <c:spPr>
            <a:ln w="28575" cap="rnd">
              <a:solidFill>
                <a:schemeClr val="accent4"/>
              </a:solidFill>
              <a:round/>
            </a:ln>
            <a:effectLst/>
          </c:spPr>
          <c:marker>
            <c:symbol val="none"/>
          </c:marker>
          <c:val>
            <c:numRef>
              <c:f>RES!$J$124:$AP$124</c:f>
              <c:numCache>
                <c:formatCode>0.000</c:formatCode>
                <c:ptCount val="29"/>
                <c:pt idx="0" formatCode="0.00">
                  <c:v>31.741961474336566</c:v>
                </c:pt>
                <c:pt idx="1">
                  <c:v>33.172961190308229</c:v>
                </c:pt>
                <c:pt idx="2">
                  <c:v>33.649961095632122</c:v>
                </c:pt>
                <c:pt idx="3">
                  <c:v>34.126961000956008</c:v>
                </c:pt>
                <c:pt idx="4">
                  <c:v>35.388539204637389</c:v>
                </c:pt>
                <c:pt idx="5">
                  <c:v>35.911864342968663</c:v>
                </c:pt>
                <c:pt idx="6">
                  <c:v>30.744726316890429</c:v>
                </c:pt>
                <c:pt idx="7">
                  <c:v>31.711653395032034</c:v>
                </c:pt>
                <c:pt idx="8">
                  <c:v>33.016582060783271</c:v>
                </c:pt>
                <c:pt idx="9">
                  <c:v>34.485209146866559</c:v>
                </c:pt>
                <c:pt idx="10">
                  <c:v>36.092648583032144</c:v>
                </c:pt>
                <c:pt idx="11">
                  <c:v>37.637792842954831</c:v>
                </c:pt>
                <c:pt idx="12">
                  <c:v>39.732347823418209</c:v>
                </c:pt>
                <c:pt idx="13">
                  <c:v>41.855421356277539</c:v>
                </c:pt>
                <c:pt idx="14">
                  <c:v>44.001468405068103</c:v>
                </c:pt>
                <c:pt idx="15">
                  <c:v>46.043270659989204</c:v>
                </c:pt>
                <c:pt idx="16">
                  <c:v>47.672158193623467</c:v>
                </c:pt>
                <c:pt idx="17">
                  <c:v>49.673629676468515</c:v>
                </c:pt>
                <c:pt idx="18">
                  <c:v>51.662189174685643</c:v>
                </c:pt>
                <c:pt idx="19">
                  <c:v>53.681393734545672</c:v>
                </c:pt>
                <c:pt idx="20">
                  <c:v>55.555428808280006</c:v>
                </c:pt>
                <c:pt idx="21">
                  <c:v>57.432605821939468</c:v>
                </c:pt>
                <c:pt idx="22">
                  <c:v>59.515416966917918</c:v>
                </c:pt>
                <c:pt idx="23">
                  <c:v>61.620833413880192</c:v>
                </c:pt>
                <c:pt idx="24">
                  <c:v>63.650552280233178</c:v>
                </c:pt>
                <c:pt idx="25">
                  <c:v>65.70220858786314</c:v>
                </c:pt>
                <c:pt idx="26">
                  <c:v>67.817289330470942</c:v>
                </c:pt>
                <c:pt idx="27">
                  <c:v>76.948638588243313</c:v>
                </c:pt>
                <c:pt idx="28">
                  <c:v>85.250390435073456</c:v>
                </c:pt>
              </c:numCache>
            </c:numRef>
          </c:val>
          <c:smooth val="0"/>
          <c:extLst>
            <c:ext xmlns:c16="http://schemas.microsoft.com/office/drawing/2014/chart" uri="{C3380CC4-5D6E-409C-BE32-E72D297353CC}">
              <c16:uniqueId val="{00000003-FCE1-4578-8869-E1D0DCE86E50}"/>
            </c:ext>
          </c:extLst>
        </c:ser>
        <c:ser>
          <c:idx val="4"/>
          <c:order val="4"/>
          <c:spPr>
            <a:ln w="28575" cap="rnd">
              <a:solidFill>
                <a:schemeClr val="accent5"/>
              </a:solidFill>
              <a:round/>
            </a:ln>
            <a:effectLst/>
          </c:spPr>
          <c:marker>
            <c:symbol val="none"/>
          </c:marker>
          <c:val>
            <c:numRef>
              <c:f>RES!$J$125:$AP$125</c:f>
              <c:numCache>
                <c:formatCode>0.000</c:formatCode>
                <c:ptCount val="29"/>
                <c:pt idx="0" formatCode="0.00">
                  <c:v>0.56043977372187515</c:v>
                </c:pt>
                <c:pt idx="1">
                  <c:v>4.4547528251135962</c:v>
                </c:pt>
                <c:pt idx="2">
                  <c:v>5.7528571755775033</c:v>
                </c:pt>
                <c:pt idx="3">
                  <c:v>7.0509615260414105</c:v>
                </c:pt>
                <c:pt idx="4">
                  <c:v>7.3116158332327439</c:v>
                </c:pt>
                <c:pt idx="5">
                  <c:v>7.4197398884593655</c:v>
                </c:pt>
                <c:pt idx="6">
                  <c:v>6.3521589977787523</c:v>
                </c:pt>
                <c:pt idx="7">
                  <c:v>6.3568856227124781</c:v>
                </c:pt>
                <c:pt idx="8">
                  <c:v>6.4174539978641532</c:v>
                </c:pt>
                <c:pt idx="9">
                  <c:v>6.4950731096746361</c:v>
                </c:pt>
                <c:pt idx="10">
                  <c:v>6.582481812151217</c:v>
                </c:pt>
                <c:pt idx="11">
                  <c:v>6.6419634428743821</c:v>
                </c:pt>
                <c:pt idx="12">
                  <c:v>6.4680566224169169</c:v>
                </c:pt>
                <c:pt idx="13">
                  <c:v>6.2542583635817</c:v>
                </c:pt>
                <c:pt idx="14">
                  <c:v>6.0002002370547407</c:v>
                </c:pt>
                <c:pt idx="15">
                  <c:v>5.6907413175267552</c:v>
                </c:pt>
                <c:pt idx="16">
                  <c:v>5.2969064659581635</c:v>
                </c:pt>
                <c:pt idx="17">
                  <c:v>5.033010936382273</c:v>
                </c:pt>
                <c:pt idx="18">
                  <c:v>4.7375806666742282</c:v>
                </c:pt>
                <c:pt idx="19">
                  <c:v>4.4153527314128462</c:v>
                </c:pt>
                <c:pt idx="20">
                  <c:v>4.0534003851534752</c:v>
                </c:pt>
                <c:pt idx="21">
                  <c:v>3.6659110099110284</c:v>
                </c:pt>
                <c:pt idx="22">
                  <c:v>3.2645587365819941</c:v>
                </c:pt>
                <c:pt idx="23">
                  <c:v>2.836105303567706</c:v>
                </c:pt>
                <c:pt idx="24">
                  <c:v>2.3769915789298679</c:v>
                </c:pt>
                <c:pt idx="25">
                  <c:v>1.8926562144651917</c:v>
                </c:pt>
                <c:pt idx="26">
                  <c:v>1.3840263128667538</c:v>
                </c:pt>
                <c:pt idx="27">
                  <c:v>0.77725897563882129</c:v>
                </c:pt>
                <c:pt idx="28">
                  <c:v>0</c:v>
                </c:pt>
              </c:numCache>
            </c:numRef>
          </c:val>
          <c:smooth val="0"/>
          <c:extLst>
            <c:ext xmlns:c16="http://schemas.microsoft.com/office/drawing/2014/chart" uri="{C3380CC4-5D6E-409C-BE32-E72D297353CC}">
              <c16:uniqueId val="{00000004-FCE1-4578-8869-E1D0DCE86E50}"/>
            </c:ext>
          </c:extLst>
        </c:ser>
        <c:ser>
          <c:idx val="5"/>
          <c:order val="5"/>
          <c:spPr>
            <a:ln w="28575" cap="rnd">
              <a:solidFill>
                <a:schemeClr val="accent6"/>
              </a:solidFill>
              <a:round/>
            </a:ln>
            <a:effectLst/>
          </c:spPr>
          <c:marker>
            <c:symbol val="none"/>
          </c:marker>
          <c:val>
            <c:numRef>
              <c:f>RES!$J$126:$AP$126</c:f>
              <c:numCache>
                <c:formatCode>0.000</c:formatCode>
                <c:ptCount val="29"/>
                <c:pt idx="0" formatCode="0.00">
                  <c:v>5.2230494700907748</c:v>
                </c:pt>
                <c:pt idx="1">
                  <c:v>5.6437275888968221</c:v>
                </c:pt>
                <c:pt idx="2">
                  <c:v>5.7839536284988373</c:v>
                </c:pt>
                <c:pt idx="3">
                  <c:v>5.9241796681008534</c:v>
                </c:pt>
                <c:pt idx="4">
                  <c:v>6.1431800046312306</c:v>
                </c:pt>
                <c:pt idx="5">
                  <c:v>6.2340252499556339</c:v>
                </c:pt>
                <c:pt idx="6">
                  <c:v>5.3370495703600813</c:v>
                </c:pt>
                <c:pt idx="7">
                  <c:v>5.4768393110498854</c:v>
                </c:pt>
                <c:pt idx="8">
                  <c:v>5.6732904506445356</c:v>
                </c:pt>
                <c:pt idx="9">
                  <c:v>5.8957455849810199</c:v>
                </c:pt>
                <c:pt idx="10">
                  <c:v>6.1395797627951048</c:v>
                </c:pt>
                <c:pt idx="11">
                  <c:v>6.3704338587014719</c:v>
                </c:pt>
                <c:pt idx="12">
                  <c:v>6.646753402787807</c:v>
                </c:pt>
                <c:pt idx="13">
                  <c:v>6.9214367540852306</c:v>
                </c:pt>
                <c:pt idx="14">
                  <c:v>7.1936331549162222</c:v>
                </c:pt>
                <c:pt idx="15">
                  <c:v>7.442861686515343</c:v>
                </c:pt>
                <c:pt idx="16">
                  <c:v>7.6205460751177521</c:v>
                </c:pt>
                <c:pt idx="17">
                  <c:v>7.8705274122624127</c:v>
                </c:pt>
                <c:pt idx="18">
                  <c:v>8.1141142941509923</c:v>
                </c:pt>
                <c:pt idx="19">
                  <c:v>8.3582546926885453</c:v>
                </c:pt>
                <c:pt idx="20">
                  <c:v>8.5757948015835641</c:v>
                </c:pt>
                <c:pt idx="21">
                  <c:v>8.7901129769005735</c:v>
                </c:pt>
                <c:pt idx="22">
                  <c:v>9.0320208695010891</c:v>
                </c:pt>
                <c:pt idx="23">
                  <c:v>9.2732819526670589</c:v>
                </c:pt>
                <c:pt idx="24">
                  <c:v>9.4992415561672896</c:v>
                </c:pt>
                <c:pt idx="25">
                  <c:v>9.724728669044362</c:v>
                </c:pt>
                <c:pt idx="26">
                  <c:v>9.9558453166574523</c:v>
                </c:pt>
                <c:pt idx="27">
                  <c:v>11.182258690465698</c:v>
                </c:pt>
                <c:pt idx="28">
                  <c:v>12.264791391115077</c:v>
                </c:pt>
              </c:numCache>
            </c:numRef>
          </c:val>
          <c:smooth val="0"/>
          <c:extLst>
            <c:ext xmlns:c16="http://schemas.microsoft.com/office/drawing/2014/chart" uri="{C3380CC4-5D6E-409C-BE32-E72D297353CC}">
              <c16:uniqueId val="{00000005-FCE1-4578-8869-E1D0DCE86E50}"/>
            </c:ext>
          </c:extLst>
        </c:ser>
        <c:ser>
          <c:idx val="6"/>
          <c:order val="6"/>
          <c:spPr>
            <a:ln w="28575" cap="rnd">
              <a:solidFill>
                <a:schemeClr val="accent1">
                  <a:lumMod val="60000"/>
                </a:schemeClr>
              </a:solidFill>
              <a:round/>
            </a:ln>
            <a:effectLst/>
          </c:spPr>
          <c:marker>
            <c:symbol val="none"/>
          </c:marker>
          <c:val>
            <c:numRef>
              <c:f>RES!$J$127:$AP$127</c:f>
              <c:numCache>
                <c:formatCode>0.000</c:formatCode>
                <c:ptCount val="29"/>
                <c:pt idx="0" formatCode="0.00">
                  <c:v>11.690422995158354</c:v>
                </c:pt>
                <c:pt idx="1">
                  <c:v>12.632000359457125</c:v>
                </c:pt>
                <c:pt idx="2">
                  <c:v>12.945859480890048</c:v>
                </c:pt>
                <c:pt idx="3">
                  <c:v>13.259718602322971</c:v>
                </c:pt>
                <c:pt idx="4">
                  <c:v>13.749893276099831</c:v>
                </c:pt>
                <c:pt idx="5">
                  <c:v>13.953226472735771</c:v>
                </c:pt>
                <c:pt idx="6">
                  <c:v>11.945582246716331</c:v>
                </c:pt>
                <c:pt idx="7">
                  <c:v>12.258464827745934</c:v>
                </c:pt>
                <c:pt idx="8">
                  <c:v>12.698169052814752</c:v>
                </c:pt>
                <c:pt idx="9">
                  <c:v>13.19607638314549</c:v>
                </c:pt>
                <c:pt idx="10">
                  <c:v>13.741835081324881</c:v>
                </c:pt>
                <c:pt idx="11">
                  <c:v>14.258541278875674</c:v>
                </c:pt>
                <c:pt idx="12">
                  <c:v>14.877009928406276</c:v>
                </c:pt>
                <c:pt idx="13">
                  <c:v>15.491816390566541</c:v>
                </c:pt>
                <c:pt idx="14">
                  <c:v>16.101056467976463</c:v>
                </c:pt>
                <c:pt idx="15">
                  <c:v>16.658889008820704</c:v>
                </c:pt>
                <c:pt idx="16">
                  <c:v>17.056588795945668</c:v>
                </c:pt>
                <c:pt idx="17">
                  <c:v>17.616106294076044</c:v>
                </c:pt>
                <c:pt idx="18">
                  <c:v>18.161311485345212</c:v>
                </c:pt>
                <c:pt idx="19">
                  <c:v>18.707755578102567</c:v>
                </c:pt>
                <c:pt idx="20">
                  <c:v>19.19466191624058</c:v>
                </c:pt>
                <c:pt idx="21">
                  <c:v>19.674356803174671</c:v>
                </c:pt>
                <c:pt idx="22">
                  <c:v>20.215804018362203</c:v>
                </c:pt>
                <c:pt idx="23">
                  <c:v>20.755803520689575</c:v>
                </c:pt>
                <c:pt idx="24">
                  <c:v>21.261554683848679</c:v>
                </c:pt>
                <c:pt idx="25">
                  <c:v>21.766248300975032</c:v>
                </c:pt>
                <c:pt idx="26">
                  <c:v>22.283542151491257</c:v>
                </c:pt>
                <c:pt idx="27">
                  <c:v>25.028546040280478</c:v>
                </c:pt>
                <c:pt idx="28">
                  <c:v>27.45151087129565</c:v>
                </c:pt>
              </c:numCache>
            </c:numRef>
          </c:val>
          <c:smooth val="0"/>
          <c:extLst>
            <c:ext xmlns:c16="http://schemas.microsoft.com/office/drawing/2014/chart" uri="{C3380CC4-5D6E-409C-BE32-E72D297353CC}">
              <c16:uniqueId val="{00000006-FCE1-4578-8869-E1D0DCE86E50}"/>
            </c:ext>
          </c:extLst>
        </c:ser>
        <c:dLbls>
          <c:showLegendKey val="0"/>
          <c:showVal val="0"/>
          <c:showCatName val="0"/>
          <c:showSerName val="0"/>
          <c:showPercent val="0"/>
          <c:showBubbleSize val="0"/>
        </c:dLbls>
        <c:smooth val="0"/>
        <c:axId val="13815823"/>
        <c:axId val="165501919"/>
      </c:lineChart>
      <c:catAx>
        <c:axId val="13815823"/>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01919"/>
        <c:crosses val="autoZero"/>
        <c:auto val="1"/>
        <c:lblAlgn val="ctr"/>
        <c:lblOffset val="100"/>
        <c:noMultiLvlLbl val="0"/>
      </c:catAx>
      <c:valAx>
        <c:axId val="1655019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158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RES!$J$22:$X$22</c:f>
              <c:numCache>
                <c:formatCode>0.0</c:formatCode>
                <c:ptCount val="13"/>
                <c:pt idx="0">
                  <c:v>26.162716441035041</c:v>
                </c:pt>
                <c:pt idx="1">
                  <c:v>25.676476665132281</c:v>
                </c:pt>
                <c:pt idx="2">
                  <c:v>25.758415053648385</c:v>
                </c:pt>
                <c:pt idx="3">
                  <c:v>25.755361891142741</c:v>
                </c:pt>
                <c:pt idx="4">
                  <c:v>25.706039736299225</c:v>
                </c:pt>
                <c:pt idx="5">
                  <c:v>25.946710085536886</c:v>
                </c:pt>
                <c:pt idx="6">
                  <c:v>26.998265626975765</c:v>
                </c:pt>
                <c:pt idx="7">
                  <c:v>29.287129613802783</c:v>
                </c:pt>
                <c:pt idx="8">
                  <c:v>29.242513492212662</c:v>
                </c:pt>
                <c:pt idx="9">
                  <c:v>29.119930379039147</c:v>
                </c:pt>
                <c:pt idx="10">
                  <c:v>28.914921802619762</c:v>
                </c:pt>
                <c:pt idx="11">
                  <c:v>28.703653933445384</c:v>
                </c:pt>
                <c:pt idx="12">
                  <c:v>28.432849130265836</c:v>
                </c:pt>
              </c:numCache>
            </c:numRef>
          </c:val>
          <c:smooth val="0"/>
          <c:extLst>
            <c:ext xmlns:c16="http://schemas.microsoft.com/office/drawing/2014/chart" uri="{C3380CC4-5D6E-409C-BE32-E72D297353CC}">
              <c16:uniqueId val="{00000000-E07A-4293-9E78-CEA5CA5FB5CD}"/>
            </c:ext>
          </c:extLst>
        </c:ser>
        <c:ser>
          <c:idx val="1"/>
          <c:order val="1"/>
          <c:spPr>
            <a:ln w="28575" cap="rnd">
              <a:solidFill>
                <a:schemeClr val="accent2"/>
              </a:solidFill>
              <a:round/>
            </a:ln>
            <a:effectLst/>
          </c:spPr>
          <c:marker>
            <c:symbol val="none"/>
          </c:marker>
          <c:val>
            <c:numRef>
              <c:f>RES!$J$23:$X$23</c:f>
              <c:numCache>
                <c:formatCode>0.0</c:formatCode>
                <c:ptCount val="13"/>
                <c:pt idx="0">
                  <c:v>15.697629864621025</c:v>
                </c:pt>
                <c:pt idx="1">
                  <c:v>16.65350655721161</c:v>
                </c:pt>
                <c:pt idx="2">
                  <c:v>17.096293177200256</c:v>
                </c:pt>
                <c:pt idx="3">
                  <c:v>17.422744808714206</c:v>
                </c:pt>
                <c:pt idx="4">
                  <c:v>17.892835083270921</c:v>
                </c:pt>
                <c:pt idx="5">
                  <c:v>18.376375848815535</c:v>
                </c:pt>
                <c:pt idx="6">
                  <c:v>19.311259441517389</c:v>
                </c:pt>
                <c:pt idx="7">
                  <c:v>18.474508994341168</c:v>
                </c:pt>
                <c:pt idx="8">
                  <c:v>18.820339603291107</c:v>
                </c:pt>
                <c:pt idx="9">
                  <c:v>19.138098615320793</c:v>
                </c:pt>
                <c:pt idx="10">
                  <c:v>19.477571418874312</c:v>
                </c:pt>
                <c:pt idx="11">
                  <c:v>19.839383867317174</c:v>
                </c:pt>
                <c:pt idx="12">
                  <c:v>20.144575288890959</c:v>
                </c:pt>
              </c:numCache>
            </c:numRef>
          </c:val>
          <c:smooth val="0"/>
          <c:extLst>
            <c:ext xmlns:c16="http://schemas.microsoft.com/office/drawing/2014/chart" uri="{C3380CC4-5D6E-409C-BE32-E72D297353CC}">
              <c16:uniqueId val="{00000001-E07A-4293-9E78-CEA5CA5FB5CD}"/>
            </c:ext>
          </c:extLst>
        </c:ser>
        <c:ser>
          <c:idx val="2"/>
          <c:order val="2"/>
          <c:spPr>
            <a:ln w="28575" cap="rnd">
              <a:solidFill>
                <a:schemeClr val="accent3"/>
              </a:solidFill>
              <a:round/>
            </a:ln>
            <a:effectLst/>
          </c:spPr>
          <c:marker>
            <c:symbol val="none"/>
          </c:marker>
          <c:val>
            <c:numRef>
              <c:f>RES!$J$24:$X$24</c:f>
              <c:numCache>
                <c:formatCode>0.0</c:formatCode>
                <c:ptCount val="13"/>
                <c:pt idx="0">
                  <c:v>10.465086576414015</c:v>
                </c:pt>
                <c:pt idx="1">
                  <c:v>12.420508234977223</c:v>
                </c:pt>
                <c:pt idx="2">
                  <c:v>12.765232238976191</c:v>
                </c:pt>
                <c:pt idx="3">
                  <c:v>13.343841341791148</c:v>
                </c:pt>
                <c:pt idx="4">
                  <c:v>13.837125797729508</c:v>
                </c:pt>
                <c:pt idx="5">
                  <c:v>14.041748987467024</c:v>
                </c:pt>
                <c:pt idx="6">
                  <c:v>12.021367799432369</c:v>
                </c:pt>
                <c:pt idx="7">
                  <c:v>12.336235380343002</c:v>
                </c:pt>
                <c:pt idx="8">
                  <c:v>12.778729191305597</c:v>
                </c:pt>
                <c:pt idx="9">
                  <c:v>13.279795361569889</c:v>
                </c:pt>
                <c:pt idx="10">
                  <c:v>13.829016479892299</c:v>
                </c:pt>
                <c:pt idx="11">
                  <c:v>14.349000781763538</c:v>
                </c:pt>
                <c:pt idx="12">
                  <c:v>14.9713931402833</c:v>
                </c:pt>
              </c:numCache>
            </c:numRef>
          </c:val>
          <c:smooth val="0"/>
          <c:extLst>
            <c:ext xmlns:c16="http://schemas.microsoft.com/office/drawing/2014/chart" uri="{C3380CC4-5D6E-409C-BE32-E72D297353CC}">
              <c16:uniqueId val="{00000002-E07A-4293-9E78-CEA5CA5FB5CD}"/>
            </c:ext>
          </c:extLst>
        </c:ser>
        <c:dLbls>
          <c:showLegendKey val="0"/>
          <c:showVal val="0"/>
          <c:showCatName val="0"/>
          <c:showSerName val="0"/>
          <c:showPercent val="0"/>
          <c:showBubbleSize val="0"/>
        </c:dLbls>
        <c:smooth val="0"/>
        <c:axId val="626629328"/>
        <c:axId val="212906704"/>
      </c:lineChart>
      <c:catAx>
        <c:axId val="62662932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906704"/>
        <c:crosses val="autoZero"/>
        <c:auto val="1"/>
        <c:lblAlgn val="ctr"/>
        <c:lblOffset val="100"/>
        <c:noMultiLvlLbl val="0"/>
      </c:catAx>
      <c:valAx>
        <c:axId val="2129067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629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COM!$I$49</c:f>
              <c:strCache>
                <c:ptCount val="1"/>
                <c:pt idx="0">
                  <c:v>A</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COM!$J$49:$AV$49</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numCache>
            </c:numRef>
          </c:val>
          <c:extLst>
            <c:ext xmlns:c16="http://schemas.microsoft.com/office/drawing/2014/chart" uri="{C3380CC4-5D6E-409C-BE32-E72D297353CC}">
              <c16:uniqueId val="{00000000-9879-4BB2-BD82-EE4F33550A31}"/>
            </c:ext>
          </c:extLst>
        </c:ser>
        <c:ser>
          <c:idx val="1"/>
          <c:order val="1"/>
          <c:tx>
            <c:strRef>
              <c:f>COM!$I$50</c:f>
              <c:strCache>
                <c:ptCount val="1"/>
                <c:pt idx="0">
                  <c:v>B</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COM!$J$50:$AV$50</c:f>
              <c:numCache>
                <c:formatCode>0.00</c:formatCode>
                <c:ptCount val="39"/>
                <c:pt idx="0">
                  <c:v>0</c:v>
                </c:pt>
                <c:pt idx="1">
                  <c:v>0</c:v>
                </c:pt>
                <c:pt idx="2">
                  <c:v>0</c:v>
                </c:pt>
                <c:pt idx="3">
                  <c:v>0</c:v>
                </c:pt>
                <c:pt idx="4">
                  <c:v>0</c:v>
                </c:pt>
                <c:pt idx="5">
                  <c:v>0</c:v>
                </c:pt>
                <c:pt idx="6">
                  <c:v>1.9150455230721981</c:v>
                </c:pt>
                <c:pt idx="7">
                  <c:v>3.6894907315492986</c:v>
                </c:pt>
                <c:pt idx="8">
                  <c:v>4.8032958053464796</c:v>
                </c:pt>
                <c:pt idx="9">
                  <c:v>7.0328726207620065</c:v>
                </c:pt>
                <c:pt idx="10">
                  <c:v>9.3085100917775492</c:v>
                </c:pt>
                <c:pt idx="11">
                  <c:v>11.670589820050324</c:v>
                </c:pt>
                <c:pt idx="12">
                  <c:v>14.110549665523468</c:v>
                </c:pt>
                <c:pt idx="13">
                  <c:v>16.542608058931567</c:v>
                </c:pt>
                <c:pt idx="14">
                  <c:v>19.09992460600844</c:v>
                </c:pt>
                <c:pt idx="15">
                  <c:v>21.679412702415625</c:v>
                </c:pt>
                <c:pt idx="16">
                  <c:v>24.336112890303752</c:v>
                </c:pt>
                <c:pt idx="17">
                  <c:v>27.012581683241464</c:v>
                </c:pt>
                <c:pt idx="18">
                  <c:v>29.494790653166447</c:v>
                </c:pt>
                <c:pt idx="19">
                  <c:v>29.494790653166447</c:v>
                </c:pt>
                <c:pt idx="20">
                  <c:v>29.494790653166447</c:v>
                </c:pt>
                <c:pt idx="21">
                  <c:v>29.494790653166447</c:v>
                </c:pt>
                <c:pt idx="22">
                  <c:v>29.494790653166447</c:v>
                </c:pt>
                <c:pt idx="23">
                  <c:v>29.494790653166447</c:v>
                </c:pt>
                <c:pt idx="24">
                  <c:v>29.494790653166447</c:v>
                </c:pt>
                <c:pt idx="25">
                  <c:v>29.494790653166447</c:v>
                </c:pt>
                <c:pt idx="26">
                  <c:v>29.494790653166447</c:v>
                </c:pt>
                <c:pt idx="27">
                  <c:v>29.494790653166447</c:v>
                </c:pt>
                <c:pt idx="28">
                  <c:v>29.494790653166447</c:v>
                </c:pt>
                <c:pt idx="29">
                  <c:v>29.494790653166447</c:v>
                </c:pt>
                <c:pt idx="30">
                  <c:v>29.494790653166447</c:v>
                </c:pt>
                <c:pt idx="31">
                  <c:v>29.494790653166447</c:v>
                </c:pt>
                <c:pt idx="32">
                  <c:v>29.494790653166447</c:v>
                </c:pt>
                <c:pt idx="33">
                  <c:v>29.494790653166447</c:v>
                </c:pt>
                <c:pt idx="34">
                  <c:v>29.494790653166447</c:v>
                </c:pt>
                <c:pt idx="35">
                  <c:v>29.494790653166447</c:v>
                </c:pt>
                <c:pt idx="36">
                  <c:v>29.494790653166447</c:v>
                </c:pt>
                <c:pt idx="37">
                  <c:v>29.494790653166447</c:v>
                </c:pt>
                <c:pt idx="38">
                  <c:v>29.494790653166447</c:v>
                </c:pt>
              </c:numCache>
            </c:numRef>
          </c:val>
          <c:extLst>
            <c:ext xmlns:c16="http://schemas.microsoft.com/office/drawing/2014/chart" uri="{C3380CC4-5D6E-409C-BE32-E72D297353CC}">
              <c16:uniqueId val="{00000001-9879-4BB2-BD82-EE4F33550A31}"/>
            </c:ext>
          </c:extLst>
        </c:ser>
        <c:ser>
          <c:idx val="2"/>
          <c:order val="2"/>
          <c:tx>
            <c:strRef>
              <c:f>COM!$I$51</c:f>
              <c:strCache>
                <c:ptCount val="1"/>
                <c:pt idx="0">
                  <c:v>C</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COM!$J$51:$AV$51</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2.7148780376057289</c:v>
                </c:pt>
                <c:pt idx="20">
                  <c:v>5.4501108820929502</c:v>
                </c:pt>
                <c:pt idx="21">
                  <c:v>8.2080144175712491</c:v>
                </c:pt>
                <c:pt idx="22">
                  <c:v>10.896669624961369</c:v>
                </c:pt>
                <c:pt idx="23">
                  <c:v>13.650442159694755</c:v>
                </c:pt>
                <c:pt idx="24">
                  <c:v>16.432284838969984</c:v>
                </c:pt>
                <c:pt idx="25">
                  <c:v>19.253062872521014</c:v>
                </c:pt>
                <c:pt idx="26">
                  <c:v>22.039660006865446</c:v>
                </c:pt>
                <c:pt idx="27">
                  <c:v>24.858369622336852</c:v>
                </c:pt>
                <c:pt idx="28">
                  <c:v>27.75025093157705</c:v>
                </c:pt>
                <c:pt idx="29">
                  <c:v>27.75025093157705</c:v>
                </c:pt>
                <c:pt idx="30">
                  <c:v>27.75025093157705</c:v>
                </c:pt>
                <c:pt idx="31">
                  <c:v>27.75025093157705</c:v>
                </c:pt>
                <c:pt idx="32">
                  <c:v>27.75025093157705</c:v>
                </c:pt>
                <c:pt idx="33">
                  <c:v>27.75025093157705</c:v>
                </c:pt>
                <c:pt idx="34">
                  <c:v>27.75025093157705</c:v>
                </c:pt>
                <c:pt idx="35">
                  <c:v>27.75025093157705</c:v>
                </c:pt>
                <c:pt idx="36">
                  <c:v>27.75025093157705</c:v>
                </c:pt>
                <c:pt idx="37">
                  <c:v>27.75025093157705</c:v>
                </c:pt>
                <c:pt idx="38">
                  <c:v>27.75025093157705</c:v>
                </c:pt>
              </c:numCache>
            </c:numRef>
          </c:val>
          <c:extLst>
            <c:ext xmlns:c16="http://schemas.microsoft.com/office/drawing/2014/chart" uri="{C3380CC4-5D6E-409C-BE32-E72D297353CC}">
              <c16:uniqueId val="{00000002-9879-4BB2-BD82-EE4F33550A31}"/>
            </c:ext>
          </c:extLst>
        </c:ser>
        <c:ser>
          <c:idx val="3"/>
          <c:order val="3"/>
          <c:tx>
            <c:strRef>
              <c:f>COM!$I$52</c:f>
              <c:strCache>
                <c:ptCount val="1"/>
                <c:pt idx="0">
                  <c:v>D</c:v>
                </c:pt>
              </c:strCache>
            </c:strRef>
          </c:tx>
          <c:cat>
            <c:numRef>
              <c:f>COM!$J$4:$AV$4</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COM!$J$52:$AV$52</c:f>
              <c:numCache>
                <c:formatCode>0.00</c:formatCode>
                <c:ptCount val="3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3.1119463926975044</c:v>
                </c:pt>
                <c:pt idx="30">
                  <c:v>6.1898877171388165</c:v>
                </c:pt>
                <c:pt idx="31">
                  <c:v>9.2353940127926037</c:v>
                </c:pt>
                <c:pt idx="32">
                  <c:v>12.249919695454231</c:v>
                </c:pt>
                <c:pt idx="33">
                  <c:v>15.234815070883734</c:v>
                </c:pt>
                <c:pt idx="34">
                  <c:v>18.439984795666213</c:v>
                </c:pt>
                <c:pt idx="35">
                  <c:v>21.610239927271387</c:v>
                </c:pt>
                <c:pt idx="36">
                  <c:v>24.74716272892325</c:v>
                </c:pt>
                <c:pt idx="37">
                  <c:v>27.85222103096762</c:v>
                </c:pt>
                <c:pt idx="38">
                  <c:v>31.040932254290929</c:v>
                </c:pt>
              </c:numCache>
            </c:numRef>
          </c:val>
          <c:extLst>
            <c:ext xmlns:c16="http://schemas.microsoft.com/office/drawing/2014/chart" uri="{C3380CC4-5D6E-409C-BE32-E72D297353CC}">
              <c16:uniqueId val="{00000003-9879-4BB2-BD82-EE4F33550A31}"/>
            </c:ext>
          </c:extLst>
        </c:ser>
        <c:dLbls>
          <c:showLegendKey val="0"/>
          <c:showVal val="0"/>
          <c:showCatName val="0"/>
          <c:showSerName val="0"/>
          <c:showPercent val="0"/>
          <c:showBubbleSize val="0"/>
        </c:dLbls>
        <c:axId val="518100448"/>
        <c:axId val="518100840"/>
      </c:areaChart>
      <c:dateAx>
        <c:axId val="518100448"/>
        <c:scaling>
          <c:orientation val="minMax"/>
        </c:scaling>
        <c:delete val="0"/>
        <c:axPos val="b"/>
        <c:numFmt formatCode="General" sourceLinked="1"/>
        <c:majorTickMark val="out"/>
        <c:minorTickMark val="none"/>
        <c:tickLblPos val="nextTo"/>
        <c:crossAx val="518100840"/>
        <c:crosses val="autoZero"/>
        <c:auto val="0"/>
        <c:lblOffset val="100"/>
        <c:baseTimeUnit val="days"/>
      </c:dateAx>
      <c:valAx>
        <c:axId val="518100840"/>
        <c:scaling>
          <c:orientation val="minMax"/>
        </c:scaling>
        <c:delete val="0"/>
        <c:axPos val="l"/>
        <c:majorGridlines/>
        <c:numFmt formatCode="0.00" sourceLinked="1"/>
        <c:majorTickMark val="out"/>
        <c:minorTickMark val="none"/>
        <c:tickLblPos val="nextTo"/>
        <c:crossAx val="518100448"/>
        <c:crosses val="autoZero"/>
        <c:crossBetween val="midCat"/>
      </c:valAx>
    </c:plotArea>
    <c:legend>
      <c:legendPos val="r"/>
      <c:overlay val="0"/>
    </c:legend>
    <c:plotVisOnly val="1"/>
    <c:dispBlanksAs val="zero"/>
    <c:showDLblsOverMax val="0"/>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COM!$J$258:$AP$258</c:f>
              <c:numCache>
                <c:formatCode>0.0</c:formatCode>
                <c:ptCount val="33"/>
                <c:pt idx="0">
                  <c:v>0</c:v>
                </c:pt>
                <c:pt idx="1">
                  <c:v>0</c:v>
                </c:pt>
                <c:pt idx="2">
                  <c:v>0</c:v>
                </c:pt>
                <c:pt idx="3">
                  <c:v>0</c:v>
                </c:pt>
                <c:pt idx="4">
                  <c:v>0</c:v>
                </c:pt>
                <c:pt idx="5">
                  <c:v>0</c:v>
                </c:pt>
                <c:pt idx="6">
                  <c:v>1.6544946889303713</c:v>
                </c:pt>
                <c:pt idx="7">
                  <c:v>3.1875183888127405</c:v>
                </c:pt>
                <c:pt idx="8">
                  <c:v>4.1497851114047242</c:v>
                </c:pt>
                <c:pt idx="9">
                  <c:v>6.0760176501224006</c:v>
                </c:pt>
                <c:pt idx="10">
                  <c:v>8.042044078406013</c:v>
                </c:pt>
                <c:pt idx="11">
                  <c:v>10.082751893533009</c:v>
                </c:pt>
                <c:pt idx="12">
                  <c:v>12.190743874351574</c:v>
                </c:pt>
                <c:pt idx="13">
                  <c:v>14.291909432341567</c:v>
                </c:pt>
                <c:pt idx="14">
                  <c:v>16.501291190674277</c:v>
                </c:pt>
                <c:pt idx="15">
                  <c:v>18.729827956118001</c:v>
                </c:pt>
                <c:pt idx="16">
                  <c:v>21.025071749534352</c:v>
                </c:pt>
                <c:pt idx="17">
                  <c:v>23.337394537506206</c:v>
                </c:pt>
                <c:pt idx="18">
                  <c:v>25.481887453250529</c:v>
                </c:pt>
                <c:pt idx="19">
                  <c:v>27.803938667069961</c:v>
                </c:pt>
                <c:pt idx="20">
                  <c:v>30.143399467387027</c:v>
                </c:pt>
                <c:pt idx="21">
                  <c:v>32.50225064355331</c:v>
                </c:pt>
                <c:pt idx="22">
                  <c:v>34.801873315873451</c:v>
                </c:pt>
                <c:pt idx="23">
                  <c:v>37.15719122271377</c:v>
                </c:pt>
                <c:pt idx="24">
                  <c:v>39.53651768990288</c:v>
                </c:pt>
                <c:pt idx="25">
                  <c:v>41.949145795472894</c:v>
                </c:pt>
                <c:pt idx="26">
                  <c:v>44.332538776152319</c:v>
                </c:pt>
                <c:pt idx="27">
                  <c:v>46.743397751527191</c:v>
                </c:pt>
                <c:pt idx="28">
                  <c:v>49.216840908577815</c:v>
                </c:pt>
                <c:pt idx="29">
                  <c:v>61.986659637407833</c:v>
                </c:pt>
                <c:pt idx="30">
                  <c:v>75.235343674571325</c:v>
                </c:pt>
                <c:pt idx="31" formatCode="0.00">
                  <c:v>75.235343674571325</c:v>
                </c:pt>
                <c:pt idx="32" formatCode="0.00">
                  <c:v>75.235343674571325</c:v>
                </c:pt>
              </c:numCache>
            </c:numRef>
          </c:val>
          <c:smooth val="0"/>
          <c:extLst>
            <c:ext xmlns:c16="http://schemas.microsoft.com/office/drawing/2014/chart" uri="{C3380CC4-5D6E-409C-BE32-E72D297353CC}">
              <c16:uniqueId val="{00000000-CC89-493D-979B-D0F85A4F3E30}"/>
            </c:ext>
          </c:extLst>
        </c:ser>
        <c:ser>
          <c:idx val="1"/>
          <c:order val="1"/>
          <c:spPr>
            <a:ln w="28575" cap="rnd">
              <a:solidFill>
                <a:schemeClr val="accent2"/>
              </a:solidFill>
              <a:round/>
            </a:ln>
            <a:effectLst/>
          </c:spPr>
          <c:marker>
            <c:symbol val="none"/>
          </c:marker>
          <c:val>
            <c:numRef>
              <c:f>COM!$J$259:$AP$259</c:f>
              <c:numCache>
                <c:formatCode>0.0</c:formatCode>
                <c:ptCount val="33"/>
                <c:pt idx="0">
                  <c:v>0</c:v>
                </c:pt>
                <c:pt idx="1">
                  <c:v>0</c:v>
                </c:pt>
                <c:pt idx="2">
                  <c:v>0</c:v>
                </c:pt>
                <c:pt idx="3">
                  <c:v>0</c:v>
                </c:pt>
                <c:pt idx="4">
                  <c:v>0</c:v>
                </c:pt>
                <c:pt idx="5">
                  <c:v>0</c:v>
                </c:pt>
                <c:pt idx="6">
                  <c:v>0.15778310002993795</c:v>
                </c:pt>
                <c:pt idx="7">
                  <c:v>0.30398195663864902</c:v>
                </c:pt>
                <c:pt idx="8">
                  <c:v>0.39574981032959627</c:v>
                </c:pt>
                <c:pt idx="9">
                  <c:v>0.57944755404003445</c:v>
                </c:pt>
                <c:pt idx="10">
                  <c:v>0.76694029528051699</c:v>
                </c:pt>
                <c:pt idx="11">
                  <c:v>0.96155512691483591</c:v>
                </c:pt>
                <c:pt idx="12">
                  <c:v>1.1625866030489971</c:v>
                </c:pt>
                <c:pt idx="13">
                  <c:v>1.3629670682350945</c:v>
                </c:pt>
                <c:pt idx="14">
                  <c:v>1.5736677161801793</c:v>
                </c:pt>
                <c:pt idx="15">
                  <c:v>1.78619510701135</c:v>
                </c:pt>
                <c:pt idx="16">
                  <c:v>2.005084102831479</c:v>
                </c:pt>
                <c:pt idx="17">
                  <c:v>2.22560185982225</c:v>
                </c:pt>
                <c:pt idx="18">
                  <c:v>2.4301142964606126</c:v>
                </c:pt>
                <c:pt idx="19">
                  <c:v>2.6515598178007713</c:v>
                </c:pt>
                <c:pt idx="20">
                  <c:v>2.8746656276545259</c:v>
                </c:pt>
                <c:pt idx="21">
                  <c:v>3.0996206266490525</c:v>
                </c:pt>
                <c:pt idx="22">
                  <c:v>3.3189272201155928</c:v>
                </c:pt>
                <c:pt idx="23">
                  <c:v>3.5435452641526801</c:v>
                </c:pt>
                <c:pt idx="24">
                  <c:v>3.7704529166753278</c:v>
                </c:pt>
                <c:pt idx="25">
                  <c:v>4.0005364245059258</c:v>
                </c:pt>
                <c:pt idx="26">
                  <c:v>4.2278318855293247</c:v>
                </c:pt>
                <c:pt idx="27">
                  <c:v>4.4577466778914392</c:v>
                </c:pt>
                <c:pt idx="28">
                  <c:v>4.6936298944882786</c:v>
                </c:pt>
                <c:pt idx="29">
                  <c:v>5.9114407459439384</c:v>
                </c:pt>
                <c:pt idx="30">
                  <c:v>7.1749192283392258</c:v>
                </c:pt>
                <c:pt idx="31" formatCode="0.00">
                  <c:v>7.1749192283392258</c:v>
                </c:pt>
                <c:pt idx="32" formatCode="0.00">
                  <c:v>7.1749192283392258</c:v>
                </c:pt>
              </c:numCache>
            </c:numRef>
          </c:val>
          <c:smooth val="0"/>
          <c:extLst>
            <c:ext xmlns:c16="http://schemas.microsoft.com/office/drawing/2014/chart" uri="{C3380CC4-5D6E-409C-BE32-E72D297353CC}">
              <c16:uniqueId val="{00000001-CC89-493D-979B-D0F85A4F3E30}"/>
            </c:ext>
          </c:extLst>
        </c:ser>
        <c:ser>
          <c:idx val="2"/>
          <c:order val="2"/>
          <c:spPr>
            <a:ln w="28575" cap="rnd">
              <a:solidFill>
                <a:schemeClr val="accent3"/>
              </a:solidFill>
              <a:round/>
            </a:ln>
            <a:effectLst/>
          </c:spPr>
          <c:marker>
            <c:symbol val="none"/>
          </c:marker>
          <c:val>
            <c:numRef>
              <c:f>COM!$J$260:$AP$260</c:f>
              <c:numCache>
                <c:formatCode>0.0</c:formatCode>
                <c:ptCount val="33"/>
                <c:pt idx="0">
                  <c:v>0</c:v>
                </c:pt>
                <c:pt idx="1">
                  <c:v>0</c:v>
                </c:pt>
                <c:pt idx="2">
                  <c:v>0</c:v>
                </c:pt>
                <c:pt idx="3">
                  <c:v>0</c:v>
                </c:pt>
                <c:pt idx="4">
                  <c:v>0</c:v>
                </c:pt>
                <c:pt idx="5">
                  <c:v>0</c:v>
                </c:pt>
                <c:pt idx="6">
                  <c:v>0.11351736674445566</c:v>
                </c:pt>
                <c:pt idx="7">
                  <c:v>0.2187004264011754</c:v>
                </c:pt>
                <c:pt idx="8">
                  <c:v>0.28472299219440816</c:v>
                </c:pt>
                <c:pt idx="9">
                  <c:v>0.4168847011413751</c:v>
                </c:pt>
                <c:pt idx="10">
                  <c:v>0.55177672864800165</c:v>
                </c:pt>
                <c:pt idx="11">
                  <c:v>0.69179275832641252</c:v>
                </c:pt>
                <c:pt idx="12">
                  <c:v>0.83642525571790027</c:v>
                </c:pt>
                <c:pt idx="13">
                  <c:v>0.98058938198135226</c:v>
                </c:pt>
                <c:pt idx="14">
                  <c:v>1.1321783843620785</c:v>
                </c:pt>
                <c:pt idx="15">
                  <c:v>1.2850816405640841</c:v>
                </c:pt>
                <c:pt idx="16">
                  <c:v>1.4425617661930303</c:v>
                </c:pt>
                <c:pt idx="17">
                  <c:v>1.6012137073022896</c:v>
                </c:pt>
                <c:pt idx="18">
                  <c:v>1.7483505886873951</c:v>
                </c:pt>
                <c:pt idx="19">
                  <c:v>1.9076700117125371</c:v>
                </c:pt>
                <c:pt idx="20">
                  <c:v>2.0681839326279077</c:v>
                </c:pt>
                <c:pt idx="21">
                  <c:v>2.2300282563673641</c:v>
                </c:pt>
                <c:pt idx="22">
                  <c:v>2.3878088234578501</c:v>
                </c:pt>
                <c:pt idx="23">
                  <c:v>2.5494107242795625</c:v>
                </c:pt>
                <c:pt idx="24">
                  <c:v>2.7126598885034214</c:v>
                </c:pt>
                <c:pt idx="25">
                  <c:v>2.8781939281775122</c:v>
                </c:pt>
                <c:pt idx="26">
                  <c:v>3.041722102002514</c:v>
                </c:pt>
                <c:pt idx="27">
                  <c:v>3.2071347589955215</c:v>
                </c:pt>
                <c:pt idx="28">
                  <c:v>3.3768414107358193</c:v>
                </c:pt>
                <c:pt idx="29">
                  <c:v>4.2529978623699902</c:v>
                </c:pt>
                <c:pt idx="30">
                  <c:v>5.1620099823789154</c:v>
                </c:pt>
                <c:pt idx="31" formatCode="0.00">
                  <c:v>5.1620099823789154</c:v>
                </c:pt>
                <c:pt idx="32" formatCode="0.00">
                  <c:v>5.1620099823789154</c:v>
                </c:pt>
              </c:numCache>
            </c:numRef>
          </c:val>
          <c:smooth val="0"/>
          <c:extLst>
            <c:ext xmlns:c16="http://schemas.microsoft.com/office/drawing/2014/chart" uri="{C3380CC4-5D6E-409C-BE32-E72D297353CC}">
              <c16:uniqueId val="{00000002-CC89-493D-979B-D0F85A4F3E30}"/>
            </c:ext>
          </c:extLst>
        </c:ser>
        <c:ser>
          <c:idx val="3"/>
          <c:order val="3"/>
          <c:spPr>
            <a:ln w="28575" cap="rnd">
              <a:solidFill>
                <a:schemeClr val="accent4"/>
              </a:solidFill>
              <a:round/>
            </a:ln>
            <a:effectLst/>
          </c:spPr>
          <c:marker>
            <c:symbol val="none"/>
          </c:marker>
          <c:val>
            <c:numRef>
              <c:f>COM!$J$261:$AP$261</c:f>
              <c:numCache>
                <c:formatCode>0.0</c:formatCode>
                <c:ptCount val="33"/>
                <c:pt idx="0">
                  <c:v>0</c:v>
                </c:pt>
                <c:pt idx="1">
                  <c:v>0</c:v>
                </c:pt>
                <c:pt idx="2">
                  <c:v>0</c:v>
                </c:pt>
                <c:pt idx="3">
                  <c:v>0</c:v>
                </c:pt>
                <c:pt idx="4">
                  <c:v>0</c:v>
                </c:pt>
                <c:pt idx="5">
                  <c:v>0</c:v>
                </c:pt>
                <c:pt idx="6">
                  <c:v>1.439792405855393</c:v>
                </c:pt>
                <c:pt idx="7">
                  <c:v>2.7738770033187716</c:v>
                </c:pt>
                <c:pt idx="8">
                  <c:v>3.6112712414900638</c:v>
                </c:pt>
                <c:pt idx="9">
                  <c:v>5.2875383215314313</c:v>
                </c:pt>
                <c:pt idx="10">
                  <c:v>6.9984352739923503</c:v>
                </c:pt>
                <c:pt idx="11">
                  <c:v>8.7743222771045453</c:v>
                </c:pt>
                <c:pt idx="12">
                  <c:v>10.608762040431198</c:v>
                </c:pt>
                <c:pt idx="13">
                  <c:v>12.437261239660852</c:v>
                </c:pt>
                <c:pt idx="14">
                  <c:v>14.359933520548875</c:v>
                </c:pt>
                <c:pt idx="15">
                  <c:v>16.29927508055702</c:v>
                </c:pt>
                <c:pt idx="16">
                  <c:v>18.296667157701762</c:v>
                </c:pt>
                <c:pt idx="17">
                  <c:v>20.308921903687448</c:v>
                </c:pt>
                <c:pt idx="18">
                  <c:v>22.175125908546182</c:v>
                </c:pt>
                <c:pt idx="19">
                  <c:v>24.195846631334319</c:v>
                </c:pt>
                <c:pt idx="20">
                  <c:v>26.231717714287456</c:v>
                </c:pt>
                <c:pt idx="21">
                  <c:v>28.284462901510118</c:v>
                </c:pt>
                <c:pt idx="22">
                  <c:v>30.285665614393999</c:v>
                </c:pt>
                <c:pt idx="23">
                  <c:v>32.335336041463364</c:v>
                </c:pt>
                <c:pt idx="24">
                  <c:v>34.405899459665903</c:v>
                </c:pt>
                <c:pt idx="25">
                  <c:v>36.50544299268185</c:v>
                </c:pt>
                <c:pt idx="26">
                  <c:v>38.579545216587938</c:v>
                </c:pt>
                <c:pt idx="27">
                  <c:v>40.677549197838026</c:v>
                </c:pt>
                <c:pt idx="28">
                  <c:v>42.830015867972108</c:v>
                </c:pt>
                <c:pt idx="29">
                  <c:v>53.942706741465258</c:v>
                </c:pt>
                <c:pt idx="30">
                  <c:v>65.472121004268217</c:v>
                </c:pt>
                <c:pt idx="31" formatCode="0.00">
                  <c:v>65.472121004268217</c:v>
                </c:pt>
                <c:pt idx="32" formatCode="0.00">
                  <c:v>65.472121004268217</c:v>
                </c:pt>
              </c:numCache>
            </c:numRef>
          </c:val>
          <c:smooth val="0"/>
          <c:extLst>
            <c:ext xmlns:c16="http://schemas.microsoft.com/office/drawing/2014/chart" uri="{C3380CC4-5D6E-409C-BE32-E72D297353CC}">
              <c16:uniqueId val="{00000003-CC89-493D-979B-D0F85A4F3E30}"/>
            </c:ext>
          </c:extLst>
        </c:ser>
        <c:ser>
          <c:idx val="4"/>
          <c:order val="4"/>
          <c:spPr>
            <a:ln w="28575" cap="rnd">
              <a:solidFill>
                <a:schemeClr val="accent5"/>
              </a:solidFill>
              <a:round/>
            </a:ln>
            <a:effectLst/>
          </c:spPr>
          <c:marker>
            <c:symbol val="none"/>
          </c:marker>
          <c:val>
            <c:numRef>
              <c:f>COM!$J$262:$AP$262</c:f>
              <c:numCache>
                <c:formatCode>0.0</c:formatCode>
                <c:ptCount val="33"/>
                <c:pt idx="0">
                  <c:v>0</c:v>
                </c:pt>
                <c:pt idx="1">
                  <c:v>0</c:v>
                </c:pt>
                <c:pt idx="2">
                  <c:v>0</c:v>
                </c:pt>
                <c:pt idx="3">
                  <c:v>0</c:v>
                </c:pt>
                <c:pt idx="4">
                  <c:v>0</c:v>
                </c:pt>
                <c:pt idx="5">
                  <c:v>0</c:v>
                </c:pt>
                <c:pt idx="6">
                  <c:v>0.35024986912740697</c:v>
                </c:pt>
                <c:pt idx="7">
                  <c:v>0.67478481858689709</c:v>
                </c:pt>
                <c:pt idx="8">
                  <c:v>0.87849281227734122</c:v>
                </c:pt>
                <c:pt idx="9">
                  <c:v>1.2862684909233619</c:v>
                </c:pt>
                <c:pt idx="10">
                  <c:v>1.7024683758879597</c:v>
                </c:pt>
                <c:pt idx="11">
                  <c:v>2.1344780099820997</c:v>
                </c:pt>
                <c:pt idx="12">
                  <c:v>2.5807314312491396</c:v>
                </c:pt>
                <c:pt idx="13">
                  <c:v>3.0255397262680797</c:v>
                </c:pt>
                <c:pt idx="14">
                  <c:v>3.4932569555139446</c:v>
                </c:pt>
                <c:pt idx="15">
                  <c:v>3.9650292226989787</c:v>
                </c:pt>
                <c:pt idx="16">
                  <c:v>4.4509230993238083</c:v>
                </c:pt>
                <c:pt idx="17">
                  <c:v>4.940432530382215</c:v>
                </c:pt>
                <c:pt idx="18">
                  <c:v>5.3944130527190337</c:v>
                </c:pt>
                <c:pt idx="19">
                  <c:v>5.8859819523890522</c:v>
                </c:pt>
                <c:pt idx="20">
                  <c:v>6.3812363914767287</c:v>
                </c:pt>
                <c:pt idx="21">
                  <c:v>6.8805956951184948</c:v>
                </c:pt>
                <c:pt idx="22">
                  <c:v>7.3674165627897388</c:v>
                </c:pt>
                <c:pt idx="23">
                  <c:v>7.8660278875305814</c:v>
                </c:pt>
                <c:pt idx="24">
                  <c:v>8.3697217279037552</c:v>
                </c:pt>
                <c:pt idx="25">
                  <c:v>8.8804653911398752</c:v>
                </c:pt>
                <c:pt idx="26">
                  <c:v>9.3850200960581702</c:v>
                </c:pt>
                <c:pt idx="27">
                  <c:v>9.895389241549708</c:v>
                </c:pt>
                <c:pt idx="28">
                  <c:v>10.41900720650742</c:v>
                </c:pt>
                <c:pt idx="29">
                  <c:v>13.122326454661049</c:v>
                </c:pt>
                <c:pt idx="30">
                  <c:v>15.927019561972781</c:v>
                </c:pt>
                <c:pt idx="31" formatCode="0.00">
                  <c:v>15.927019561972781</c:v>
                </c:pt>
                <c:pt idx="32" formatCode="0.00">
                  <c:v>15.927019561972781</c:v>
                </c:pt>
              </c:numCache>
            </c:numRef>
          </c:val>
          <c:smooth val="0"/>
          <c:extLst>
            <c:ext xmlns:c16="http://schemas.microsoft.com/office/drawing/2014/chart" uri="{C3380CC4-5D6E-409C-BE32-E72D297353CC}">
              <c16:uniqueId val="{00000004-CC89-493D-979B-D0F85A4F3E30}"/>
            </c:ext>
          </c:extLst>
        </c:ser>
        <c:ser>
          <c:idx val="5"/>
          <c:order val="5"/>
          <c:spPr>
            <a:ln w="28575" cap="rnd">
              <a:solidFill>
                <a:schemeClr val="accent6"/>
              </a:solidFill>
              <a:round/>
            </a:ln>
            <a:effectLst/>
          </c:spPr>
          <c:marker>
            <c:symbol val="none"/>
          </c:marker>
          <c:val>
            <c:numRef>
              <c:f>COM!$J$263:$AP$263</c:f>
              <c:numCache>
                <c:formatCode>0.0</c:formatCode>
                <c:ptCount val="33"/>
                <c:pt idx="0">
                  <c:v>0</c:v>
                </c:pt>
                <c:pt idx="1">
                  <c:v>0</c:v>
                </c:pt>
                <c:pt idx="2">
                  <c:v>0</c:v>
                </c:pt>
                <c:pt idx="3">
                  <c:v>0</c:v>
                </c:pt>
                <c:pt idx="4">
                  <c:v>0</c:v>
                </c:pt>
                <c:pt idx="5">
                  <c:v>0</c:v>
                </c:pt>
                <c:pt idx="6">
                  <c:v>0.13273002272365989</c:v>
                </c:pt>
                <c:pt idx="7">
                  <c:v>0.25571516851028336</c:v>
                </c:pt>
                <c:pt idx="8">
                  <c:v>0.3329119614709351</c:v>
                </c:pt>
                <c:pt idx="9">
                  <c:v>0.48744185530839423</c:v>
                </c:pt>
                <c:pt idx="10">
                  <c:v>0.64516417031328799</c:v>
                </c:pt>
                <c:pt idx="11">
                  <c:v>0.808877717710209</c:v>
                </c:pt>
                <c:pt idx="12">
                  <c:v>0.97798906354125981</c:v>
                </c:pt>
                <c:pt idx="13">
                  <c:v>1.1465527670841726</c:v>
                </c:pt>
                <c:pt idx="14">
                  <c:v>1.3237979966704505</c:v>
                </c:pt>
                <c:pt idx="15">
                  <c:v>1.5025799157040418</c:v>
                </c:pt>
                <c:pt idx="16">
                  <c:v>1.686713332930933</c:v>
                </c:pt>
                <c:pt idx="17">
                  <c:v>1.8722168937736461</c:v>
                </c:pt>
                <c:pt idx="18">
                  <c:v>2.0442564870959372</c:v>
                </c:pt>
                <c:pt idx="19">
                  <c:v>2.2305405002377441</c:v>
                </c:pt>
                <c:pt idx="20">
                  <c:v>2.4182211783715277</c:v>
                </c:pt>
                <c:pt idx="21">
                  <c:v>2.6074574281516316</c:v>
                </c:pt>
                <c:pt idx="22">
                  <c:v>2.7919421361383501</c:v>
                </c:pt>
                <c:pt idx="23">
                  <c:v>2.9808949332600303</c:v>
                </c:pt>
                <c:pt idx="24">
                  <c:v>3.1717737908169474</c:v>
                </c:pt>
                <c:pt idx="25">
                  <c:v>3.3653242358069377</c:v>
                </c:pt>
                <c:pt idx="26">
                  <c:v>3.5565293249508079</c:v>
                </c:pt>
                <c:pt idx="27">
                  <c:v>3.7499378434102546</c:v>
                </c:pt>
                <c:pt idx="28">
                  <c:v>3.9483671092383945</c:v>
                </c:pt>
                <c:pt idx="29">
                  <c:v>4.9728118181847867</c:v>
                </c:pt>
                <c:pt idx="30">
                  <c:v>6.0356729715488795</c:v>
                </c:pt>
                <c:pt idx="31" formatCode="0.00">
                  <c:v>6.0356729715488795</c:v>
                </c:pt>
                <c:pt idx="32" formatCode="0.00">
                  <c:v>6.0356729715488795</c:v>
                </c:pt>
              </c:numCache>
            </c:numRef>
          </c:val>
          <c:smooth val="0"/>
          <c:extLst>
            <c:ext xmlns:c16="http://schemas.microsoft.com/office/drawing/2014/chart" uri="{C3380CC4-5D6E-409C-BE32-E72D297353CC}">
              <c16:uniqueId val="{00000005-CC89-493D-979B-D0F85A4F3E30}"/>
            </c:ext>
          </c:extLst>
        </c:ser>
        <c:ser>
          <c:idx val="6"/>
          <c:order val="6"/>
          <c:spPr>
            <a:ln w="28575" cap="rnd">
              <a:solidFill>
                <a:schemeClr val="accent1">
                  <a:lumMod val="60000"/>
                </a:schemeClr>
              </a:solidFill>
              <a:round/>
            </a:ln>
            <a:effectLst/>
          </c:spPr>
          <c:marker>
            <c:symbol val="none"/>
          </c:marker>
          <c:val>
            <c:numRef>
              <c:f>COM!$J$264:$AP$264</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6-CC89-493D-979B-D0F85A4F3E30}"/>
            </c:ext>
          </c:extLst>
        </c:ser>
        <c:ser>
          <c:idx val="7"/>
          <c:order val="7"/>
          <c:spPr>
            <a:ln w="28575" cap="rnd">
              <a:solidFill>
                <a:schemeClr val="accent2">
                  <a:lumMod val="60000"/>
                </a:schemeClr>
              </a:solidFill>
              <a:round/>
            </a:ln>
            <a:effectLst/>
          </c:spPr>
          <c:marker>
            <c:symbol val="none"/>
          </c:marker>
          <c:val>
            <c:numRef>
              <c:f>COM!$J$265:$AP$265</c:f>
              <c:numCache>
                <c:formatCode>0.0</c:formatCode>
                <c:ptCount val="33"/>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formatCode="0.00">
                  <c:v>0</c:v>
                </c:pt>
                <c:pt idx="32" formatCode="0.00">
                  <c:v>0</c:v>
                </c:pt>
              </c:numCache>
            </c:numRef>
          </c:val>
          <c:smooth val="0"/>
          <c:extLst>
            <c:ext xmlns:c16="http://schemas.microsoft.com/office/drawing/2014/chart" uri="{C3380CC4-5D6E-409C-BE32-E72D297353CC}">
              <c16:uniqueId val="{00000007-CC89-493D-979B-D0F85A4F3E30}"/>
            </c:ext>
          </c:extLst>
        </c:ser>
        <c:ser>
          <c:idx val="8"/>
          <c:order val="8"/>
          <c:spPr>
            <a:ln w="28575" cap="rnd">
              <a:solidFill>
                <a:schemeClr val="accent3">
                  <a:lumMod val="60000"/>
                </a:schemeClr>
              </a:solidFill>
              <a:round/>
            </a:ln>
            <a:effectLst/>
          </c:spPr>
          <c:marker>
            <c:symbol val="none"/>
          </c:marker>
          <c:val>
            <c:numRef>
              <c:f>COM!$J$266:$AP$266</c:f>
              <c:numCache>
                <c:formatCode>0.0</c:formatCode>
                <c:ptCount val="33"/>
                <c:pt idx="0">
                  <c:v>0</c:v>
                </c:pt>
                <c:pt idx="1">
                  <c:v>0</c:v>
                </c:pt>
                <c:pt idx="2">
                  <c:v>0</c:v>
                </c:pt>
                <c:pt idx="3">
                  <c:v>0</c:v>
                </c:pt>
                <c:pt idx="4">
                  <c:v>0</c:v>
                </c:pt>
                <c:pt idx="5">
                  <c:v>0</c:v>
                </c:pt>
                <c:pt idx="6">
                  <c:v>0.23382419467651278</c:v>
                </c:pt>
                <c:pt idx="7">
                  <c:v>0.45048130118964741</c:v>
                </c:pt>
                <c:pt idx="8">
                  <c:v>0.58647523515600009</c:v>
                </c:pt>
                <c:pt idx="9">
                  <c:v>0.85870323028878481</c:v>
                </c:pt>
                <c:pt idx="10">
                  <c:v>1.136555162592874</c:v>
                </c:pt>
                <c:pt idx="11">
                  <c:v>1.4249615652454106</c:v>
                </c:pt>
                <c:pt idx="12">
                  <c:v>1.7228770137489693</c:v>
                </c:pt>
                <c:pt idx="13">
                  <c:v>2.0198277067709354</c:v>
                </c:pt>
                <c:pt idx="14">
                  <c:v>2.3320722330492942</c:v>
                </c:pt>
                <c:pt idx="15">
                  <c:v>2.6470238723463417</c:v>
                </c:pt>
                <c:pt idx="16">
                  <c:v>2.9714029925530117</c:v>
                </c:pt>
                <c:pt idx="17">
                  <c:v>3.2981958298749707</c:v>
                </c:pt>
                <c:pt idx="18">
                  <c:v>3.6012698332962692</c:v>
                </c:pt>
                <c:pt idx="19">
                  <c:v>3.9294375564697805</c:v>
                </c:pt>
                <c:pt idx="20">
                  <c:v>4.2600657182108481</c:v>
                </c:pt>
                <c:pt idx="21">
                  <c:v>4.5934342568462956</c:v>
                </c:pt>
                <c:pt idx="22">
                  <c:v>4.9184322293467302</c:v>
                </c:pt>
                <c:pt idx="23">
                  <c:v>5.2513014228587096</c:v>
                </c:pt>
                <c:pt idx="24">
                  <c:v>5.5875636658174237</c:v>
                </c:pt>
                <c:pt idx="25">
                  <c:v>5.9285323178253302</c:v>
                </c:pt>
                <c:pt idx="26">
                  <c:v>6.2653692675198087</c:v>
                </c:pt>
                <c:pt idx="27">
                  <c:v>6.6060878942807761</c:v>
                </c:pt>
                <c:pt idx="28">
                  <c:v>6.955651333888671</c:v>
                </c:pt>
                <c:pt idx="29">
                  <c:v>8.7603670579168362</c:v>
                </c:pt>
                <c:pt idx="30">
                  <c:v>10.63275921259706</c:v>
                </c:pt>
                <c:pt idx="31" formatCode="0.00">
                  <c:v>10.63275921259706</c:v>
                </c:pt>
                <c:pt idx="32" formatCode="0.00">
                  <c:v>10.63275921259706</c:v>
                </c:pt>
              </c:numCache>
            </c:numRef>
          </c:val>
          <c:smooth val="0"/>
          <c:extLst>
            <c:ext xmlns:c16="http://schemas.microsoft.com/office/drawing/2014/chart" uri="{C3380CC4-5D6E-409C-BE32-E72D297353CC}">
              <c16:uniqueId val="{00000008-CC89-493D-979B-D0F85A4F3E30}"/>
            </c:ext>
          </c:extLst>
        </c:ser>
        <c:dLbls>
          <c:showLegendKey val="0"/>
          <c:showVal val="0"/>
          <c:showCatName val="0"/>
          <c:showSerName val="0"/>
          <c:showPercent val="0"/>
          <c:showBubbleSize val="0"/>
        </c:dLbls>
        <c:smooth val="0"/>
        <c:axId val="163096959"/>
        <c:axId val="217537503"/>
      </c:lineChart>
      <c:catAx>
        <c:axId val="16309695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537503"/>
        <c:crosses val="autoZero"/>
        <c:auto val="1"/>
        <c:lblAlgn val="ctr"/>
        <c:lblOffset val="100"/>
        <c:noMultiLvlLbl val="0"/>
      </c:catAx>
      <c:valAx>
        <c:axId val="217537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96959"/>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COM!$J$30:$AV$30</c:f>
              <c:numCache>
                <c:formatCode>0.00</c:formatCode>
                <c:ptCount val="39"/>
                <c:pt idx="0">
                  <c:v>132.81548999999998</c:v>
                </c:pt>
                <c:pt idx="1">
                  <c:v>134.00787499999998</c:v>
                </c:pt>
                <c:pt idx="2">
                  <c:v>135.598851</c:v>
                </c:pt>
                <c:pt idx="3">
                  <c:v>136.99421599999999</c:v>
                </c:pt>
                <c:pt idx="4">
                  <c:v>138.328236</c:v>
                </c:pt>
                <c:pt idx="5">
                  <c:v>139.22563422464734</c:v>
                </c:pt>
                <c:pt idx="6">
                  <c:v>137.83337788240087</c:v>
                </c:pt>
                <c:pt idx="7">
                  <c:v>136.4411215401544</c:v>
                </c:pt>
                <c:pt idx="8">
                  <c:v>135.0488651979079</c:v>
                </c:pt>
                <c:pt idx="9">
                  <c:v>133.65660885566143</c:v>
                </c:pt>
                <c:pt idx="10">
                  <c:v>132.26435251341496</c:v>
                </c:pt>
                <c:pt idx="11">
                  <c:v>130.87209617116849</c:v>
                </c:pt>
                <c:pt idx="12">
                  <c:v>129.47983982892202</c:v>
                </c:pt>
                <c:pt idx="13">
                  <c:v>128.08758348667553</c:v>
                </c:pt>
                <c:pt idx="14">
                  <c:v>126.69532714442907</c:v>
                </c:pt>
                <c:pt idx="15">
                  <c:v>125.30307080218259</c:v>
                </c:pt>
                <c:pt idx="16">
                  <c:v>123.91081445993612</c:v>
                </c:pt>
                <c:pt idx="17">
                  <c:v>122.51855811768964</c:v>
                </c:pt>
                <c:pt idx="18">
                  <c:v>121.12630177544317</c:v>
                </c:pt>
                <c:pt idx="19">
                  <c:v>119.7340454331967</c:v>
                </c:pt>
                <c:pt idx="20">
                  <c:v>118.34178909095021</c:v>
                </c:pt>
                <c:pt idx="21">
                  <c:v>116.94953274870375</c:v>
                </c:pt>
                <c:pt idx="22">
                  <c:v>115.55727640645726</c:v>
                </c:pt>
                <c:pt idx="23">
                  <c:v>114.16502006421079</c:v>
                </c:pt>
                <c:pt idx="24">
                  <c:v>112.77276372196432</c:v>
                </c:pt>
                <c:pt idx="25">
                  <c:v>111.38050737971784</c:v>
                </c:pt>
                <c:pt idx="26">
                  <c:v>109.98825103747137</c:v>
                </c:pt>
                <c:pt idx="27">
                  <c:v>108.59599469522489</c:v>
                </c:pt>
                <c:pt idx="28">
                  <c:v>107.20373835297842</c:v>
                </c:pt>
                <c:pt idx="29">
                  <c:v>105.81148201073195</c:v>
                </c:pt>
                <c:pt idx="30">
                  <c:v>104.41922566848547</c:v>
                </c:pt>
                <c:pt idx="31">
                  <c:v>103.026969326239</c:v>
                </c:pt>
                <c:pt idx="32">
                  <c:v>101.63471298399253</c:v>
                </c:pt>
                <c:pt idx="33">
                  <c:v>100.24245664174605</c:v>
                </c:pt>
                <c:pt idx="34">
                  <c:v>98.850200299499576</c:v>
                </c:pt>
                <c:pt idx="35">
                  <c:v>97.457943957253093</c:v>
                </c:pt>
                <c:pt idx="36">
                  <c:v>96.065687615006624</c:v>
                </c:pt>
                <c:pt idx="37">
                  <c:v>94.673431272760155</c:v>
                </c:pt>
                <c:pt idx="38">
                  <c:v>93.281174930513671</c:v>
                </c:pt>
              </c:numCache>
            </c:numRef>
          </c:val>
          <c:smooth val="0"/>
          <c:extLst>
            <c:ext xmlns:c16="http://schemas.microsoft.com/office/drawing/2014/chart" uri="{C3380CC4-5D6E-409C-BE32-E72D297353CC}">
              <c16:uniqueId val="{00000000-4264-4301-8A0A-757E225EA6EA}"/>
            </c:ext>
          </c:extLst>
        </c:ser>
        <c:ser>
          <c:idx val="0"/>
          <c:order val="1"/>
          <c:spPr>
            <a:ln w="28575" cap="rnd">
              <a:solidFill>
                <a:schemeClr val="accent1"/>
              </a:solidFill>
              <a:round/>
            </a:ln>
            <a:effectLst/>
          </c:spPr>
          <c:marker>
            <c:symbol val="none"/>
          </c:marker>
          <c:cat>
            <c:numRef>
              <c:f>COM!$J$22:$AV$22</c:f>
              <c:numCache>
                <c:formatCode>General</c:formatCode>
                <c:ptCount val="39"/>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2041</c:v>
                </c:pt>
                <c:pt idx="30">
                  <c:v>2042</c:v>
                </c:pt>
                <c:pt idx="31">
                  <c:v>2043</c:v>
                </c:pt>
                <c:pt idx="32">
                  <c:v>2044</c:v>
                </c:pt>
                <c:pt idx="33">
                  <c:v>2045</c:v>
                </c:pt>
                <c:pt idx="34">
                  <c:v>2046</c:v>
                </c:pt>
                <c:pt idx="35">
                  <c:v>2047</c:v>
                </c:pt>
                <c:pt idx="36">
                  <c:v>2048</c:v>
                </c:pt>
                <c:pt idx="37">
                  <c:v>2049</c:v>
                </c:pt>
                <c:pt idx="38">
                  <c:v>2050</c:v>
                </c:pt>
              </c:numCache>
            </c:numRef>
          </c:cat>
          <c:val>
            <c:numRef>
              <c:f>COM!$J$31:$AV$31</c:f>
              <c:numCache>
                <c:formatCode>0.00</c:formatCode>
                <c:ptCount val="39"/>
                <c:pt idx="0">
                  <c:v>0</c:v>
                </c:pt>
                <c:pt idx="1">
                  <c:v>0</c:v>
                </c:pt>
                <c:pt idx="2">
                  <c:v>0</c:v>
                </c:pt>
                <c:pt idx="3">
                  <c:v>0</c:v>
                </c:pt>
                <c:pt idx="4">
                  <c:v>0</c:v>
                </c:pt>
                <c:pt idx="5">
                  <c:v>0</c:v>
                </c:pt>
                <c:pt idx="6">
                  <c:v>2.3938069038402432</c:v>
                </c:pt>
                <c:pt idx="7">
                  <c:v>4.6118634144366126</c:v>
                </c:pt>
                <c:pt idx="8">
                  <c:v>6.0041197566831102</c:v>
                </c:pt>
                <c:pt idx="9">
                  <c:v>8.7910907759525116</c:v>
                </c:pt>
                <c:pt idx="10">
                  <c:v>11.635637614721929</c:v>
                </c:pt>
                <c:pt idx="11">
                  <c:v>14.588237275062909</c:v>
                </c:pt>
                <c:pt idx="12">
                  <c:v>17.638187081904334</c:v>
                </c:pt>
                <c:pt idx="13">
                  <c:v>20.678260073664461</c:v>
                </c:pt>
                <c:pt idx="14">
                  <c:v>23.874905757510547</c:v>
                </c:pt>
                <c:pt idx="15">
                  <c:v>27.099265878019537</c:v>
                </c:pt>
                <c:pt idx="16">
                  <c:v>30.420141112879691</c:v>
                </c:pt>
                <c:pt idx="17">
                  <c:v>33.765727104051834</c:v>
                </c:pt>
                <c:pt idx="18">
                  <c:v>36.868488316458055</c:v>
                </c:pt>
                <c:pt idx="19">
                  <c:v>40.262085863465231</c:v>
                </c:pt>
                <c:pt idx="20">
                  <c:v>43.681126919074245</c:v>
                </c:pt>
                <c:pt idx="21">
                  <c:v>47.128506338422113</c:v>
                </c:pt>
                <c:pt idx="22">
                  <c:v>50.489325347659772</c:v>
                </c:pt>
                <c:pt idx="23">
                  <c:v>53.931541016076508</c:v>
                </c:pt>
                <c:pt idx="24">
                  <c:v>57.408844365170538</c:v>
                </c:pt>
                <c:pt idx="25">
                  <c:v>60.934816907109337</c:v>
                </c:pt>
                <c:pt idx="26">
                  <c:v>64.418063325039867</c:v>
                </c:pt>
                <c:pt idx="27">
                  <c:v>67.941450344379135</c:v>
                </c:pt>
                <c:pt idx="28">
                  <c:v>71.556301980929376</c:v>
                </c:pt>
                <c:pt idx="29">
                  <c:v>75.446234971801246</c:v>
                </c:pt>
                <c:pt idx="30">
                  <c:v>79.29366162735289</c:v>
                </c:pt>
                <c:pt idx="31">
                  <c:v>83.100544496920122</c:v>
                </c:pt>
                <c:pt idx="32">
                  <c:v>86.868701600247164</c:v>
                </c:pt>
                <c:pt idx="33">
                  <c:v>90.599820819534031</c:v>
                </c:pt>
                <c:pt idx="34">
                  <c:v>94.606282975512144</c:v>
                </c:pt>
                <c:pt idx="35">
                  <c:v>98.569101890018601</c:v>
                </c:pt>
                <c:pt idx="36">
                  <c:v>102.49025539208344</c:v>
                </c:pt>
                <c:pt idx="37">
                  <c:v>106.37157826963889</c:v>
                </c:pt>
                <c:pt idx="38">
                  <c:v>110.35746729879303</c:v>
                </c:pt>
              </c:numCache>
            </c:numRef>
          </c:val>
          <c:smooth val="0"/>
          <c:extLst>
            <c:ext xmlns:c16="http://schemas.microsoft.com/office/drawing/2014/chart" uri="{C3380CC4-5D6E-409C-BE32-E72D297353CC}">
              <c16:uniqueId val="{00000001-4264-4301-8A0A-757E225EA6EA}"/>
            </c:ext>
          </c:extLst>
        </c:ser>
        <c:dLbls>
          <c:showLegendKey val="0"/>
          <c:showVal val="0"/>
          <c:showCatName val="0"/>
          <c:showSerName val="0"/>
          <c:showPercent val="0"/>
          <c:showBubbleSize val="0"/>
        </c:dLbls>
        <c:smooth val="0"/>
        <c:axId val="1170468896"/>
        <c:axId val="1172052416"/>
      </c:lineChart>
      <c:catAx>
        <c:axId val="1170468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052416"/>
        <c:crosses val="autoZero"/>
        <c:auto val="1"/>
        <c:lblAlgn val="ctr"/>
        <c:lblOffset val="100"/>
        <c:noMultiLvlLbl val="0"/>
      </c:catAx>
      <c:valAx>
        <c:axId val="117205241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0468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1"/>
          <c:order val="0"/>
          <c:spPr>
            <a:ln w="28575" cap="rnd">
              <a:solidFill>
                <a:schemeClr val="accent2"/>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COM!$J$248:$AP$248</c:f>
              <c:numCache>
                <c:formatCode>0.0</c:formatCode>
                <c:ptCount val="33"/>
                <c:pt idx="0">
                  <c:v>139.66439435388435</c:v>
                </c:pt>
                <c:pt idx="1">
                  <c:v>135.88971000739755</c:v>
                </c:pt>
                <c:pt idx="2">
                  <c:v>132.41477017655598</c:v>
                </c:pt>
                <c:pt idx="3">
                  <c:v>128.63675213244647</c:v>
                </c:pt>
                <c:pt idx="4">
                  <c:v>124.69871312686325</c:v>
                </c:pt>
                <c:pt idx="5">
                  <c:v>120.28334032399778</c:v>
                </c:pt>
                <c:pt idx="6">
                  <c:v>119.49413059299039</c:v>
                </c:pt>
                <c:pt idx="7">
                  <c:v>118.67455311472101</c:v>
                </c:pt>
                <c:pt idx="8">
                  <c:v>117.71228639212903</c:v>
                </c:pt>
                <c:pt idx="9">
                  <c:v>116.99101112356846</c:v>
                </c:pt>
                <c:pt idx="10">
                  <c:v>116.27968432739939</c:v>
                </c:pt>
                <c:pt idx="11">
                  <c:v>115.58702787794117</c:v>
                </c:pt>
                <c:pt idx="12">
                  <c:v>114.91119246990583</c:v>
                </c:pt>
                <c:pt idx="13">
                  <c:v>114.23365045616333</c:v>
                </c:pt>
                <c:pt idx="14">
                  <c:v>113.58316249250655</c:v>
                </c:pt>
                <c:pt idx="15">
                  <c:v>112.9374632806275</c:v>
                </c:pt>
                <c:pt idx="16">
                  <c:v>112.30844082574161</c:v>
                </c:pt>
                <c:pt idx="17">
                  <c:v>111.68368811949459</c:v>
                </c:pt>
                <c:pt idx="18">
                  <c:v>111.01697794519069</c:v>
                </c:pt>
                <c:pt idx="19">
                  <c:v>110.40052111109705</c:v>
                </c:pt>
                <c:pt idx="20">
                  <c:v>109.78846063723003</c:v>
                </c:pt>
                <c:pt idx="21">
                  <c:v>109.18129672292095</c:v>
                </c:pt>
                <c:pt idx="22">
                  <c:v>108.5591761157214</c:v>
                </c:pt>
                <c:pt idx="23">
                  <c:v>107.95111996168353</c:v>
                </c:pt>
                <c:pt idx="24">
                  <c:v>107.34912657541049</c:v>
                </c:pt>
                <c:pt idx="25">
                  <c:v>106.75554269377911</c:v>
                </c:pt>
                <c:pt idx="26">
                  <c:v>106.15457620485212</c:v>
                </c:pt>
                <c:pt idx="27">
                  <c:v>105.56054557317145</c:v>
                </c:pt>
                <c:pt idx="28">
                  <c:v>104.98231902777255</c:v>
                </c:pt>
                <c:pt idx="29">
                  <c:v>102.25866394953132</c:v>
                </c:pt>
                <c:pt idx="30">
                  <c:v>99.658402323241631</c:v>
                </c:pt>
                <c:pt idx="31" formatCode="0.00">
                  <c:v>99.658402323241631</c:v>
                </c:pt>
                <c:pt idx="32" formatCode="0.00">
                  <c:v>99.658402323241631</c:v>
                </c:pt>
              </c:numCache>
            </c:numRef>
          </c:val>
          <c:smooth val="0"/>
          <c:extLst>
            <c:ext xmlns:c16="http://schemas.microsoft.com/office/drawing/2014/chart" uri="{C3380CC4-5D6E-409C-BE32-E72D297353CC}">
              <c16:uniqueId val="{00000000-E562-45F6-8549-313071348B04}"/>
            </c:ext>
          </c:extLst>
        </c:ser>
        <c:ser>
          <c:idx val="2"/>
          <c:order val="1"/>
          <c:spPr>
            <a:ln w="28575" cap="rnd">
              <a:solidFill>
                <a:schemeClr val="accent3"/>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COM!$J$249:$AP$249</c:f>
              <c:numCache>
                <c:formatCode>0.0</c:formatCode>
                <c:ptCount val="33"/>
                <c:pt idx="0">
                  <c:v>7.8517549075018991</c:v>
                </c:pt>
                <c:pt idx="1">
                  <c:v>8.5460135786417499</c:v>
                </c:pt>
                <c:pt idx="2">
                  <c:v>9.2786471163971243</c:v>
                </c:pt>
                <c:pt idx="3">
                  <c:v>10.011796090361486</c:v>
                </c:pt>
                <c:pt idx="4">
                  <c:v>10.753166346186294</c:v>
                </c:pt>
                <c:pt idx="5">
                  <c:v>11.470981711368385</c:v>
                </c:pt>
                <c:pt idx="6">
                  <c:v>11.395717669262183</c:v>
                </c:pt>
                <c:pt idx="7">
                  <c:v>11.317557566300676</c:v>
                </c:pt>
                <c:pt idx="8">
                  <c:v>11.22578971260973</c:v>
                </c:pt>
                <c:pt idx="9">
                  <c:v>11.157004331423655</c:v>
                </c:pt>
                <c:pt idx="10">
                  <c:v>11.089167699620091</c:v>
                </c:pt>
                <c:pt idx="11">
                  <c:v>11.023111590414988</c:v>
                </c:pt>
                <c:pt idx="12">
                  <c:v>10.958659642334844</c:v>
                </c:pt>
                <c:pt idx="13">
                  <c:v>10.894044941517684</c:v>
                </c:pt>
                <c:pt idx="14">
                  <c:v>10.832010286390272</c:v>
                </c:pt>
                <c:pt idx="15">
                  <c:v>10.77043231698438</c:v>
                </c:pt>
                <c:pt idx="16">
                  <c:v>10.710444748825729</c:v>
                </c:pt>
                <c:pt idx="17">
                  <c:v>10.650864370959738</c:v>
                </c:pt>
                <c:pt idx="18">
                  <c:v>10.587282663005645</c:v>
                </c:pt>
                <c:pt idx="19">
                  <c:v>10.528493432088972</c:v>
                </c:pt>
                <c:pt idx="20">
                  <c:v>10.470123465948456</c:v>
                </c:pt>
                <c:pt idx="21">
                  <c:v>10.412220466762683</c:v>
                </c:pt>
                <c:pt idx="22">
                  <c:v>10.352891102544589</c:v>
                </c:pt>
                <c:pt idx="23">
                  <c:v>10.294903013723101</c:v>
                </c:pt>
                <c:pt idx="24">
                  <c:v>10.237493108862612</c:v>
                </c:pt>
                <c:pt idx="25">
                  <c:v>10.180885187665746</c:v>
                </c:pt>
                <c:pt idx="26">
                  <c:v>10.123573214244839</c:v>
                </c:pt>
                <c:pt idx="27">
                  <c:v>10.066922688131688</c:v>
                </c:pt>
                <c:pt idx="28">
                  <c:v>10.01177933985559</c:v>
                </c:pt>
                <c:pt idx="29">
                  <c:v>9.7520343285645499</c:v>
                </c:pt>
                <c:pt idx="30">
                  <c:v>9.5040568989421459</c:v>
                </c:pt>
                <c:pt idx="31" formatCode="0.00">
                  <c:v>9.5040568989421459</c:v>
                </c:pt>
                <c:pt idx="32" formatCode="0.00">
                  <c:v>9.5040568989421459</c:v>
                </c:pt>
              </c:numCache>
            </c:numRef>
          </c:val>
          <c:smooth val="0"/>
          <c:extLst>
            <c:ext xmlns:c16="http://schemas.microsoft.com/office/drawing/2014/chart" uri="{C3380CC4-5D6E-409C-BE32-E72D297353CC}">
              <c16:uniqueId val="{00000001-E562-45F6-8549-313071348B04}"/>
            </c:ext>
          </c:extLst>
        </c:ser>
        <c:ser>
          <c:idx val="3"/>
          <c:order val="2"/>
          <c:spPr>
            <a:ln w="28575" cap="rnd">
              <a:solidFill>
                <a:schemeClr val="accent4"/>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COM!$J$250:$AP$250</c:f>
              <c:numCache>
                <c:formatCode>0.0</c:formatCode>
                <c:ptCount val="33"/>
                <c:pt idx="0">
                  <c:v>9.8944997565297612</c:v>
                </c:pt>
                <c:pt idx="1">
                  <c:v>9.5753700759835159</c:v>
                </c:pt>
                <c:pt idx="2">
                  <c:v>9.2762478476592491</c:v>
                </c:pt>
                <c:pt idx="3">
                  <c:v>8.9546526553297614</c:v>
                </c:pt>
                <c:pt idx="4">
                  <c:v>8.6207385707018886</c:v>
                </c:pt>
                <c:pt idx="5">
                  <c:v>8.2528207241540805</c:v>
                </c:pt>
                <c:pt idx="6">
                  <c:v>8.1986718585986544</c:v>
                </c:pt>
                <c:pt idx="7">
                  <c:v>8.1424394162712925</c:v>
                </c:pt>
                <c:pt idx="8">
                  <c:v>8.0764168504780613</c:v>
                </c:pt>
                <c:pt idx="9">
                  <c:v>8.0269290704732601</c:v>
                </c:pt>
                <c:pt idx="10">
                  <c:v>7.9781238701083765</c:v>
                </c:pt>
                <c:pt idx="11">
                  <c:v>7.9305996702864388</c:v>
                </c:pt>
                <c:pt idx="12">
                  <c:v>7.8842295873927695</c:v>
                </c:pt>
                <c:pt idx="13">
                  <c:v>7.8377424117170911</c:v>
                </c:pt>
                <c:pt idx="14">
                  <c:v>7.7931114550707319</c:v>
                </c:pt>
                <c:pt idx="15">
                  <c:v>7.748809061879693</c:v>
                </c:pt>
                <c:pt idx="16">
                  <c:v>7.7056508860453885</c:v>
                </c:pt>
                <c:pt idx="17">
                  <c:v>7.662785664081162</c:v>
                </c:pt>
                <c:pt idx="18">
                  <c:v>7.617041677185898</c:v>
                </c:pt>
                <c:pt idx="19">
                  <c:v>7.57474564747596</c:v>
                </c:pt>
                <c:pt idx="20">
                  <c:v>7.5327512586473899</c:v>
                </c:pt>
                <c:pt idx="21">
                  <c:v>7.4910928301279336</c:v>
                </c:pt>
                <c:pt idx="22">
                  <c:v>7.4484082004344954</c:v>
                </c:pt>
                <c:pt idx="23">
                  <c:v>7.4066885540065188</c:v>
                </c:pt>
                <c:pt idx="24">
                  <c:v>7.3653848831851452</c:v>
                </c:pt>
                <c:pt idx="25">
                  <c:v>7.3246582011138281</c:v>
                </c:pt>
                <c:pt idx="26">
                  <c:v>7.283424987262439</c:v>
                </c:pt>
                <c:pt idx="27">
                  <c:v>7.2426676529989322</c:v>
                </c:pt>
                <c:pt idx="28">
                  <c:v>7.2029946608433235</c:v>
                </c:pt>
                <c:pt idx="29">
                  <c:v>7.0161205932076065</c:v>
                </c:pt>
                <c:pt idx="30">
                  <c:v>6.837712735728239</c:v>
                </c:pt>
                <c:pt idx="31" formatCode="0.00">
                  <c:v>6.837712735728239</c:v>
                </c:pt>
                <c:pt idx="32" formatCode="0.00">
                  <c:v>6.837712735728239</c:v>
                </c:pt>
              </c:numCache>
            </c:numRef>
          </c:val>
          <c:smooth val="0"/>
          <c:extLst>
            <c:ext xmlns:c16="http://schemas.microsoft.com/office/drawing/2014/chart" uri="{C3380CC4-5D6E-409C-BE32-E72D297353CC}">
              <c16:uniqueId val="{00000002-E562-45F6-8549-313071348B04}"/>
            </c:ext>
          </c:extLst>
        </c:ser>
        <c:ser>
          <c:idx val="4"/>
          <c:order val="3"/>
          <c:spPr>
            <a:ln w="28575" cap="rnd">
              <a:solidFill>
                <a:schemeClr val="accent5"/>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COM!$J$251:$AP$251</c:f>
              <c:numCache>
                <c:formatCode>0.0</c:formatCode>
                <c:ptCount val="33"/>
                <c:pt idx="0">
                  <c:v>121.54027190568891</c:v>
                </c:pt>
                <c:pt idx="1">
                  <c:v>118.25542494127434</c:v>
                </c:pt>
                <c:pt idx="2">
                  <c:v>115.23142491714327</c:v>
                </c:pt>
                <c:pt idx="3">
                  <c:v>111.94367686603883</c:v>
                </c:pt>
                <c:pt idx="4">
                  <c:v>108.51667362925802</c:v>
                </c:pt>
                <c:pt idx="5">
                  <c:v>104.67427977141129</c:v>
                </c:pt>
                <c:pt idx="6">
                  <c:v>103.98748507516102</c:v>
                </c:pt>
                <c:pt idx="7">
                  <c:v>103.27426342681275</c:v>
                </c:pt>
                <c:pt idx="8">
                  <c:v>102.43686918864145</c:v>
                </c:pt>
                <c:pt idx="9">
                  <c:v>101.80919316093768</c:v>
                </c:pt>
                <c:pt idx="10">
                  <c:v>101.1901746013388</c:v>
                </c:pt>
                <c:pt idx="11">
                  <c:v>100.58740355440274</c:v>
                </c:pt>
                <c:pt idx="12">
                  <c:v>99.999270697520302</c:v>
                </c:pt>
                <c:pt idx="13">
                  <c:v>99.409652699613574</c:v>
                </c:pt>
                <c:pt idx="14">
                  <c:v>98.843577972121466</c:v>
                </c:pt>
                <c:pt idx="15">
                  <c:v>98.28167056440941</c:v>
                </c:pt>
                <c:pt idx="16">
                  <c:v>97.734275785981467</c:v>
                </c:pt>
                <c:pt idx="17">
                  <c:v>97.190596674763782</c:v>
                </c:pt>
                <c:pt idx="18">
                  <c:v>96.610404878264347</c:v>
                </c:pt>
                <c:pt idx="19">
                  <c:v>96.073945091355341</c:v>
                </c:pt>
                <c:pt idx="20">
                  <c:v>95.54131115297281</c:v>
                </c:pt>
                <c:pt idx="21">
                  <c:v>95.012938352032108</c:v>
                </c:pt>
                <c:pt idx="22">
                  <c:v>94.47154977474321</c:v>
                </c:pt>
                <c:pt idx="23">
                  <c:v>93.942400519218324</c:v>
                </c:pt>
                <c:pt idx="24">
                  <c:v>93.418527271555362</c:v>
                </c:pt>
                <c:pt idx="25">
                  <c:v>92.901972234703862</c:v>
                </c:pt>
                <c:pt idx="26">
                  <c:v>92.378992624844813</c:v>
                </c:pt>
                <c:pt idx="27">
                  <c:v>91.862048812294859</c:v>
                </c:pt>
                <c:pt idx="28">
                  <c:v>91.358858204008556</c:v>
                </c:pt>
                <c:pt idx="29">
                  <c:v>88.988649387952194</c:v>
                </c:pt>
                <c:pt idx="30">
                  <c:v>86.725821366914857</c:v>
                </c:pt>
                <c:pt idx="31" formatCode="0.00">
                  <c:v>86.725821366914857</c:v>
                </c:pt>
                <c:pt idx="32" formatCode="0.00">
                  <c:v>86.725821366914857</c:v>
                </c:pt>
              </c:numCache>
            </c:numRef>
          </c:val>
          <c:smooth val="0"/>
          <c:extLst>
            <c:ext xmlns:c16="http://schemas.microsoft.com/office/drawing/2014/chart" uri="{C3380CC4-5D6E-409C-BE32-E72D297353CC}">
              <c16:uniqueId val="{00000003-E562-45F6-8549-313071348B04}"/>
            </c:ext>
          </c:extLst>
        </c:ser>
        <c:ser>
          <c:idx val="5"/>
          <c:order val="4"/>
          <c:spPr>
            <a:ln w="28575" cap="rnd">
              <a:solidFill>
                <a:schemeClr val="accent6"/>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COM!$J$252:$AP$252</c:f>
              <c:numCache>
                <c:formatCode>0.0</c:formatCode>
                <c:ptCount val="33"/>
                <c:pt idx="0">
                  <c:v>29.566390373747055</c:v>
                </c:pt>
                <c:pt idx="1">
                  <c:v>28.767304884262032</c:v>
                </c:pt>
                <c:pt idx="2">
                  <c:v>28.031674102778698</c:v>
                </c:pt>
                <c:pt idx="3">
                  <c:v>27.231882882919415</c:v>
                </c:pt>
                <c:pt idx="4">
                  <c:v>26.398215869327572</c:v>
                </c:pt>
                <c:pt idx="5">
                  <c:v>25.463499211305457</c:v>
                </c:pt>
                <c:pt idx="6">
                  <c:v>25.296426686474252</c:v>
                </c:pt>
                <c:pt idx="7">
                  <c:v>25.12292543172607</c:v>
                </c:pt>
                <c:pt idx="8">
                  <c:v>24.919217438035627</c:v>
                </c:pt>
                <c:pt idx="9">
                  <c:v>24.766526365584077</c:v>
                </c:pt>
                <c:pt idx="10">
                  <c:v>24.615941344712173</c:v>
                </c:pt>
                <c:pt idx="11">
                  <c:v>24.469308761122655</c:v>
                </c:pt>
                <c:pt idx="12">
                  <c:v>24.326237124326362</c:v>
                </c:pt>
                <c:pt idx="13">
                  <c:v>24.182804205968036</c:v>
                </c:pt>
                <c:pt idx="14">
                  <c:v>24.045098521166448</c:v>
                </c:pt>
                <c:pt idx="15">
                  <c:v>23.908406595849652</c:v>
                </c:pt>
                <c:pt idx="16">
                  <c:v>23.775245072892808</c:v>
                </c:pt>
                <c:pt idx="17">
                  <c:v>23.642987438544353</c:v>
                </c:pt>
                <c:pt idx="18">
                  <c:v>23.501847577015504</c:v>
                </c:pt>
                <c:pt idx="19">
                  <c:v>23.371346145425182</c:v>
                </c:pt>
                <c:pt idx="20">
                  <c:v>23.24177540560699</c:v>
                </c:pt>
                <c:pt idx="21">
                  <c:v>23.11324124774691</c:v>
                </c:pt>
                <c:pt idx="22">
                  <c:v>22.981540818177098</c:v>
                </c:pt>
                <c:pt idx="23">
                  <c:v>22.852817776756176</c:v>
                </c:pt>
                <c:pt idx="24">
                  <c:v>22.725378198878772</c:v>
                </c:pt>
                <c:pt idx="25">
                  <c:v>22.599718879300092</c:v>
                </c:pt>
                <c:pt idx="26">
                  <c:v>22.472496691459334</c:v>
                </c:pt>
                <c:pt idx="27">
                  <c:v>22.346742796692624</c:v>
                </c:pt>
                <c:pt idx="28">
                  <c:v>22.224334563407275</c:v>
                </c:pt>
                <c:pt idx="29">
                  <c:v>21.647747741409724</c:v>
                </c:pt>
                <c:pt idx="30">
                  <c:v>21.097282816742137</c:v>
                </c:pt>
                <c:pt idx="31" formatCode="0.00">
                  <c:v>21.097282816742137</c:v>
                </c:pt>
                <c:pt idx="32" formatCode="0.00">
                  <c:v>21.097282816742137</c:v>
                </c:pt>
              </c:numCache>
            </c:numRef>
          </c:val>
          <c:smooth val="0"/>
          <c:extLst>
            <c:ext xmlns:c16="http://schemas.microsoft.com/office/drawing/2014/chart" uri="{C3380CC4-5D6E-409C-BE32-E72D297353CC}">
              <c16:uniqueId val="{00000004-E562-45F6-8549-313071348B04}"/>
            </c:ext>
          </c:extLst>
        </c:ser>
        <c:ser>
          <c:idx val="6"/>
          <c:order val="5"/>
          <c:spPr>
            <a:ln w="28575" cap="rnd">
              <a:solidFill>
                <a:schemeClr val="accent1">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COM!$J$253:$AP$253</c:f>
              <c:numCache>
                <c:formatCode>0.0</c:formatCode>
                <c:ptCount val="33"/>
                <c:pt idx="0">
                  <c:v>9.6831090230750316</c:v>
                </c:pt>
                <c:pt idx="1">
                  <c:v>9.6736255038926586</c:v>
                </c:pt>
                <c:pt idx="2">
                  <c:v>9.6909124953046728</c:v>
                </c:pt>
                <c:pt idx="3">
                  <c:v>9.6920710399778542</c:v>
                </c:pt>
                <c:pt idx="4">
                  <c:v>9.6869258063486576</c:v>
                </c:pt>
                <c:pt idx="5">
                  <c:v>9.6495991200814473</c:v>
                </c:pt>
                <c:pt idx="6">
                  <c:v>9.5862856345615484</c:v>
                </c:pt>
                <c:pt idx="7">
                  <c:v>9.5205359298073908</c:v>
                </c:pt>
                <c:pt idx="8">
                  <c:v>9.4433391368467383</c:v>
                </c:pt>
                <c:pt idx="9">
                  <c:v>9.3854756191052893</c:v>
                </c:pt>
                <c:pt idx="10">
                  <c:v>9.3284102066556969</c:v>
                </c:pt>
                <c:pt idx="11">
                  <c:v>9.2728426023041131</c:v>
                </c:pt>
                <c:pt idx="12">
                  <c:v>9.2186244475610621</c:v>
                </c:pt>
                <c:pt idx="13">
                  <c:v>9.1642693822459727</c:v>
                </c:pt>
                <c:pt idx="14">
                  <c:v>9.1120846984417305</c:v>
                </c:pt>
                <c:pt idx="15">
                  <c:v>9.0602841869993114</c:v>
                </c:pt>
                <c:pt idx="16">
                  <c:v>9.0098215501052206</c:v>
                </c:pt>
                <c:pt idx="17">
                  <c:v>8.9597014491150837</c:v>
                </c:pt>
                <c:pt idx="18">
                  <c:v>8.906215356244843</c:v>
                </c:pt>
                <c:pt idx="19">
                  <c:v>8.8567607825040824</c:v>
                </c:pt>
                <c:pt idx="20">
                  <c:v>8.8076589019431104</c:v>
                </c:pt>
                <c:pt idx="21">
                  <c:v>8.758949842504947</c:v>
                </c:pt>
                <c:pt idx="22">
                  <c:v>8.7090408987755268</c:v>
                </c:pt>
                <c:pt idx="23">
                  <c:v>8.6602602603832182</c:v>
                </c:pt>
                <c:pt idx="24">
                  <c:v>8.611966000888696</c:v>
                </c:pt>
                <c:pt idx="25">
                  <c:v>8.5643463846853525</c:v>
                </c:pt>
                <c:pt idx="26">
                  <c:v>8.5161345069047076</c:v>
                </c:pt>
                <c:pt idx="27">
                  <c:v>8.4684790506683996</c:v>
                </c:pt>
                <c:pt idx="28">
                  <c:v>8.4220914599292378</c:v>
                </c:pt>
                <c:pt idx="29">
                  <c:v>8.2035892170117428</c:v>
                </c:pt>
                <c:pt idx="30">
                  <c:v>7.9949860785102702</c:v>
                </c:pt>
                <c:pt idx="31" formatCode="0.00">
                  <c:v>7.9949860785102702</c:v>
                </c:pt>
                <c:pt idx="32" formatCode="0.00">
                  <c:v>7.9949860785102702</c:v>
                </c:pt>
              </c:numCache>
            </c:numRef>
          </c:val>
          <c:smooth val="0"/>
          <c:extLst>
            <c:ext xmlns:c16="http://schemas.microsoft.com/office/drawing/2014/chart" uri="{C3380CC4-5D6E-409C-BE32-E72D297353CC}">
              <c16:uniqueId val="{00000005-E562-45F6-8549-313071348B04}"/>
            </c:ext>
          </c:extLst>
        </c:ser>
        <c:ser>
          <c:idx val="7"/>
          <c:order val="6"/>
          <c:spPr>
            <a:ln w="28575" cap="rnd">
              <a:solidFill>
                <a:schemeClr val="accent2">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COM!$J$254:$AP$254</c:f>
              <c:numCache>
                <c:formatCode>0.0</c:formatCode>
                <c:ptCount val="33"/>
                <c:pt idx="0">
                  <c:v>10.30055287377321</c:v>
                </c:pt>
                <c:pt idx="1">
                  <c:v>10.022161692737667</c:v>
                </c:pt>
                <c:pt idx="2">
                  <c:v>9.765877321718456</c:v>
                </c:pt>
                <c:pt idx="3">
                  <c:v>9.4872402732319685</c:v>
                </c:pt>
                <c:pt idx="4">
                  <c:v>9.1968013307681549</c:v>
                </c:pt>
                <c:pt idx="5">
                  <c:v>8.8711579824850144</c:v>
                </c:pt>
                <c:pt idx="6">
                  <c:v>8.9349746302512507</c:v>
                </c:pt>
                <c:pt idx="7">
                  <c:v>8.9875928409435009</c:v>
                </c:pt>
                <c:pt idx="8">
                  <c:v>8.9875928409435009</c:v>
                </c:pt>
                <c:pt idx="9">
                  <c:v>9.0764610605732052</c:v>
                </c:pt>
                <c:pt idx="10">
                  <c:v>9.1689978875940721</c:v>
                </c:pt>
                <c:pt idx="11">
                  <c:v>9.2684196080180303</c:v>
                </c:pt>
                <c:pt idx="12">
                  <c:v>9.3740442704076212</c:v>
                </c:pt>
                <c:pt idx="13">
                  <c:v>9.479039603382132</c:v>
                </c:pt>
                <c:pt idx="14">
                  <c:v>9.5940114115580197</c:v>
                </c:pt>
                <c:pt idx="15">
                  <c:v>9.7107491240330788</c:v>
                </c:pt>
                <c:pt idx="16">
                  <c:v>9.8336365720211045</c:v>
                </c:pt>
                <c:pt idx="17">
                  <c:v>9.9580985362563066</c:v>
                </c:pt>
                <c:pt idx="18">
                  <c:v>10.067088227827853</c:v>
                </c:pt>
                <c:pt idx="19">
                  <c:v>10.194609385143192</c:v>
                </c:pt>
                <c:pt idx="20">
                  <c:v>10.323751748105698</c:v>
                </c:pt>
                <c:pt idx="21">
                  <c:v>10.454699770658788</c:v>
                </c:pt>
                <c:pt idx="22">
                  <c:v>10.580132350043721</c:v>
                </c:pt>
                <c:pt idx="23">
                  <c:v>10.710751349493071</c:v>
                </c:pt>
                <c:pt idx="24">
                  <c:v>10.843606060492677</c:v>
                </c:pt>
                <c:pt idx="25">
                  <c:v>10.979561867788309</c:v>
                </c:pt>
                <c:pt idx="26">
                  <c:v>11.112795258352513</c:v>
                </c:pt>
                <c:pt idx="27">
                  <c:v>11.248586321708745</c:v>
                </c:pt>
                <c:pt idx="28">
                  <c:v>11.390205313762191</c:v>
                </c:pt>
                <c:pt idx="29">
                  <c:v>12.160059478447263</c:v>
                </c:pt>
                <c:pt idx="30">
                  <c:v>12.975416320532121</c:v>
                </c:pt>
                <c:pt idx="31" formatCode="0.00">
                  <c:v>12.975416320532121</c:v>
                </c:pt>
                <c:pt idx="32" formatCode="0.00">
                  <c:v>12.975416320532121</c:v>
                </c:pt>
              </c:numCache>
            </c:numRef>
          </c:val>
          <c:smooth val="0"/>
          <c:extLst>
            <c:ext xmlns:c16="http://schemas.microsoft.com/office/drawing/2014/chart" uri="{C3380CC4-5D6E-409C-BE32-E72D297353CC}">
              <c16:uniqueId val="{00000006-E562-45F6-8549-313071348B04}"/>
            </c:ext>
          </c:extLst>
        </c:ser>
        <c:ser>
          <c:idx val="8"/>
          <c:order val="7"/>
          <c:spPr>
            <a:ln w="28575" cap="rnd">
              <a:solidFill>
                <a:schemeClr val="accent3">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COM!$J$255:$AP$255</c:f>
              <c:numCache>
                <c:formatCode>0.0</c:formatCode>
                <c:ptCount val="33"/>
                <c:pt idx="0">
                  <c:v>3.5593512487513528</c:v>
                </c:pt>
                <c:pt idx="1">
                  <c:v>3.4631533057862538</c:v>
                </c:pt>
                <c:pt idx="2">
                  <c:v>3.3745943607275568</c:v>
                </c:pt>
                <c:pt idx="3">
                  <c:v>3.2783114583792798</c:v>
                </c:pt>
                <c:pt idx="4">
                  <c:v>3.1779504170630659</c:v>
                </c:pt>
                <c:pt idx="5">
                  <c:v>3.0654245097100388</c:v>
                </c:pt>
                <c:pt idx="6">
                  <c:v>3.087476322627404</c:v>
                </c:pt>
                <c:pt idx="7">
                  <c:v>3.1056585208287628</c:v>
                </c:pt>
                <c:pt idx="8">
                  <c:v>3.1056585208287628</c:v>
                </c:pt>
                <c:pt idx="9">
                  <c:v>3.1363668927374868</c:v>
                </c:pt>
                <c:pt idx="10">
                  <c:v>3.1683429502218221</c:v>
                </c:pt>
                <c:pt idx="11">
                  <c:v>3.2026980794154261</c:v>
                </c:pt>
                <c:pt idx="12">
                  <c:v>3.2391966323166557</c:v>
                </c:pt>
                <c:pt idx="13">
                  <c:v>3.2754777207315735</c:v>
                </c:pt>
                <c:pt idx="14">
                  <c:v>3.3152061755064617</c:v>
                </c:pt>
                <c:pt idx="15">
                  <c:v>3.3555448376895782</c:v>
                </c:pt>
                <c:pt idx="16">
                  <c:v>3.3980085381153811</c:v>
                </c:pt>
                <c:pt idx="17">
                  <c:v>3.4410163118971724</c:v>
                </c:pt>
                <c:pt idx="18">
                  <c:v>3.4786776490651938</c:v>
                </c:pt>
                <c:pt idx="19">
                  <c:v>3.5227425255912155</c:v>
                </c:pt>
                <c:pt idx="20">
                  <c:v>3.5673676089736492</c:v>
                </c:pt>
                <c:pt idx="21">
                  <c:v>3.6126166371867461</c:v>
                </c:pt>
                <c:pt idx="22">
                  <c:v>3.6559598065815284</c:v>
                </c:pt>
                <c:pt idx="23">
                  <c:v>3.7010951410143482</c:v>
                </c:pt>
                <c:pt idx="24">
                  <c:v>3.7470030245322286</c:v>
                </c:pt>
                <c:pt idx="25">
                  <c:v>3.7939824904310764</c:v>
                </c:pt>
                <c:pt idx="26">
                  <c:v>3.8400212264961593</c:v>
                </c:pt>
                <c:pt idx="27">
                  <c:v>3.8869437652034651</c:v>
                </c:pt>
                <c:pt idx="28">
                  <c:v>3.9358801419581333</c:v>
                </c:pt>
                <c:pt idx="29">
                  <c:v>4.2019028900579141</c:v>
                </c:pt>
                <c:pt idx="30">
                  <c:v>4.4836490671434168</c:v>
                </c:pt>
                <c:pt idx="31" formatCode="0.00">
                  <c:v>4.4836490671434168</c:v>
                </c:pt>
                <c:pt idx="32" formatCode="0.00">
                  <c:v>4.4836490671434168</c:v>
                </c:pt>
              </c:numCache>
            </c:numRef>
          </c:val>
          <c:smooth val="0"/>
          <c:extLst>
            <c:ext xmlns:c16="http://schemas.microsoft.com/office/drawing/2014/chart" uri="{C3380CC4-5D6E-409C-BE32-E72D297353CC}">
              <c16:uniqueId val="{00000007-E562-45F6-8549-313071348B04}"/>
            </c:ext>
          </c:extLst>
        </c:ser>
        <c:ser>
          <c:idx val="9"/>
          <c:order val="8"/>
          <c:spPr>
            <a:ln w="28575" cap="rnd">
              <a:solidFill>
                <a:schemeClr val="accent4">
                  <a:lumMod val="60000"/>
                </a:schemeClr>
              </a:solidFill>
              <a:round/>
            </a:ln>
            <a:effectLst/>
          </c:spPr>
          <c:marker>
            <c:symbol val="none"/>
          </c:marker>
          <c:cat>
            <c:numRef>
              <c:f>COM!$J$247:$AP$247</c:f>
              <c:numCache>
                <c:formatCode>General</c:formatCode>
                <c:ptCount val="33"/>
                <c:pt idx="0">
                  <c:v>2012</c:v>
                </c:pt>
                <c:pt idx="1">
                  <c:v>2013</c:v>
                </c:pt>
                <c:pt idx="2">
                  <c:v>2014</c:v>
                </c:pt>
                <c:pt idx="3">
                  <c:v>2015</c:v>
                </c:pt>
                <c:pt idx="4">
                  <c:v>2016</c:v>
                </c:pt>
                <c:pt idx="5">
                  <c:v>2017</c:v>
                </c:pt>
                <c:pt idx="6">
                  <c:v>2018</c:v>
                </c:pt>
                <c:pt idx="7">
                  <c:v>2019</c:v>
                </c:pt>
                <c:pt idx="8">
                  <c:v>2020</c:v>
                </c:pt>
                <c:pt idx="9">
                  <c:v>2021</c:v>
                </c:pt>
                <c:pt idx="10">
                  <c:v>2022</c:v>
                </c:pt>
                <c:pt idx="11">
                  <c:v>2023</c:v>
                </c:pt>
                <c:pt idx="12">
                  <c:v>2024</c:v>
                </c:pt>
                <c:pt idx="13">
                  <c:v>2025</c:v>
                </c:pt>
                <c:pt idx="14">
                  <c:v>2026</c:v>
                </c:pt>
                <c:pt idx="15">
                  <c:v>2027</c:v>
                </c:pt>
                <c:pt idx="16">
                  <c:v>2028</c:v>
                </c:pt>
                <c:pt idx="17">
                  <c:v>2029</c:v>
                </c:pt>
                <c:pt idx="18">
                  <c:v>2030</c:v>
                </c:pt>
                <c:pt idx="19">
                  <c:v>2031</c:v>
                </c:pt>
                <c:pt idx="20">
                  <c:v>2032</c:v>
                </c:pt>
                <c:pt idx="21">
                  <c:v>2033</c:v>
                </c:pt>
                <c:pt idx="22">
                  <c:v>2034</c:v>
                </c:pt>
                <c:pt idx="23">
                  <c:v>2035</c:v>
                </c:pt>
                <c:pt idx="24">
                  <c:v>2036</c:v>
                </c:pt>
                <c:pt idx="25">
                  <c:v>2037</c:v>
                </c:pt>
                <c:pt idx="26">
                  <c:v>2038</c:v>
                </c:pt>
                <c:pt idx="27">
                  <c:v>2039</c:v>
                </c:pt>
                <c:pt idx="28">
                  <c:v>2040</c:v>
                </c:pt>
                <c:pt idx="29">
                  <c:v>2045</c:v>
                </c:pt>
                <c:pt idx="30">
                  <c:v>2050</c:v>
                </c:pt>
                <c:pt idx="31">
                  <c:v>2060</c:v>
                </c:pt>
                <c:pt idx="32">
                  <c:v>2070</c:v>
                </c:pt>
              </c:numCache>
            </c:numRef>
          </c:cat>
          <c:val>
            <c:numRef>
              <c:f>COM!$J$256:$AP$256</c:f>
              <c:numCache>
                <c:formatCode>0.0</c:formatCode>
                <c:ptCount val="33"/>
                <c:pt idx="0">
                  <c:v>18.760184357078931</c:v>
                </c:pt>
                <c:pt idx="1">
                  <c:v>18.415319194151312</c:v>
                </c:pt>
                <c:pt idx="2">
                  <c:v>18.114567188633565</c:v>
                </c:pt>
                <c:pt idx="3">
                  <c:v>17.776245066865727</c:v>
                </c:pt>
                <c:pt idx="4">
                  <c:v>17.41950852758735</c:v>
                </c:pt>
                <c:pt idx="5">
                  <c:v>16.999241745794041</c:v>
                </c:pt>
                <c:pt idx="6">
                  <c:v>16.887705377005229</c:v>
                </c:pt>
                <c:pt idx="7">
                  <c:v>16.771877236175573</c:v>
                </c:pt>
                <c:pt idx="8">
                  <c:v>16.635883302209223</c:v>
                </c:pt>
                <c:pt idx="9">
                  <c:v>16.533947883534477</c:v>
                </c:pt>
                <c:pt idx="10">
                  <c:v>16.433418449152558</c:v>
                </c:pt>
                <c:pt idx="11">
                  <c:v>16.335527632357756</c:v>
                </c:pt>
                <c:pt idx="12">
                  <c:v>16.240014077025702</c:v>
                </c:pt>
                <c:pt idx="13">
                  <c:v>16.144259332823253</c:v>
                </c:pt>
                <c:pt idx="14">
                  <c:v>16.0523280469349</c:v>
                </c:pt>
                <c:pt idx="15">
                  <c:v>15.961073539301223</c:v>
                </c:pt>
                <c:pt idx="16">
                  <c:v>15.87217590189495</c:v>
                </c:pt>
                <c:pt idx="17">
                  <c:v>15.783881693767498</c:v>
                </c:pt>
                <c:pt idx="18">
                  <c:v>15.689657777164882</c:v>
                </c:pt>
                <c:pt idx="19">
                  <c:v>15.602535996871973</c:v>
                </c:pt>
                <c:pt idx="20">
                  <c:v>15.516035539449653</c:v>
                </c:pt>
                <c:pt idx="21">
                  <c:v>15.430227096394603</c:v>
                </c:pt>
                <c:pt idx="22">
                  <c:v>15.34230487401253</c:v>
                </c:pt>
                <c:pt idx="23">
                  <c:v>15.25637033370408</c:v>
                </c:pt>
                <c:pt idx="24">
                  <c:v>15.171292624063998</c:v>
                </c:pt>
                <c:pt idx="25">
                  <c:v>15.087403401557548</c:v>
                </c:pt>
                <c:pt idx="26">
                  <c:v>15.00247081988104</c:v>
                </c:pt>
                <c:pt idx="27">
                  <c:v>14.918518459685972</c:v>
                </c:pt>
                <c:pt idx="28">
                  <c:v>14.83679963808861</c:v>
                </c:pt>
                <c:pt idx="29">
                  <c:v>14.451874585438198</c:v>
                </c:pt>
                <c:pt idx="30">
                  <c:v>14.084388316196378</c:v>
                </c:pt>
                <c:pt idx="31" formatCode="0.00">
                  <c:v>14.084388316196378</c:v>
                </c:pt>
                <c:pt idx="32" formatCode="0.00">
                  <c:v>14.084388316196378</c:v>
                </c:pt>
              </c:numCache>
            </c:numRef>
          </c:val>
          <c:smooth val="0"/>
          <c:extLst>
            <c:ext xmlns:c16="http://schemas.microsoft.com/office/drawing/2014/chart" uri="{C3380CC4-5D6E-409C-BE32-E72D297353CC}">
              <c16:uniqueId val="{00000008-E562-45F6-8549-313071348B04}"/>
            </c:ext>
          </c:extLst>
        </c:ser>
        <c:dLbls>
          <c:showLegendKey val="0"/>
          <c:showVal val="0"/>
          <c:showCatName val="0"/>
          <c:showSerName val="0"/>
          <c:showPercent val="0"/>
          <c:showBubbleSize val="0"/>
        </c:dLbls>
        <c:smooth val="0"/>
        <c:axId val="1216512720"/>
        <c:axId val="1269852384"/>
      </c:lineChart>
      <c:catAx>
        <c:axId val="1216512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9852384"/>
        <c:crosses val="autoZero"/>
        <c:auto val="1"/>
        <c:lblAlgn val="ctr"/>
        <c:lblOffset val="100"/>
        <c:noMultiLvlLbl val="0"/>
      </c:catAx>
      <c:valAx>
        <c:axId val="126985238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65127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FTRA!$C$76</c:f>
              <c:strCache>
                <c:ptCount val="1"/>
                <c:pt idx="0">
                  <c:v>Transport Freight - LCV</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FTRA!$P$76:$AD$76</c:f>
              <c:numCache>
                <c:formatCode>0</c:formatCode>
                <c:ptCount val="15"/>
                <c:pt idx="0">
                  <c:v>18.120758900121242</c:v>
                </c:pt>
                <c:pt idx="1">
                  <c:v>19.166790908504293</c:v>
                </c:pt>
                <c:pt idx="2">
                  <c:v>17.606790705410827</c:v>
                </c:pt>
                <c:pt idx="3">
                  <c:v>18.363497083448415</c:v>
                </c:pt>
                <c:pt idx="4">
                  <c:v>21.307547009301889</c:v>
                </c:pt>
                <c:pt idx="5">
                  <c:v>25.892301305945971</c:v>
                </c:pt>
                <c:pt idx="6">
                  <c:v>31.963788883729556</c:v>
                </c:pt>
                <c:pt idx="8">
                  <c:v>18.120758900121242</c:v>
                </c:pt>
                <c:pt idx="9">
                  <c:v>19.166790908504293</c:v>
                </c:pt>
                <c:pt idx="10">
                  <c:v>17.606790705410827</c:v>
                </c:pt>
                <c:pt idx="11">
                  <c:v>18.363497083448415</c:v>
                </c:pt>
                <c:pt idx="12">
                  <c:v>21.307547009301889</c:v>
                </c:pt>
                <c:pt idx="13">
                  <c:v>25.892301305945971</c:v>
                </c:pt>
                <c:pt idx="14">
                  <c:v>31.963788883729556</c:v>
                </c:pt>
              </c:numCache>
            </c:numRef>
          </c:val>
          <c:extLst>
            <c:ext xmlns:c16="http://schemas.microsoft.com/office/drawing/2014/chart" uri="{C3380CC4-5D6E-409C-BE32-E72D297353CC}">
              <c16:uniqueId val="{00000000-CCB8-497E-BE74-41C87DC4E581}"/>
            </c:ext>
          </c:extLst>
        </c:ser>
        <c:ser>
          <c:idx val="1"/>
          <c:order val="1"/>
          <c:tx>
            <c:strRef>
              <c:f>FTRA!$C$77</c:f>
              <c:strCache>
                <c:ptCount val="1"/>
                <c:pt idx="0">
                  <c:v>Transport Freight - HCV1</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FTRA!$P$77:$AD$77</c:f>
              <c:numCache>
                <c:formatCode>0</c:formatCode>
                <c:ptCount val="15"/>
                <c:pt idx="0">
                  <c:v>5.725786025053389</c:v>
                </c:pt>
                <c:pt idx="1">
                  <c:v>5.9036614240138503</c:v>
                </c:pt>
                <c:pt idx="2">
                  <c:v>5.5633826774444142</c:v>
                </c:pt>
                <c:pt idx="3">
                  <c:v>5.6567763722279709</c:v>
                </c:pt>
                <c:pt idx="4">
                  <c:v>6.7327453318311399</c:v>
                </c:pt>
                <c:pt idx="5">
                  <c:v>8.1814331171894299</c:v>
                </c:pt>
                <c:pt idx="6">
                  <c:v>10.099897951679662</c:v>
                </c:pt>
                <c:pt idx="8">
                  <c:v>5.725786025053389</c:v>
                </c:pt>
                <c:pt idx="9">
                  <c:v>5.9036614240138503</c:v>
                </c:pt>
                <c:pt idx="10">
                  <c:v>5.5633826774444142</c:v>
                </c:pt>
                <c:pt idx="11">
                  <c:v>5.6567763722279709</c:v>
                </c:pt>
                <c:pt idx="12">
                  <c:v>6.3961080652395834</c:v>
                </c:pt>
                <c:pt idx="13">
                  <c:v>7.3837433882634604</c:v>
                </c:pt>
                <c:pt idx="14">
                  <c:v>8.6594000063213503</c:v>
                </c:pt>
              </c:numCache>
            </c:numRef>
          </c:val>
          <c:extLst>
            <c:ext xmlns:c16="http://schemas.microsoft.com/office/drawing/2014/chart" uri="{C3380CC4-5D6E-409C-BE32-E72D297353CC}">
              <c16:uniqueId val="{00000001-CCB8-497E-BE74-41C87DC4E581}"/>
            </c:ext>
          </c:extLst>
        </c:ser>
        <c:ser>
          <c:idx val="2"/>
          <c:order val="2"/>
          <c:tx>
            <c:strRef>
              <c:f>FTRA!$C$78</c:f>
              <c:strCache>
                <c:ptCount val="1"/>
                <c:pt idx="0">
                  <c:v>Transport Freight - HCV2</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FTRA!$P$78:$AD$78</c:f>
              <c:numCache>
                <c:formatCode>0</c:formatCode>
                <c:ptCount val="15"/>
                <c:pt idx="0">
                  <c:v>2.3987639372378653</c:v>
                </c:pt>
                <c:pt idx="1">
                  <c:v>2.4732805331425385</c:v>
                </c:pt>
                <c:pt idx="2">
                  <c:v>2.3307265897319418</c:v>
                </c:pt>
                <c:pt idx="3">
                  <c:v>2.3698504837799264</c:v>
                </c:pt>
                <c:pt idx="4">
                  <c:v>2.8206200214148818</c:v>
                </c:pt>
                <c:pt idx="5">
                  <c:v>3.4275340766431426</c:v>
                </c:pt>
                <c:pt idx="6">
                  <c:v>4.2312567864507047</c:v>
                </c:pt>
                <c:pt idx="8">
                  <c:v>2.3987639372378653</c:v>
                </c:pt>
                <c:pt idx="9">
                  <c:v>2.4732805331425385</c:v>
                </c:pt>
                <c:pt idx="10">
                  <c:v>2.3307265897319418</c:v>
                </c:pt>
                <c:pt idx="11">
                  <c:v>2.3698504837799264</c:v>
                </c:pt>
                <c:pt idx="12">
                  <c:v>2.6795890203441379</c:v>
                </c:pt>
                <c:pt idx="13">
                  <c:v>3.093349504170436</c:v>
                </c:pt>
                <c:pt idx="14">
                  <c:v>3.6277737872831728</c:v>
                </c:pt>
              </c:numCache>
            </c:numRef>
          </c:val>
          <c:extLst>
            <c:ext xmlns:c16="http://schemas.microsoft.com/office/drawing/2014/chart" uri="{C3380CC4-5D6E-409C-BE32-E72D297353CC}">
              <c16:uniqueId val="{00000002-CCB8-497E-BE74-41C87DC4E581}"/>
            </c:ext>
          </c:extLst>
        </c:ser>
        <c:ser>
          <c:idx val="3"/>
          <c:order val="3"/>
          <c:tx>
            <c:strRef>
              <c:f>FTRA!$C$79</c:f>
              <c:strCache>
                <c:ptCount val="1"/>
                <c:pt idx="0">
                  <c:v>Transport Freight - HCV3</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FTRA!$P$79:$AD$79</c:f>
              <c:numCache>
                <c:formatCode>0</c:formatCode>
                <c:ptCount val="15"/>
                <c:pt idx="0">
                  <c:v>16.052958413816011</c:v>
                </c:pt>
                <c:pt idx="1">
                  <c:v>16.55163683590963</c:v>
                </c:pt>
                <c:pt idx="2">
                  <c:v>15.597640283864223</c:v>
                </c:pt>
                <c:pt idx="3">
                  <c:v>15.859464398521386</c:v>
                </c:pt>
                <c:pt idx="4">
                  <c:v>18.876094976268586</c:v>
                </c:pt>
                <c:pt idx="5">
                  <c:v>22.937672665550647</c:v>
                </c:pt>
                <c:pt idx="6">
                  <c:v>28.316329162961928</c:v>
                </c:pt>
                <c:pt idx="8">
                  <c:v>16.052958413816011</c:v>
                </c:pt>
                <c:pt idx="9">
                  <c:v>16.55163683590963</c:v>
                </c:pt>
                <c:pt idx="10">
                  <c:v>15.597640283864223</c:v>
                </c:pt>
                <c:pt idx="11">
                  <c:v>15.859464398521386</c:v>
                </c:pt>
                <c:pt idx="12">
                  <c:v>17.932290227455159</c:v>
                </c:pt>
                <c:pt idx="13">
                  <c:v>20.701249580659457</c:v>
                </c:pt>
                <c:pt idx="14">
                  <c:v>24.277712716094481</c:v>
                </c:pt>
              </c:numCache>
            </c:numRef>
          </c:val>
          <c:extLst>
            <c:ext xmlns:c16="http://schemas.microsoft.com/office/drawing/2014/chart" uri="{C3380CC4-5D6E-409C-BE32-E72D297353CC}">
              <c16:uniqueId val="{00000003-CCB8-497E-BE74-41C87DC4E581}"/>
            </c:ext>
          </c:extLst>
        </c:ser>
        <c:ser>
          <c:idx val="4"/>
          <c:order val="4"/>
          <c:tx>
            <c:strRef>
              <c:f>FTRA!$C$80</c:f>
              <c:strCache>
                <c:ptCount val="1"/>
                <c:pt idx="0">
                  <c:v>Transport Freight - HCV4</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FTRA!$P$80:$AD$80</c:f>
              <c:numCache>
                <c:formatCode>0</c:formatCode>
                <c:ptCount val="15"/>
                <c:pt idx="0">
                  <c:v>5.3540695863437202</c:v>
                </c:pt>
                <c:pt idx="1">
                  <c:v>5.5203915130734007</c:v>
                </c:pt>
                <c:pt idx="2">
                  <c:v>5.2022094189625063</c:v>
                </c:pt>
                <c:pt idx="3">
                  <c:v>5.289534414961425</c:v>
                </c:pt>
                <c:pt idx="4">
                  <c:v>6.2956573745556001</c:v>
                </c:pt>
                <c:pt idx="5">
                  <c:v>7.6502967511854907</c:v>
                </c:pt>
                <c:pt idx="6">
                  <c:v>9.4442153813736169</c:v>
                </c:pt>
                <c:pt idx="8">
                  <c:v>5.3540695863437202</c:v>
                </c:pt>
                <c:pt idx="9">
                  <c:v>5.5203915130734007</c:v>
                </c:pt>
                <c:pt idx="10">
                  <c:v>5.2022094189625063</c:v>
                </c:pt>
                <c:pt idx="11">
                  <c:v>5.289534414961425</c:v>
                </c:pt>
                <c:pt idx="12">
                  <c:v>5.9808745058278197</c:v>
                </c:pt>
                <c:pt idx="13">
                  <c:v>6.9043928179449043</c:v>
                </c:pt>
                <c:pt idx="14">
                  <c:v>8.0972341626052042</c:v>
                </c:pt>
              </c:numCache>
            </c:numRef>
          </c:val>
          <c:extLst>
            <c:ext xmlns:c16="http://schemas.microsoft.com/office/drawing/2014/chart" uri="{C3380CC4-5D6E-409C-BE32-E72D297353CC}">
              <c16:uniqueId val="{00000004-CCB8-497E-BE74-41C87DC4E581}"/>
            </c:ext>
          </c:extLst>
        </c:ser>
        <c:ser>
          <c:idx val="5"/>
          <c:order val="5"/>
          <c:tx>
            <c:strRef>
              <c:f>FTRA!$C$81</c:f>
              <c:strCache>
                <c:ptCount val="1"/>
                <c:pt idx="0">
                  <c:v>Transport Freight - HCV5</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FTRA!$P$81:$AD$81</c:f>
              <c:numCache>
                <c:formatCode>0</c:formatCode>
                <c:ptCount val="15"/>
                <c:pt idx="0">
                  <c:v>3.2275506965029748</c:v>
                </c:pt>
                <c:pt idx="1">
                  <c:v>3.3278132055725829</c:v>
                </c:pt>
                <c:pt idx="2">
                  <c:v>3.1360060534799454</c:v>
                </c:pt>
                <c:pt idx="3">
                  <c:v>3.1886474783088858</c:v>
                </c:pt>
                <c:pt idx="4">
                  <c:v>3.7951604880180847</c:v>
                </c:pt>
                <c:pt idx="5">
                  <c:v>4.6117668456761853</c:v>
                </c:pt>
                <c:pt idx="6">
                  <c:v>5.693180381858352</c:v>
                </c:pt>
                <c:pt idx="8">
                  <c:v>3.2275506965029748</c:v>
                </c:pt>
                <c:pt idx="9">
                  <c:v>3.3278132055725829</c:v>
                </c:pt>
                <c:pt idx="10">
                  <c:v>3.1360060534799454</c:v>
                </c:pt>
                <c:pt idx="11">
                  <c:v>3.1886474783088858</c:v>
                </c:pt>
                <c:pt idx="12">
                  <c:v>3.60540246361718</c:v>
                </c:pt>
                <c:pt idx="13">
                  <c:v>4.1621195782227574</c:v>
                </c:pt>
                <c:pt idx="14">
                  <c:v>4.8811905298958038</c:v>
                </c:pt>
              </c:numCache>
            </c:numRef>
          </c:val>
          <c:extLst>
            <c:ext xmlns:c16="http://schemas.microsoft.com/office/drawing/2014/chart" uri="{C3380CC4-5D6E-409C-BE32-E72D297353CC}">
              <c16:uniqueId val="{00000005-CCB8-497E-BE74-41C87DC4E581}"/>
            </c:ext>
          </c:extLst>
        </c:ser>
        <c:ser>
          <c:idx val="6"/>
          <c:order val="6"/>
          <c:tx>
            <c:strRef>
              <c:f>FTRA!$C$82</c:f>
              <c:strCache>
                <c:ptCount val="1"/>
                <c:pt idx="0">
                  <c:v>Transport Freight - HCV6</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FTRA!$P$82:$AD$82</c:f>
              <c:numCache>
                <c:formatCode>0</c:formatCode>
                <c:ptCount val="15"/>
                <c:pt idx="0">
                  <c:v>106.02579012712634</c:v>
                </c:pt>
                <c:pt idx="1">
                  <c:v>109.31943684063926</c:v>
                </c:pt>
                <c:pt idx="2">
                  <c:v>103.01852733836863</c:v>
                </c:pt>
                <c:pt idx="3">
                  <c:v>104.74781037238991</c:v>
                </c:pt>
                <c:pt idx="4">
                  <c:v>124.67190363186195</c:v>
                </c:pt>
                <c:pt idx="5">
                  <c:v>151.49761217529243</c:v>
                </c:pt>
                <c:pt idx="6">
                  <c:v>187.02229804687755</c:v>
                </c:pt>
                <c:pt idx="8">
                  <c:v>106.02579012712634</c:v>
                </c:pt>
                <c:pt idx="9">
                  <c:v>109.31943684063926</c:v>
                </c:pt>
                <c:pt idx="10">
                  <c:v>103.01852733836863</c:v>
                </c:pt>
                <c:pt idx="11">
                  <c:v>104.74781037238991</c:v>
                </c:pt>
                <c:pt idx="12">
                  <c:v>118.43830845026886</c:v>
                </c:pt>
                <c:pt idx="13">
                  <c:v>136.72659498820144</c:v>
                </c:pt>
                <c:pt idx="14">
                  <c:v>160.34824278794164</c:v>
                </c:pt>
              </c:numCache>
            </c:numRef>
          </c:val>
          <c:extLst>
            <c:ext xmlns:c16="http://schemas.microsoft.com/office/drawing/2014/chart" uri="{C3380CC4-5D6E-409C-BE32-E72D297353CC}">
              <c16:uniqueId val="{00000006-CCB8-497E-BE74-41C87DC4E581}"/>
            </c:ext>
          </c:extLst>
        </c:ser>
        <c:ser>
          <c:idx val="7"/>
          <c:order val="7"/>
          <c:tx>
            <c:strRef>
              <c:f>FTRA!$C$83</c:f>
              <c:strCache>
                <c:ptCount val="1"/>
                <c:pt idx="0">
                  <c:v>Transport Freight - HCV7</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FTRA!$P$83:$AD$83</c:f>
              <c:numCache>
                <c:formatCode>0</c:formatCode>
                <c:ptCount val="15"/>
                <c:pt idx="0">
                  <c:v>37.255081911772038</c:v>
                </c:pt>
                <c:pt idx="1">
                  <c:v>38.412395410244791</c:v>
                </c:pt>
                <c:pt idx="2">
                  <c:v>36.198397293896896</c:v>
                </c:pt>
                <c:pt idx="3">
                  <c:v>36.806028522146683</c:v>
                </c:pt>
                <c:pt idx="4">
                  <c:v>43.806907511206049</c:v>
                </c:pt>
                <c:pt idx="5">
                  <c:v>53.232859139847896</c:v>
                </c:pt>
                <c:pt idx="6">
                  <c:v>65.715436071828407</c:v>
                </c:pt>
                <c:pt idx="8">
                  <c:v>37.255081911772038</c:v>
                </c:pt>
                <c:pt idx="9">
                  <c:v>38.412395410244791</c:v>
                </c:pt>
                <c:pt idx="10">
                  <c:v>36.198397293896896</c:v>
                </c:pt>
                <c:pt idx="11">
                  <c:v>36.806028522146683</c:v>
                </c:pt>
                <c:pt idx="12">
                  <c:v>41.616562135645744</c:v>
                </c:pt>
                <c:pt idx="13">
                  <c:v>48.042655373712726</c:v>
                </c:pt>
                <c:pt idx="14">
                  <c:v>56.342772002083869</c:v>
                </c:pt>
              </c:numCache>
            </c:numRef>
          </c:val>
          <c:extLst>
            <c:ext xmlns:c16="http://schemas.microsoft.com/office/drawing/2014/chart" uri="{C3380CC4-5D6E-409C-BE32-E72D297353CC}">
              <c16:uniqueId val="{00000007-CCB8-497E-BE74-41C87DC4E581}"/>
            </c:ext>
          </c:extLst>
        </c:ser>
        <c:ser>
          <c:idx val="8"/>
          <c:order val="8"/>
          <c:tx>
            <c:strRef>
              <c:f>FTRA!$C$84</c:f>
              <c:strCache>
                <c:ptCount val="1"/>
                <c:pt idx="0">
                  <c:v>Transport Freight - HCV8</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FTRA!$P$84:$AD$84</c:f>
              <c:numCache>
                <c:formatCode>0</c:formatCode>
                <c:ptCount val="15"/>
                <c:pt idx="0">
                  <c:v>1.3711094818814338</c:v>
                </c:pt>
                <c:pt idx="1">
                  <c:v>1.4137024230276445</c:v>
                </c:pt>
                <c:pt idx="2">
                  <c:v>1.3322200143355563</c:v>
                </c:pt>
                <c:pt idx="3">
                  <c:v>1.3545828409833027</c:v>
                </c:pt>
                <c:pt idx="4">
                  <c:v>1.6122382015630004</c:v>
                </c:pt>
                <c:pt idx="5">
                  <c:v>1.959144207148853</c:v>
                </c:pt>
                <c:pt idx="6">
                  <c:v>2.4185440718514686</c:v>
                </c:pt>
                <c:pt idx="8">
                  <c:v>1.3711094818814338</c:v>
                </c:pt>
                <c:pt idx="9">
                  <c:v>1.4137024230276445</c:v>
                </c:pt>
                <c:pt idx="10">
                  <c:v>1.3322200143355563</c:v>
                </c:pt>
                <c:pt idx="11">
                  <c:v>1.3545828409833027</c:v>
                </c:pt>
                <c:pt idx="12">
                  <c:v>1.5316262914848502</c:v>
                </c:pt>
                <c:pt idx="13">
                  <c:v>1.7681276469518397</c:v>
                </c:pt>
                <c:pt idx="14">
                  <c:v>2.0735992236036527</c:v>
                </c:pt>
              </c:numCache>
            </c:numRef>
          </c:val>
          <c:extLst>
            <c:ext xmlns:c16="http://schemas.microsoft.com/office/drawing/2014/chart" uri="{C3380CC4-5D6E-409C-BE32-E72D297353CC}">
              <c16:uniqueId val="{00000008-CCB8-497E-BE74-41C87DC4E581}"/>
            </c:ext>
          </c:extLst>
        </c:ser>
        <c:ser>
          <c:idx val="9"/>
          <c:order val="9"/>
          <c:tx>
            <c:strRef>
              <c:f>FTRA!$C$85</c:f>
              <c:strCache>
                <c:ptCount val="1"/>
                <c:pt idx="0">
                  <c:v>Transport Freight - HCV9</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FTRA!$P$85:$AD$85</c:f>
              <c:numCache>
                <c:formatCode>0</c:formatCode>
                <c:ptCount val="15"/>
                <c:pt idx="0">
                  <c:v>1.219348283935394</c:v>
                </c:pt>
                <c:pt idx="1">
                  <c:v>1.257226827101128</c:v>
                </c:pt>
                <c:pt idx="2">
                  <c:v>1.1847632955432508</c:v>
                </c:pt>
                <c:pt idx="3">
                  <c:v>1.2046508936214559</c:v>
                </c:pt>
                <c:pt idx="4">
                  <c:v>1.4337876809613728</c:v>
                </c:pt>
                <c:pt idx="5">
                  <c:v>1.7422964092487396</c:v>
                </c:pt>
                <c:pt idx="6">
                  <c:v>2.150847618373648</c:v>
                </c:pt>
                <c:pt idx="8">
                  <c:v>1.219348283935394</c:v>
                </c:pt>
                <c:pt idx="9">
                  <c:v>1.257226827101128</c:v>
                </c:pt>
                <c:pt idx="10">
                  <c:v>1.1847632955432508</c:v>
                </c:pt>
                <c:pt idx="11">
                  <c:v>1.2046508936214559</c:v>
                </c:pt>
                <c:pt idx="12">
                  <c:v>1.362098296913304</c:v>
                </c:pt>
                <c:pt idx="13">
                  <c:v>1.5724225093469872</c:v>
                </c:pt>
                <c:pt idx="14">
                  <c:v>1.844082976803106</c:v>
                </c:pt>
              </c:numCache>
            </c:numRef>
          </c:val>
          <c:extLst>
            <c:ext xmlns:c16="http://schemas.microsoft.com/office/drawing/2014/chart" uri="{C3380CC4-5D6E-409C-BE32-E72D297353CC}">
              <c16:uniqueId val="{00000009-CCB8-497E-BE74-41C87DC4E581}"/>
            </c:ext>
          </c:extLst>
        </c:ser>
        <c:ser>
          <c:idx val="10"/>
          <c:order val="10"/>
          <c:tx>
            <c:strRef>
              <c:f>FTRA!$C$86</c:f>
              <c:strCache>
                <c:ptCount val="1"/>
                <c:pt idx="0">
                  <c:v>Transport Freight - Rail Corridor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FTRA!$P$86:$AD$86</c:f>
              <c:numCache>
                <c:formatCode>0</c:formatCode>
                <c:ptCount val="15"/>
                <c:pt idx="0">
                  <c:v>23.183413464382845</c:v>
                </c:pt>
                <c:pt idx="1">
                  <c:v>23.903596482810922</c:v>
                </c:pt>
                <c:pt idx="2">
                  <c:v>22.525850653068453</c:v>
                </c:pt>
                <c:pt idx="3">
                  <c:v>22.903972650806818</c:v>
                </c:pt>
                <c:pt idx="4">
                  <c:v>27.260539966961023</c:v>
                </c:pt>
                <c:pt idx="5">
                  <c:v>33.126202386375169</c:v>
                </c:pt>
                <c:pt idx="6">
                  <c:v>40.89396794384745</c:v>
                </c:pt>
                <c:pt idx="8">
                  <c:v>23.183413464382845</c:v>
                </c:pt>
                <c:pt idx="9">
                  <c:v>23.903596482810922</c:v>
                </c:pt>
                <c:pt idx="10">
                  <c:v>22.525850653068453</c:v>
                </c:pt>
                <c:pt idx="11">
                  <c:v>22.903972650806818</c:v>
                </c:pt>
                <c:pt idx="12">
                  <c:v>37.4261584612535</c:v>
                </c:pt>
                <c:pt idx="13">
                  <c:v>57.21447265775798</c:v>
                </c:pt>
                <c:pt idx="14">
                  <c:v>84.393467279112116</c:v>
                </c:pt>
              </c:numCache>
            </c:numRef>
          </c:val>
          <c:extLst>
            <c:ext xmlns:c16="http://schemas.microsoft.com/office/drawing/2014/chart" uri="{C3380CC4-5D6E-409C-BE32-E72D297353CC}">
              <c16:uniqueId val="{0000000A-CCB8-497E-BE74-41C87DC4E581}"/>
            </c:ext>
          </c:extLst>
        </c:ser>
        <c:ser>
          <c:idx val="11"/>
          <c:order val="11"/>
          <c:tx>
            <c:strRef>
              <c:f>FTRA!$C$87</c:f>
              <c:strCache>
                <c:ptCount val="1"/>
                <c:pt idx="0">
                  <c:v>Transport Freight - Rail Other</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FTRA!$P$87:$AD$87</c:f>
              <c:numCache>
                <c:formatCode>0</c:formatCode>
                <c:ptCount val="15"/>
                <c:pt idx="0">
                  <c:v>26.450167179818607</c:v>
                </c:pt>
                <c:pt idx="1">
                  <c:v>27.271859436409219</c:v>
                </c:pt>
                <c:pt idx="2">
                  <c:v>25.699947790546279</c:v>
                </c:pt>
                <c:pt idx="3">
                  <c:v>26.131378310261344</c:v>
                </c:pt>
                <c:pt idx="4">
                  <c:v>31.101797871396435</c:v>
                </c:pt>
                <c:pt idx="5">
                  <c:v>37.79398544990984</c:v>
                </c:pt>
                <c:pt idx="6">
                  <c:v>46.656299790480489</c:v>
                </c:pt>
                <c:pt idx="8">
                  <c:v>26.450167179818607</c:v>
                </c:pt>
                <c:pt idx="9">
                  <c:v>27.271859436409219</c:v>
                </c:pt>
                <c:pt idx="10">
                  <c:v>25.699947790546279</c:v>
                </c:pt>
                <c:pt idx="11">
                  <c:v>26.131378310261344</c:v>
                </c:pt>
                <c:pt idx="12">
                  <c:v>31.438435137987994</c:v>
                </c:pt>
                <c:pt idx="13">
                  <c:v>38.591675178835814</c:v>
                </c:pt>
                <c:pt idx="14">
                  <c:v>48.096797735838805</c:v>
                </c:pt>
              </c:numCache>
            </c:numRef>
          </c:val>
          <c:extLst>
            <c:ext xmlns:c16="http://schemas.microsoft.com/office/drawing/2014/chart" uri="{C3380CC4-5D6E-409C-BE32-E72D297353CC}">
              <c16:uniqueId val="{0000000B-CCB8-497E-BE74-41C87DC4E581}"/>
            </c:ext>
          </c:extLst>
        </c:ser>
        <c:ser>
          <c:idx val="12"/>
          <c:order val="12"/>
          <c:tx>
            <c:strRef>
              <c:f>FTRA!$C$88</c:f>
              <c:strCache>
                <c:ptCount val="1"/>
                <c:pt idx="0">
                  <c:v>Transport Freight - Rail Export (bulk mining)</c:v>
                </c:pt>
              </c:strCache>
            </c:strRef>
          </c:tx>
          <c:invertIfNegative val="0"/>
          <c:cat>
            <c:multiLvlStrRef>
              <c:f>FTRA!$P$74:$AD$75</c:f>
              <c:multiLvlStrCache>
                <c:ptCount val="15"/>
                <c:lvl>
                  <c:pt idx="0">
                    <c:v>2015</c:v>
                  </c:pt>
                  <c:pt idx="1">
                    <c:v>2019</c:v>
                  </c:pt>
                  <c:pt idx="2">
                    <c:v>2020</c:v>
                  </c:pt>
                  <c:pt idx="3">
                    <c:v>2021</c:v>
                  </c:pt>
                  <c:pt idx="4">
                    <c:v>2030</c:v>
                  </c:pt>
                  <c:pt idx="5">
                    <c:v>2040</c:v>
                  </c:pt>
                  <c:pt idx="6">
                    <c:v>2050</c:v>
                  </c:pt>
                  <c:pt idx="7">
                    <c:v>0</c:v>
                  </c:pt>
                  <c:pt idx="8">
                    <c:v>2015</c:v>
                  </c:pt>
                  <c:pt idx="9">
                    <c:v>2019</c:v>
                  </c:pt>
                  <c:pt idx="10">
                    <c:v>2020</c:v>
                  </c:pt>
                  <c:pt idx="11">
                    <c:v>2021</c:v>
                  </c:pt>
                  <c:pt idx="12">
                    <c:v>2030</c:v>
                  </c:pt>
                  <c:pt idx="13">
                    <c:v>2040</c:v>
                  </c:pt>
                  <c:pt idx="14">
                    <c:v>2050</c:v>
                  </c:pt>
                </c:lvl>
                <c:lvl>
                  <c:pt idx="0">
                    <c:v>Reference</c:v>
                  </c:pt>
                  <c:pt idx="8">
                    <c:v>Scenario</c:v>
                  </c:pt>
                </c:lvl>
              </c:multiLvlStrCache>
            </c:multiLvlStrRef>
          </c:cat>
          <c:val>
            <c:numRef>
              <c:f>FTRA!$P$88:$AD$88</c:f>
              <c:numCache>
                <c:formatCode>0</c:formatCode>
                <c:ptCount val="15"/>
                <c:pt idx="0">
                  <c:v>82</c:v>
                </c:pt>
                <c:pt idx="1">
                  <c:v>82</c:v>
                </c:pt>
                <c:pt idx="2">
                  <c:v>82</c:v>
                </c:pt>
                <c:pt idx="3">
                  <c:v>86.036801673044508</c:v>
                </c:pt>
                <c:pt idx="4">
                  <c:v>76.525600127976475</c:v>
                </c:pt>
                <c:pt idx="5">
                  <c:v>81.331040777374611</c:v>
                </c:pt>
                <c:pt idx="6">
                  <c:v>87.911204464677908</c:v>
                </c:pt>
                <c:pt idx="8">
                  <c:v>82</c:v>
                </c:pt>
                <c:pt idx="9">
                  <c:v>82</c:v>
                </c:pt>
                <c:pt idx="10">
                  <c:v>82</c:v>
                </c:pt>
                <c:pt idx="11">
                  <c:v>86.036801673044508</c:v>
                </c:pt>
                <c:pt idx="12">
                  <c:v>76.525600127976475</c:v>
                </c:pt>
                <c:pt idx="13">
                  <c:v>81.331040777374611</c:v>
                </c:pt>
                <c:pt idx="14">
                  <c:v>87.911204464677908</c:v>
                </c:pt>
              </c:numCache>
            </c:numRef>
          </c:val>
          <c:extLst>
            <c:ext xmlns:c16="http://schemas.microsoft.com/office/drawing/2014/chart" uri="{C3380CC4-5D6E-409C-BE32-E72D297353CC}">
              <c16:uniqueId val="{0000000C-CCB8-497E-BE74-41C87DC4E581}"/>
            </c:ext>
          </c:extLst>
        </c:ser>
        <c:dLbls>
          <c:showLegendKey val="0"/>
          <c:showVal val="0"/>
          <c:showCatName val="0"/>
          <c:showSerName val="0"/>
          <c:showPercent val="0"/>
          <c:showBubbleSize val="0"/>
        </c:dLbls>
        <c:gapWidth val="73"/>
        <c:overlap val="100"/>
        <c:axId val="502539032"/>
        <c:axId val="502538248"/>
      </c:barChart>
      <c:catAx>
        <c:axId val="50253903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8248"/>
        <c:crosses val="autoZero"/>
        <c:auto val="1"/>
        <c:lblAlgn val="ctr"/>
        <c:lblOffset val="100"/>
        <c:noMultiLvlLbl val="0"/>
      </c:catAx>
      <c:valAx>
        <c:axId val="5025382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Freight Demand (Billion tonkm)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502539032"/>
        <c:crosses val="autoZero"/>
        <c:crossBetween val="between"/>
      </c:valAx>
    </c:plotArea>
    <c:legend>
      <c:legendPos val="r"/>
      <c:layout>
        <c:manualLayout>
          <c:xMode val="edge"/>
          <c:yMode val="edge"/>
          <c:x val="0.70153863720418597"/>
          <c:y val="0.352234489641094"/>
          <c:w val="0.27916071661255099"/>
          <c:h val="0.60353248369726897"/>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chart>
    <c:title>
      <c:tx>
        <c:strRef>
          <c:f>FTRA!$AI$74</c:f>
          <c:strCache>
            <c:ptCount val="1"/>
            <c:pt idx="0">
              <c:v>Corridor Freight </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percentStacked"/>
        <c:varyColors val="0"/>
        <c:ser>
          <c:idx val="0"/>
          <c:order val="0"/>
          <c:tx>
            <c:strRef>
              <c:f>FTRA!$AI$77</c:f>
              <c:strCache>
                <c:ptCount val="1"/>
                <c:pt idx="0">
                  <c:v>Road (HCV2-9)</c:v>
                </c:pt>
              </c:strCache>
            </c:strRef>
          </c:tx>
          <c:spPr>
            <a:solidFill>
              <a:schemeClr val="dk1">
                <a:tint val="885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(FTRA!$AJ$77:$AO$77,FTRA!$AP$77:$AT$77)</c15:sqref>
                  </c15:fullRef>
                </c:ext>
              </c:extLst>
              <c:f>(FTRA!$AK$77:$AO$77,FTRA!$AQ$77:$AT$77)</c:f>
              <c:numCache>
                <c:formatCode>0.00</c:formatCode>
                <c:ptCount val="9"/>
                <c:pt idx="0">
                  <c:v>168.00049028818296</c:v>
                </c:pt>
                <c:pt idx="1">
                  <c:v>203.31236988584951</c:v>
                </c:pt>
                <c:pt idx="2">
                  <c:v>247.0591822705934</c:v>
                </c:pt>
                <c:pt idx="3">
                  <c:v>304.99210752157563</c:v>
                </c:pt>
                <c:pt idx="5">
                  <c:v>190.61046946456293</c:v>
                </c:pt>
                <c:pt idx="6">
                  <c:v>230.67472127859938</c:v>
                </c:pt>
                <c:pt idx="7">
                  <c:v>280.30910289219111</c:v>
                </c:pt>
                <c:pt idx="8">
                  <c:v>346.03880439843664</c:v>
                </c:pt>
              </c:numCache>
            </c:numRef>
          </c:val>
          <c:extLst>
            <c:ext xmlns:c16="http://schemas.microsoft.com/office/drawing/2014/chart" uri="{C3380CC4-5D6E-409C-BE32-E72D297353CC}">
              <c16:uniqueId val="{00000000-CB39-4B29-8840-1732B392D50F}"/>
            </c:ext>
          </c:extLst>
        </c:ser>
        <c:ser>
          <c:idx val="1"/>
          <c:order val="1"/>
          <c:tx>
            <c:strRef>
              <c:f>FTRA!$AI$81</c:f>
              <c:strCache>
                <c:ptCount val="1"/>
                <c:pt idx="0">
                  <c:v>Rail</c:v>
                </c:pt>
              </c:strCache>
            </c:strRef>
          </c:tx>
          <c:spPr>
            <a:solidFill>
              <a:schemeClr val="dk1">
                <a:tint val="55000"/>
              </a:schemeClr>
            </a:solidFill>
            <a:ln>
              <a:noFill/>
            </a:ln>
            <a:effectLst/>
          </c:spPr>
          <c:invertIfNegative val="0"/>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(FTRA!$AJ$78:$AO$78,FTRA!$AP$78:$AT$78)</c15:sqref>
                  </c15:fullRef>
                </c:ext>
              </c:extLst>
              <c:f>(FTRA!$AK$78:$AO$78,FTRA!$AQ$78:$AT$78)</c:f>
              <c:numCache>
                <c:formatCode>0.00</c:formatCode>
                <c:ptCount val="9"/>
                <c:pt idx="0">
                  <c:v>22.525850653068453</c:v>
                </c:pt>
                <c:pt idx="1">
                  <c:v>27.260539966961023</c:v>
                </c:pt>
                <c:pt idx="2">
                  <c:v>33.126202386375169</c:v>
                </c:pt>
                <c:pt idx="3">
                  <c:v>40.89396794384745</c:v>
                </c:pt>
                <c:pt idx="5">
                  <c:v>22.525850653068453</c:v>
                </c:pt>
                <c:pt idx="6">
                  <c:v>27.260539966961023</c:v>
                </c:pt>
                <c:pt idx="7">
                  <c:v>33.126202386375169</c:v>
                </c:pt>
                <c:pt idx="8">
                  <c:v>40.89396794384745</c:v>
                </c:pt>
              </c:numCache>
            </c:numRef>
          </c:val>
          <c:extLst>
            <c:ext xmlns:c16="http://schemas.microsoft.com/office/drawing/2014/chart" uri="{C3380CC4-5D6E-409C-BE32-E72D297353CC}">
              <c16:uniqueId val="{00000001-CB39-4B29-8840-1732B392D50F}"/>
            </c:ext>
          </c:extLst>
        </c:ser>
        <c:dLbls>
          <c:showLegendKey val="0"/>
          <c:showVal val="0"/>
          <c:showCatName val="0"/>
          <c:showSerName val="0"/>
          <c:showPercent val="0"/>
          <c:showBubbleSize val="0"/>
        </c:dLbls>
        <c:gapWidth val="0"/>
        <c:overlap val="100"/>
        <c:axId val="502535896"/>
        <c:axId val="502536288"/>
      </c:barChart>
      <c:lineChart>
        <c:grouping val="standard"/>
        <c:varyColors val="0"/>
        <c:ser>
          <c:idx val="2"/>
          <c:order val="2"/>
          <c:tx>
            <c:strRef>
              <c:f>FTRA!$AI$80</c:f>
              <c:strCache>
                <c:ptCount val="1"/>
                <c:pt idx="0">
                  <c:v>btkm</c:v>
                </c:pt>
              </c:strCache>
            </c:strRef>
          </c:tx>
          <c:spPr>
            <a:ln w="28575" cap="rnd">
              <a:solidFill>
                <a:schemeClr val="tx1"/>
              </a:solidFill>
              <a:round/>
            </a:ln>
            <a:effectLst/>
          </c:spPr>
          <c:marker>
            <c:symbol val="none"/>
          </c:marker>
          <c:cat>
            <c:multiLvlStrRef>
              <c:extLst>
                <c:ext xmlns:c15="http://schemas.microsoft.com/office/drawing/2012/chart" uri="{02D57815-91ED-43cb-92C2-25804820EDAC}">
                  <c15:fullRef>
                    <c15:sqref>(FTRA!$AJ$75:$AO$76,FTRA!$AP$75:$AT$76)</c15:sqref>
                  </c15:fullRef>
                </c:ext>
              </c:extLst>
              <c:f>(FTRA!$AK$75:$AO$76,FTRA!$AP$75:$AT$76)</c:f>
              <c:multiLvlStrCache>
                <c:ptCount val="9"/>
                <c:lvl>
                  <c:pt idx="0">
                    <c:v>2020</c:v>
                  </c:pt>
                  <c:pt idx="1">
                    <c:v>2030</c:v>
                  </c:pt>
                  <c:pt idx="2">
                    <c:v>2040</c:v>
                  </c:pt>
                  <c:pt idx="3">
                    <c:v>2050</c:v>
                  </c:pt>
                  <c:pt idx="5">
                    <c:v>2020</c:v>
                  </c:pt>
                  <c:pt idx="6">
                    <c:v>2030</c:v>
                  </c:pt>
                  <c:pt idx="7">
                    <c:v>2040</c:v>
                  </c:pt>
                  <c:pt idx="8">
                    <c:v>2050</c:v>
                  </c:pt>
                </c:lvl>
                <c:lvl/>
              </c:multiLvlStrCache>
            </c:multiLvlStrRef>
          </c:cat>
          <c:val>
            <c:numRef>
              <c:extLst>
                <c:ext xmlns:c15="http://schemas.microsoft.com/office/drawing/2012/chart" uri="{02D57815-91ED-43cb-92C2-25804820EDAC}">
                  <c15:fullRef>
                    <c15:sqref>(FTRA!$AJ$80:$AO$80,FTRA!$AP$80:$AT$80)</c15:sqref>
                  </c15:fullRef>
                </c:ext>
              </c:extLst>
              <c:f>(FTRA!$AK$80:$AO$80,FTRA!$AQ$80:$AT$80)</c:f>
              <c:numCache>
                <c:formatCode>0.00</c:formatCode>
                <c:ptCount val="9"/>
                <c:pt idx="0">
                  <c:v>190.52634094125142</c:v>
                </c:pt>
                <c:pt idx="1">
                  <c:v>230.57290985281054</c:v>
                </c:pt>
                <c:pt idx="2">
                  <c:v>280.18538465696855</c:v>
                </c:pt>
                <c:pt idx="3">
                  <c:v>345.88607546542306</c:v>
                </c:pt>
                <c:pt idx="5">
                  <c:v>213.13632011763139</c:v>
                </c:pt>
                <c:pt idx="6">
                  <c:v>257.93526124556041</c:v>
                </c:pt>
                <c:pt idx="7">
                  <c:v>313.43530527856626</c:v>
                </c:pt>
                <c:pt idx="8">
                  <c:v>386.93277234228407</c:v>
                </c:pt>
              </c:numCache>
            </c:numRef>
          </c:val>
          <c:smooth val="0"/>
          <c:extLst>
            <c:ext xmlns:c16="http://schemas.microsoft.com/office/drawing/2014/chart" uri="{C3380CC4-5D6E-409C-BE32-E72D297353CC}">
              <c16:uniqueId val="{00000002-CB39-4B29-8840-1732B392D50F}"/>
            </c:ext>
          </c:extLst>
        </c:ser>
        <c:dLbls>
          <c:showLegendKey val="0"/>
          <c:showVal val="0"/>
          <c:showCatName val="0"/>
          <c:showSerName val="0"/>
          <c:showPercent val="0"/>
          <c:showBubbleSize val="0"/>
        </c:dLbls>
        <c:marker val="1"/>
        <c:smooth val="0"/>
        <c:axId val="502537072"/>
        <c:axId val="502536680"/>
      </c:lineChart>
      <c:catAx>
        <c:axId val="502537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6680"/>
        <c:crosses val="autoZero"/>
        <c:auto val="1"/>
        <c:lblAlgn val="ctr"/>
        <c:lblOffset val="100"/>
        <c:noMultiLvlLbl val="0"/>
      </c:catAx>
      <c:valAx>
        <c:axId val="5025366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b.tkm</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7072"/>
        <c:crosses val="autoZero"/>
        <c:crossBetween val="between"/>
      </c:valAx>
      <c:valAx>
        <c:axId val="502536288"/>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896"/>
        <c:crosses val="max"/>
        <c:crossBetween val="between"/>
      </c:valAx>
      <c:catAx>
        <c:axId val="502535896"/>
        <c:scaling>
          <c:orientation val="minMax"/>
        </c:scaling>
        <c:delete val="1"/>
        <c:axPos val="b"/>
        <c:numFmt formatCode="General" sourceLinked="1"/>
        <c:majorTickMark val="out"/>
        <c:minorTickMark val="none"/>
        <c:tickLblPos val="nextTo"/>
        <c:crossAx val="502536288"/>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FTRA!$D$137</c:f>
              <c:strCache>
                <c:ptCount val="1"/>
                <c:pt idx="0">
                  <c:v>TFLCV</c:v>
                </c:pt>
              </c:strCache>
            </c:strRef>
          </c:tx>
          <c:spPr>
            <a:ln w="28575" cap="rnd">
              <a:solidFill>
                <a:schemeClr val="accent1"/>
              </a:solidFill>
              <a:round/>
            </a:ln>
            <a:effectLst/>
          </c:spPr>
          <c:marker>
            <c:symbol val="none"/>
          </c:marker>
          <c:val>
            <c:numRef>
              <c:f>FTRA!$J$137:$AP$137</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72.712761650004396</c:v>
                </c:pt>
                <c:pt idx="30">
                  <c:v>80.343326170645369</c:v>
                </c:pt>
                <c:pt idx="31">
                  <c:v>80.343326170645369</c:v>
                </c:pt>
                <c:pt idx="32">
                  <c:v>80.343326170645369</c:v>
                </c:pt>
              </c:numCache>
            </c:numRef>
          </c:val>
          <c:smooth val="0"/>
          <c:extLst>
            <c:ext xmlns:c16="http://schemas.microsoft.com/office/drawing/2014/chart" uri="{C3380CC4-5D6E-409C-BE32-E72D297353CC}">
              <c16:uniqueId val="{00000000-0508-41EF-997E-2D4DC5CCF4A0}"/>
            </c:ext>
          </c:extLst>
        </c:ser>
        <c:ser>
          <c:idx val="1"/>
          <c:order val="1"/>
          <c:tx>
            <c:strRef>
              <c:f>FTRA!$D$138</c:f>
              <c:strCache>
                <c:ptCount val="1"/>
                <c:pt idx="0">
                  <c:v>TFHCV1</c:v>
                </c:pt>
              </c:strCache>
            </c:strRef>
          </c:tx>
          <c:spPr>
            <a:ln w="28575" cap="rnd">
              <a:solidFill>
                <a:schemeClr val="accent2"/>
              </a:solidFill>
              <a:round/>
            </a:ln>
            <a:effectLst/>
          </c:spPr>
          <c:marker>
            <c:symbol val="none"/>
          </c:marker>
          <c:val>
            <c:numRef>
              <c:f>FTRA!$J$138:$AP$138</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5.7239737117547893</c:v>
                </c:pt>
                <c:pt idx="30">
                  <c:v>6.3246543863829006</c:v>
                </c:pt>
                <c:pt idx="31">
                  <c:v>6.3246543863829006</c:v>
                </c:pt>
                <c:pt idx="32">
                  <c:v>6.3246543863829006</c:v>
                </c:pt>
              </c:numCache>
            </c:numRef>
          </c:val>
          <c:smooth val="0"/>
          <c:extLst>
            <c:ext xmlns:c16="http://schemas.microsoft.com/office/drawing/2014/chart" uri="{C3380CC4-5D6E-409C-BE32-E72D297353CC}">
              <c16:uniqueId val="{00000001-0508-41EF-997E-2D4DC5CCF4A0}"/>
            </c:ext>
          </c:extLst>
        </c:ser>
        <c:ser>
          <c:idx val="2"/>
          <c:order val="2"/>
          <c:tx>
            <c:strRef>
              <c:f>FTRA!$D$139</c:f>
              <c:strCache>
                <c:ptCount val="1"/>
                <c:pt idx="0">
                  <c:v>TFHCV2</c:v>
                </c:pt>
              </c:strCache>
            </c:strRef>
          </c:tx>
          <c:spPr>
            <a:ln w="28575" cap="rnd">
              <a:solidFill>
                <a:schemeClr val="accent3"/>
              </a:solidFill>
              <a:round/>
            </a:ln>
            <a:effectLst/>
          </c:spPr>
          <c:marker>
            <c:symbol val="none"/>
          </c:marker>
          <c:val>
            <c:numRef>
              <c:f>FTRA!$J$139:$AP$139</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1.5723099066301305</c:v>
                </c:pt>
                <c:pt idx="30">
                  <c:v>1.7373099962530976</c:v>
                </c:pt>
                <c:pt idx="31">
                  <c:v>1.7373099962530976</c:v>
                </c:pt>
                <c:pt idx="32">
                  <c:v>1.7373099962530976</c:v>
                </c:pt>
              </c:numCache>
            </c:numRef>
          </c:val>
          <c:smooth val="0"/>
          <c:extLst>
            <c:ext xmlns:c16="http://schemas.microsoft.com/office/drawing/2014/chart" uri="{C3380CC4-5D6E-409C-BE32-E72D297353CC}">
              <c16:uniqueId val="{00000002-0508-41EF-997E-2D4DC5CCF4A0}"/>
            </c:ext>
          </c:extLst>
        </c:ser>
        <c:ser>
          <c:idx val="3"/>
          <c:order val="3"/>
          <c:tx>
            <c:strRef>
              <c:f>FTRA!$D$140</c:f>
              <c:strCache>
                <c:ptCount val="1"/>
                <c:pt idx="0">
                  <c:v>TFHCV3</c:v>
                </c:pt>
              </c:strCache>
            </c:strRef>
          </c:tx>
          <c:spPr>
            <a:ln w="28575" cap="rnd">
              <a:solidFill>
                <a:schemeClr val="accent4"/>
              </a:solidFill>
              <a:round/>
            </a:ln>
            <a:effectLst/>
          </c:spPr>
          <c:marker>
            <c:symbol val="none"/>
          </c:marker>
          <c:val>
            <c:numRef>
              <c:f>FTRA!$J$140:$AP$140</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5.171992220782764</c:v>
                </c:pt>
                <c:pt idx="30">
                  <c:v>5.7147472949318887</c:v>
                </c:pt>
                <c:pt idx="31">
                  <c:v>5.7147472949318887</c:v>
                </c:pt>
                <c:pt idx="32">
                  <c:v>5.7147472949318887</c:v>
                </c:pt>
              </c:numCache>
            </c:numRef>
          </c:val>
          <c:smooth val="0"/>
          <c:extLst>
            <c:ext xmlns:c16="http://schemas.microsoft.com/office/drawing/2014/chart" uri="{C3380CC4-5D6E-409C-BE32-E72D297353CC}">
              <c16:uniqueId val="{00000003-0508-41EF-997E-2D4DC5CCF4A0}"/>
            </c:ext>
          </c:extLst>
        </c:ser>
        <c:ser>
          <c:idx val="4"/>
          <c:order val="4"/>
          <c:tx>
            <c:strRef>
              <c:f>FTRA!$D$141</c:f>
              <c:strCache>
                <c:ptCount val="1"/>
                <c:pt idx="0">
                  <c:v>TFHCV4</c:v>
                </c:pt>
              </c:strCache>
            </c:strRef>
          </c:tx>
          <c:spPr>
            <a:ln w="28575" cap="rnd">
              <a:solidFill>
                <a:schemeClr val="accent5"/>
              </a:solidFill>
              <a:round/>
            </a:ln>
            <a:effectLst/>
          </c:spPr>
          <c:marker>
            <c:symbol val="none"/>
          </c:marker>
          <c:val>
            <c:numRef>
              <c:f>FTRA!$J$141:$AP$141</c:f>
              <c:numCache>
                <c:formatCode>0.00</c:formatCode>
                <c:ptCount val="33"/>
                <c:pt idx="0">
                  <c:v>0.64156299948434192</c:v>
                </c:pt>
                <c:pt idx="1">
                  <c:v>0.62717766269161657</c:v>
                </c:pt>
                <c:pt idx="2">
                  <c:v>0.61279232589889121</c:v>
                </c:pt>
                <c:pt idx="3" formatCode="0.000">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0.93804906582943859</c:v>
                </c:pt>
                <c:pt idx="30">
                  <c:v>1.0364890612018061</c:v>
                </c:pt>
                <c:pt idx="31">
                  <c:v>1.0364890612018061</c:v>
                </c:pt>
                <c:pt idx="32">
                  <c:v>1.0364890612018061</c:v>
                </c:pt>
              </c:numCache>
            </c:numRef>
          </c:val>
          <c:smooth val="0"/>
          <c:extLst>
            <c:ext xmlns:c16="http://schemas.microsoft.com/office/drawing/2014/chart" uri="{C3380CC4-5D6E-409C-BE32-E72D297353CC}">
              <c16:uniqueId val="{00000004-0508-41EF-997E-2D4DC5CCF4A0}"/>
            </c:ext>
          </c:extLst>
        </c:ser>
        <c:ser>
          <c:idx val="5"/>
          <c:order val="5"/>
          <c:tx>
            <c:strRef>
              <c:f>FTRA!$D$142</c:f>
              <c:strCache>
                <c:ptCount val="1"/>
                <c:pt idx="0">
                  <c:v>TFHCV5</c:v>
                </c:pt>
              </c:strCache>
            </c:strRef>
          </c:tx>
          <c:spPr>
            <a:ln w="28575" cap="rnd">
              <a:solidFill>
                <a:schemeClr val="accent6"/>
              </a:solidFill>
              <a:round/>
            </a:ln>
            <a:effectLst/>
          </c:spPr>
          <c:marker>
            <c:symbol val="none"/>
          </c:marker>
          <c:val>
            <c:numRef>
              <c:f>FTRA!$J$142:$AP$142</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0.46711930211350794</c:v>
                </c:pt>
                <c:pt idx="30">
                  <c:v>0.51613936259162185</c:v>
                </c:pt>
                <c:pt idx="31">
                  <c:v>0.51613936259162185</c:v>
                </c:pt>
                <c:pt idx="32">
                  <c:v>0.51613936259162185</c:v>
                </c:pt>
              </c:numCache>
            </c:numRef>
          </c:val>
          <c:smooth val="0"/>
          <c:extLst>
            <c:ext xmlns:c16="http://schemas.microsoft.com/office/drawing/2014/chart" uri="{C3380CC4-5D6E-409C-BE32-E72D297353CC}">
              <c16:uniqueId val="{00000005-0508-41EF-997E-2D4DC5CCF4A0}"/>
            </c:ext>
          </c:extLst>
        </c:ser>
        <c:ser>
          <c:idx val="6"/>
          <c:order val="6"/>
          <c:tx>
            <c:strRef>
              <c:f>FTRA!$D$143</c:f>
              <c:strCache>
                <c:ptCount val="1"/>
                <c:pt idx="0">
                  <c:v>TFHCV6</c:v>
                </c:pt>
              </c:strCache>
            </c:strRef>
          </c:tx>
          <c:spPr>
            <a:ln w="28575" cap="rnd">
              <a:solidFill>
                <a:schemeClr val="accent1">
                  <a:lumMod val="60000"/>
                </a:schemeClr>
              </a:solidFill>
              <a:round/>
            </a:ln>
            <a:effectLst/>
          </c:spPr>
          <c:marker>
            <c:symbol val="none"/>
          </c:marker>
          <c:val>
            <c:numRef>
              <c:f>FTRA!$J$143:$AP$143</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10.443492677672362</c:v>
                </c:pt>
                <c:pt idx="30">
                  <c:v>11.539445339756615</c:v>
                </c:pt>
                <c:pt idx="31">
                  <c:v>11.539445339756615</c:v>
                </c:pt>
                <c:pt idx="32">
                  <c:v>11.539445339756615</c:v>
                </c:pt>
              </c:numCache>
            </c:numRef>
          </c:val>
          <c:smooth val="0"/>
          <c:extLst>
            <c:ext xmlns:c16="http://schemas.microsoft.com/office/drawing/2014/chart" uri="{C3380CC4-5D6E-409C-BE32-E72D297353CC}">
              <c16:uniqueId val="{00000006-0508-41EF-997E-2D4DC5CCF4A0}"/>
            </c:ext>
          </c:extLst>
        </c:ser>
        <c:ser>
          <c:idx val="7"/>
          <c:order val="7"/>
          <c:tx>
            <c:strRef>
              <c:f>FTRA!$D$144</c:f>
              <c:strCache>
                <c:ptCount val="1"/>
                <c:pt idx="0">
                  <c:v>TFHCV7</c:v>
                </c:pt>
              </c:strCache>
            </c:strRef>
          </c:tx>
          <c:spPr>
            <a:ln w="28575" cap="rnd">
              <a:solidFill>
                <a:schemeClr val="accent2">
                  <a:lumMod val="60000"/>
                </a:schemeClr>
              </a:solidFill>
              <a:round/>
            </a:ln>
            <a:effectLst/>
          </c:spPr>
          <c:marker>
            <c:symbol val="none"/>
          </c:marker>
          <c:val>
            <c:numRef>
              <c:f>FTRA!$J$144:$AP$144</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3.4896720556415195</c:v>
                </c:pt>
                <c:pt idx="30">
                  <c:v>3.8558824315398028</c:v>
                </c:pt>
                <c:pt idx="31">
                  <c:v>3.8558824315398028</c:v>
                </c:pt>
                <c:pt idx="32">
                  <c:v>3.8558824315398028</c:v>
                </c:pt>
              </c:numCache>
            </c:numRef>
          </c:val>
          <c:smooth val="0"/>
          <c:extLst>
            <c:ext xmlns:c16="http://schemas.microsoft.com/office/drawing/2014/chart" uri="{C3380CC4-5D6E-409C-BE32-E72D297353CC}">
              <c16:uniqueId val="{00000007-0508-41EF-997E-2D4DC5CCF4A0}"/>
            </c:ext>
          </c:extLst>
        </c:ser>
        <c:ser>
          <c:idx val="8"/>
          <c:order val="8"/>
          <c:tx>
            <c:strRef>
              <c:f>FTRA!$D$145</c:f>
              <c:strCache>
                <c:ptCount val="1"/>
                <c:pt idx="0">
                  <c:v>TFHCV8</c:v>
                </c:pt>
              </c:strCache>
            </c:strRef>
          </c:tx>
          <c:spPr>
            <a:ln w="28575" cap="rnd">
              <a:solidFill>
                <a:schemeClr val="accent3">
                  <a:lumMod val="60000"/>
                </a:schemeClr>
              </a:solidFill>
              <a:round/>
            </a:ln>
            <a:effectLst/>
          </c:spPr>
          <c:marker>
            <c:symbol val="none"/>
          </c:marker>
          <c:val>
            <c:numRef>
              <c:f>FTRA!$J$145:$AP$145</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0.19157935880379567</c:v>
                </c:pt>
                <c:pt idx="30">
                  <c:v>0.21168392676412007</c:v>
                </c:pt>
                <c:pt idx="31">
                  <c:v>0.21168392676412007</c:v>
                </c:pt>
                <c:pt idx="32">
                  <c:v>0.21168392676412007</c:v>
                </c:pt>
              </c:numCache>
            </c:numRef>
          </c:val>
          <c:smooth val="0"/>
          <c:extLst>
            <c:ext xmlns:c16="http://schemas.microsoft.com/office/drawing/2014/chart" uri="{C3380CC4-5D6E-409C-BE32-E72D297353CC}">
              <c16:uniqueId val="{00000008-0508-41EF-997E-2D4DC5CCF4A0}"/>
            </c:ext>
          </c:extLst>
        </c:ser>
        <c:ser>
          <c:idx val="9"/>
          <c:order val="9"/>
          <c:tx>
            <c:strRef>
              <c:f>FTRA!$D$146</c:f>
              <c:strCache>
                <c:ptCount val="1"/>
                <c:pt idx="0">
                  <c:v>TFHCV9</c:v>
                </c:pt>
              </c:strCache>
            </c:strRef>
          </c:tx>
          <c:spPr>
            <a:ln w="28575" cap="rnd">
              <a:solidFill>
                <a:schemeClr val="accent4">
                  <a:lumMod val="60000"/>
                </a:schemeClr>
              </a:solidFill>
              <a:round/>
            </a:ln>
            <a:effectLst/>
          </c:spPr>
          <c:marker>
            <c:symbol val="none"/>
          </c:marker>
          <c:val>
            <c:numRef>
              <c:f>FTRA!$J$146:$AP$146</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4.6105683176895174E-2</c:v>
                </c:pt>
                <c:pt idx="30">
                  <c:v>5.0944068932932636E-2</c:v>
                </c:pt>
                <c:pt idx="31">
                  <c:v>5.0944068932932636E-2</c:v>
                </c:pt>
                <c:pt idx="32">
                  <c:v>5.0944068932932636E-2</c:v>
                </c:pt>
              </c:numCache>
            </c:numRef>
          </c:val>
          <c:smooth val="0"/>
          <c:extLst>
            <c:ext xmlns:c16="http://schemas.microsoft.com/office/drawing/2014/chart" uri="{C3380CC4-5D6E-409C-BE32-E72D297353CC}">
              <c16:uniqueId val="{00000009-0508-41EF-997E-2D4DC5CCF4A0}"/>
            </c:ext>
          </c:extLst>
        </c:ser>
        <c:ser>
          <c:idx val="10"/>
          <c:order val="10"/>
          <c:tx>
            <c:strRef>
              <c:f>FTRA!$D$147</c:f>
              <c:strCache>
                <c:ptCount val="1"/>
                <c:pt idx="0">
                  <c:v>TFRCO</c:v>
                </c:pt>
              </c:strCache>
            </c:strRef>
          </c:tx>
          <c:spPr>
            <a:ln w="12700" cap="rnd">
              <a:solidFill>
                <a:schemeClr val="accent5">
                  <a:lumMod val="60000"/>
                </a:schemeClr>
              </a:solidFill>
              <a:round/>
            </a:ln>
            <a:effectLst/>
          </c:spPr>
          <c:marker>
            <c:symbol val="none"/>
          </c:marker>
          <c:val>
            <c:numRef>
              <c:f>FTRA!$J$147:$AP$147</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37.010085165111299</c:v>
                </c:pt>
                <c:pt idx="30">
                  <c:v>40.89396794384745</c:v>
                </c:pt>
                <c:pt idx="31">
                  <c:v>40.89396794384745</c:v>
                </c:pt>
                <c:pt idx="32">
                  <c:v>40.89396794384745</c:v>
                </c:pt>
              </c:numCache>
            </c:numRef>
          </c:val>
          <c:smooth val="0"/>
          <c:extLst>
            <c:ext xmlns:c16="http://schemas.microsoft.com/office/drawing/2014/chart" uri="{C3380CC4-5D6E-409C-BE32-E72D297353CC}">
              <c16:uniqueId val="{0000000A-0508-41EF-997E-2D4DC5CCF4A0}"/>
            </c:ext>
          </c:extLst>
        </c:ser>
        <c:ser>
          <c:idx val="11"/>
          <c:order val="11"/>
          <c:tx>
            <c:strRef>
              <c:f>FTRA!$D$148</c:f>
              <c:strCache>
                <c:ptCount val="1"/>
                <c:pt idx="0">
                  <c:v>TFROT</c:v>
                </c:pt>
              </c:strCache>
            </c:strRef>
          </c:tx>
          <c:spPr>
            <a:ln w="28575" cap="rnd">
              <a:solidFill>
                <a:schemeClr val="accent6">
                  <a:lumMod val="60000"/>
                </a:schemeClr>
              </a:solidFill>
              <a:round/>
            </a:ln>
            <a:effectLst/>
          </c:spPr>
          <c:marker>
            <c:symbol val="none"/>
          </c:marker>
          <c:val>
            <c:numRef>
              <c:f>FTRA!$J$148:$AP$148</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42.225142620195172</c:v>
                </c:pt>
                <c:pt idx="30">
                  <c:v>46.656299790480489</c:v>
                </c:pt>
                <c:pt idx="31">
                  <c:v>46.656299790480489</c:v>
                </c:pt>
                <c:pt idx="32">
                  <c:v>46.656299790480489</c:v>
                </c:pt>
              </c:numCache>
            </c:numRef>
          </c:val>
          <c:smooth val="0"/>
          <c:extLst>
            <c:ext xmlns:c16="http://schemas.microsoft.com/office/drawing/2014/chart" uri="{C3380CC4-5D6E-409C-BE32-E72D297353CC}">
              <c16:uniqueId val="{0000000B-0508-41EF-997E-2D4DC5CCF4A0}"/>
            </c:ext>
          </c:extLst>
        </c:ser>
        <c:ser>
          <c:idx val="12"/>
          <c:order val="12"/>
          <c:tx>
            <c:strRef>
              <c:f>FTRA!$D$149</c:f>
              <c:strCache>
                <c:ptCount val="1"/>
                <c:pt idx="0">
                  <c:v>TFREX</c:v>
                </c:pt>
              </c:strCache>
            </c:strRef>
          </c:tx>
          <c:spPr>
            <a:ln w="28575" cap="rnd">
              <a:solidFill>
                <a:schemeClr val="accent1">
                  <a:lumMod val="80000"/>
                  <a:lumOff val="20000"/>
                </a:schemeClr>
              </a:solidFill>
              <a:round/>
            </a:ln>
            <a:effectLst/>
          </c:spPr>
          <c:marker>
            <c:symbol val="none"/>
          </c:marker>
          <c:val>
            <c:numRef>
              <c:f>FTRA!$J$149:$AP$149</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120.07603703362946</c:v>
                </c:pt>
                <c:pt idx="30">
                  <c:v>131.69334513658779</c:v>
                </c:pt>
                <c:pt idx="31">
                  <c:v>131.69334513658779</c:v>
                </c:pt>
                <c:pt idx="32">
                  <c:v>131.69334513658779</c:v>
                </c:pt>
              </c:numCache>
            </c:numRef>
          </c:val>
          <c:smooth val="0"/>
          <c:extLst>
            <c:ext xmlns:c16="http://schemas.microsoft.com/office/drawing/2014/chart" uri="{C3380CC4-5D6E-409C-BE32-E72D297353CC}">
              <c16:uniqueId val="{0000000C-0508-41EF-997E-2D4DC5CCF4A0}"/>
            </c:ext>
          </c:extLst>
        </c:ser>
        <c:dLbls>
          <c:showLegendKey val="0"/>
          <c:showVal val="0"/>
          <c:showCatName val="0"/>
          <c:showSerName val="0"/>
          <c:showPercent val="0"/>
          <c:showBubbleSize val="0"/>
        </c:dLbls>
        <c:smooth val="0"/>
        <c:axId val="502535504"/>
        <c:axId val="502535112"/>
      </c:lineChart>
      <c:catAx>
        <c:axId val="502535504"/>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112"/>
        <c:crosses val="autoZero"/>
        <c:auto val="1"/>
        <c:lblAlgn val="ctr"/>
        <c:lblOffset val="100"/>
        <c:noMultiLvlLbl val="0"/>
      </c:catAx>
      <c:valAx>
        <c:axId val="50253511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2535504"/>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FTRA!$D$111</c:f>
              <c:strCache>
                <c:ptCount val="1"/>
                <c:pt idx="0">
                  <c:v>TFLCV</c:v>
                </c:pt>
              </c:strCache>
            </c:strRef>
          </c:tx>
          <c:spPr>
            <a:ln w="28575" cap="rnd">
              <a:solidFill>
                <a:schemeClr val="accent1"/>
              </a:solidFill>
              <a:round/>
            </a:ln>
            <a:effectLst/>
          </c:spPr>
          <c:marker>
            <c:symbol val="none"/>
          </c:marker>
          <c:val>
            <c:numRef>
              <c:f>FTRA!$M$111:$AS$111</c:f>
              <c:numCache>
                <c:formatCode>0.00</c:formatCode>
                <c:ptCount val="33"/>
                <c:pt idx="0">
                  <c:v>43.510890756102256</c:v>
                </c:pt>
                <c:pt idx="1">
                  <c:v>44.189879061043555</c:v>
                </c:pt>
                <c:pt idx="2">
                  <c:v>44.868867365984855</c:v>
                </c:pt>
                <c:pt idx="3">
                  <c:v>45.547855670926104</c:v>
                </c:pt>
                <c:pt idx="4">
                  <c:v>46.566338128338053</c:v>
                </c:pt>
                <c:pt idx="5">
                  <c:v>47.584820585750002</c:v>
                </c:pt>
                <c:pt idx="6">
                  <c:v>47.880977189748478</c:v>
                </c:pt>
                <c:pt idx="7">
                  <c:v>48.177133793746961</c:v>
                </c:pt>
                <c:pt idx="8">
                  <c:v>44.255958941812857</c:v>
                </c:pt>
                <c:pt idx="9">
                  <c:v>46.157995886407633</c:v>
                </c:pt>
                <c:pt idx="10">
                  <c:v>46.980227583643114</c:v>
                </c:pt>
                <c:pt idx="11">
                  <c:v>47.802459280878594</c:v>
                </c:pt>
                <c:pt idx="12">
                  <c:v>48.624690978114074</c:v>
                </c:pt>
                <c:pt idx="13">
                  <c:v>49.446922675349555</c:v>
                </c:pt>
                <c:pt idx="14">
                  <c:v>50.269154372585035</c:v>
                </c:pt>
                <c:pt idx="15">
                  <c:v>51.091386069820516</c:v>
                </c:pt>
                <c:pt idx="16">
                  <c:v>51.913617767055996</c:v>
                </c:pt>
                <c:pt idx="17">
                  <c:v>52.735849464291476</c:v>
                </c:pt>
                <c:pt idx="18">
                  <c:v>53.558081161526964</c:v>
                </c:pt>
                <c:pt idx="19">
                  <c:v>54.710492758310615</c:v>
                </c:pt>
                <c:pt idx="20">
                  <c:v>55.862904355094265</c:v>
                </c:pt>
                <c:pt idx="21">
                  <c:v>57.015315951877916</c:v>
                </c:pt>
                <c:pt idx="22">
                  <c:v>58.167727548661567</c:v>
                </c:pt>
                <c:pt idx="23">
                  <c:v>59.320139145445218</c:v>
                </c:pt>
                <c:pt idx="24">
                  <c:v>60.472550742228869</c:v>
                </c:pt>
                <c:pt idx="25">
                  <c:v>61.624962339012519</c:v>
                </c:pt>
                <c:pt idx="26">
                  <c:v>62.77737393579617</c:v>
                </c:pt>
                <c:pt idx="27">
                  <c:v>63.929785532579821</c:v>
                </c:pt>
                <c:pt idx="28">
                  <c:v>65.082197129363479</c:v>
                </c:pt>
                <c:pt idx="29">
                  <c:v>66.608310033491662</c:v>
                </c:pt>
                <c:pt idx="30">
                  <c:v>68.134422937619846</c:v>
                </c:pt>
                <c:pt idx="31">
                  <c:v>69.660535841748029</c:v>
                </c:pt>
                <c:pt idx="32">
                  <c:v>71.186648745876212</c:v>
                </c:pt>
              </c:numCache>
            </c:numRef>
          </c:val>
          <c:smooth val="0"/>
          <c:extLst>
            <c:ext xmlns:c16="http://schemas.microsoft.com/office/drawing/2014/chart" uri="{C3380CC4-5D6E-409C-BE32-E72D297353CC}">
              <c16:uniqueId val="{00000000-12A4-443E-9591-D19EF21A117D}"/>
            </c:ext>
          </c:extLst>
        </c:ser>
        <c:ser>
          <c:idx val="1"/>
          <c:order val="1"/>
          <c:tx>
            <c:strRef>
              <c:f>FTRA!$D$112</c:f>
              <c:strCache>
                <c:ptCount val="1"/>
                <c:pt idx="0">
                  <c:v>TFHCV1</c:v>
                </c:pt>
              </c:strCache>
            </c:strRef>
          </c:tx>
          <c:spPr>
            <a:ln w="28575" cap="rnd">
              <a:solidFill>
                <a:schemeClr val="accent2"/>
              </a:solidFill>
              <a:round/>
            </a:ln>
            <a:effectLst/>
          </c:spPr>
          <c:marker>
            <c:symbol val="none"/>
          </c:marker>
          <c:val>
            <c:numRef>
              <c:f>FTRA!$M$112:$AS$112</c:f>
              <c:numCache>
                <c:formatCode>0.00</c:formatCode>
                <c:ptCount val="33"/>
                <c:pt idx="0">
                  <c:v>3.6611476956493059</c:v>
                </c:pt>
                <c:pt idx="1">
                  <c:v>3.6595361414986383</c:v>
                </c:pt>
                <c:pt idx="2">
                  <c:v>3.6579245873479707</c:v>
                </c:pt>
                <c:pt idx="3">
                  <c:v>3.6563130331972848</c:v>
                </c:pt>
                <c:pt idx="4">
                  <c:v>3.6538957019712837</c:v>
                </c:pt>
                <c:pt idx="5">
                  <c:v>3.6514783707452825</c:v>
                </c:pt>
                <c:pt idx="6">
                  <c:v>3.6742043035226284</c:v>
                </c:pt>
                <c:pt idx="7">
                  <c:v>3.6969302362999743</c:v>
                </c:pt>
                <c:pt idx="8">
                  <c:v>3.4838443737120905</c:v>
                </c:pt>
                <c:pt idx="9">
                  <c:v>3.5419892634131425</c:v>
                </c:pt>
                <c:pt idx="10">
                  <c:v>3.6168916394516688</c:v>
                </c:pt>
                <c:pt idx="11">
                  <c:v>3.6917940154901951</c:v>
                </c:pt>
                <c:pt idx="12">
                  <c:v>3.7666963915287215</c:v>
                </c:pt>
                <c:pt idx="13">
                  <c:v>3.8415987675672478</c:v>
                </c:pt>
                <c:pt idx="14">
                  <c:v>3.9165011436057742</c:v>
                </c:pt>
                <c:pt idx="15">
                  <c:v>3.9914035196443005</c:v>
                </c:pt>
                <c:pt idx="16">
                  <c:v>4.0663058956828264</c:v>
                </c:pt>
                <c:pt idx="17">
                  <c:v>4.1412082717213528</c:v>
                </c:pt>
                <c:pt idx="18">
                  <c:v>4.2161106477598791</c:v>
                </c:pt>
                <c:pt idx="19">
                  <c:v>4.3068288866965592</c:v>
                </c:pt>
                <c:pt idx="20">
                  <c:v>4.3975471256332392</c:v>
                </c:pt>
                <c:pt idx="21">
                  <c:v>4.4882653645699193</c:v>
                </c:pt>
                <c:pt idx="22">
                  <c:v>4.5789836035065994</c:v>
                </c:pt>
                <c:pt idx="23">
                  <c:v>4.6697018424432795</c:v>
                </c:pt>
                <c:pt idx="24">
                  <c:v>4.7604200813799595</c:v>
                </c:pt>
                <c:pt idx="25">
                  <c:v>4.8511383203166396</c:v>
                </c:pt>
                <c:pt idx="26">
                  <c:v>4.9418565592533197</c:v>
                </c:pt>
                <c:pt idx="27">
                  <c:v>5.0325747981899998</c:v>
                </c:pt>
                <c:pt idx="28">
                  <c:v>5.1232930371266825</c:v>
                </c:pt>
                <c:pt idx="29">
                  <c:v>5.2434291720523039</c:v>
                </c:pt>
                <c:pt idx="30">
                  <c:v>5.3635653069779252</c:v>
                </c:pt>
                <c:pt idx="31">
                  <c:v>5.4837014419035466</c:v>
                </c:pt>
                <c:pt idx="32">
                  <c:v>5.6038375768291679</c:v>
                </c:pt>
              </c:numCache>
            </c:numRef>
          </c:val>
          <c:smooth val="0"/>
          <c:extLst>
            <c:ext xmlns:c16="http://schemas.microsoft.com/office/drawing/2014/chart" uri="{C3380CC4-5D6E-409C-BE32-E72D297353CC}">
              <c16:uniqueId val="{00000001-12A4-443E-9591-D19EF21A117D}"/>
            </c:ext>
          </c:extLst>
        </c:ser>
        <c:ser>
          <c:idx val="2"/>
          <c:order val="2"/>
          <c:tx>
            <c:strRef>
              <c:f>FTRA!$D$113</c:f>
              <c:strCache>
                <c:ptCount val="1"/>
                <c:pt idx="0">
                  <c:v>TFHCV2</c:v>
                </c:pt>
              </c:strCache>
            </c:strRef>
          </c:tx>
          <c:spPr>
            <a:ln w="28575" cap="rnd">
              <a:solidFill>
                <a:schemeClr val="accent3"/>
              </a:solidFill>
              <a:round/>
            </a:ln>
            <a:effectLst/>
          </c:spPr>
          <c:marker>
            <c:symbol val="none"/>
          </c:marker>
          <c:val>
            <c:numRef>
              <c:f>FTRA!$M$113:$AS$113</c:f>
              <c:numCache>
                <c:formatCode>0.00</c:formatCode>
                <c:ptCount val="33"/>
                <c:pt idx="0">
                  <c:v>0.91016288033514725</c:v>
                </c:pt>
                <c:pt idx="1">
                  <c:v>0.92563893602886782</c:v>
                </c:pt>
                <c:pt idx="2">
                  <c:v>0.94111499172258839</c:v>
                </c:pt>
                <c:pt idx="3">
                  <c:v>0.95659104741630863</c:v>
                </c:pt>
                <c:pt idx="4">
                  <c:v>0.97980513095688937</c:v>
                </c:pt>
                <c:pt idx="5">
                  <c:v>1.0030192144974701</c:v>
                </c:pt>
                <c:pt idx="6">
                  <c:v>1.009261767493451</c:v>
                </c:pt>
                <c:pt idx="7">
                  <c:v>1.0155043204894318</c:v>
                </c:pt>
                <c:pt idx="8">
                  <c:v>0.95697207880185675</c:v>
                </c:pt>
                <c:pt idx="9">
                  <c:v>0.97294381289789855</c:v>
                </c:pt>
                <c:pt idx="10">
                  <c:v>0.99351863622974879</c:v>
                </c:pt>
                <c:pt idx="11">
                  <c:v>1.0140934595615991</c:v>
                </c:pt>
                <c:pt idx="12">
                  <c:v>1.0346682828934495</c:v>
                </c:pt>
                <c:pt idx="13">
                  <c:v>1.0552431062252998</c:v>
                </c:pt>
                <c:pt idx="14">
                  <c:v>1.0758179295571502</c:v>
                </c:pt>
                <c:pt idx="15">
                  <c:v>1.0963927528890005</c:v>
                </c:pt>
                <c:pt idx="16">
                  <c:v>1.1169675762208509</c:v>
                </c:pt>
                <c:pt idx="17">
                  <c:v>1.1375423995527012</c:v>
                </c:pt>
                <c:pt idx="18">
                  <c:v>1.1581172228845511</c:v>
                </c:pt>
                <c:pt idx="19">
                  <c:v>1.1830364822968125</c:v>
                </c:pt>
                <c:pt idx="20">
                  <c:v>1.2079557417090738</c:v>
                </c:pt>
                <c:pt idx="21">
                  <c:v>1.2328750011213352</c:v>
                </c:pt>
                <c:pt idx="22">
                  <c:v>1.2577942605335966</c:v>
                </c:pt>
                <c:pt idx="23">
                  <c:v>1.2827135199458579</c:v>
                </c:pt>
                <c:pt idx="24">
                  <c:v>1.3076327793581193</c:v>
                </c:pt>
                <c:pt idx="25">
                  <c:v>1.3325520387703806</c:v>
                </c:pt>
                <c:pt idx="26">
                  <c:v>1.357471298182642</c:v>
                </c:pt>
                <c:pt idx="27">
                  <c:v>1.3823905575949034</c:v>
                </c:pt>
                <c:pt idx="28">
                  <c:v>1.4073098170071641</c:v>
                </c:pt>
                <c:pt idx="29">
                  <c:v>1.4403098349317573</c:v>
                </c:pt>
                <c:pt idx="30">
                  <c:v>1.4733098528563506</c:v>
                </c:pt>
                <c:pt idx="31">
                  <c:v>1.5063098707809439</c:v>
                </c:pt>
                <c:pt idx="32">
                  <c:v>1.5393098887055372</c:v>
                </c:pt>
              </c:numCache>
            </c:numRef>
          </c:val>
          <c:smooth val="0"/>
          <c:extLst>
            <c:ext xmlns:c16="http://schemas.microsoft.com/office/drawing/2014/chart" uri="{C3380CC4-5D6E-409C-BE32-E72D297353CC}">
              <c16:uniqueId val="{00000002-12A4-443E-9591-D19EF21A117D}"/>
            </c:ext>
          </c:extLst>
        </c:ser>
        <c:ser>
          <c:idx val="3"/>
          <c:order val="3"/>
          <c:tx>
            <c:strRef>
              <c:f>FTRA!$D$114</c:f>
              <c:strCache>
                <c:ptCount val="1"/>
                <c:pt idx="0">
                  <c:v>TFHCV3</c:v>
                </c:pt>
              </c:strCache>
            </c:strRef>
          </c:tx>
          <c:spPr>
            <a:ln w="28575" cap="rnd">
              <a:solidFill>
                <a:schemeClr val="accent4"/>
              </a:solidFill>
              <a:round/>
            </a:ln>
            <a:effectLst/>
          </c:spPr>
          <c:marker>
            <c:symbol val="none"/>
          </c:marker>
          <c:val>
            <c:numRef>
              <c:f>FTRA!$M$114:$AS$114</c:f>
              <c:numCache>
                <c:formatCode>0.00</c:formatCode>
                <c:ptCount val="33"/>
                <c:pt idx="0">
                  <c:v>3.0423873008641582</c:v>
                </c:pt>
                <c:pt idx="1">
                  <c:v>3.0852151471238134</c:v>
                </c:pt>
                <c:pt idx="2">
                  <c:v>3.1280429933834686</c:v>
                </c:pt>
                <c:pt idx="3">
                  <c:v>3.1708708396431251</c:v>
                </c:pt>
                <c:pt idx="4">
                  <c:v>3.2351126090326074</c:v>
                </c:pt>
                <c:pt idx="5">
                  <c:v>3.2993543784220902</c:v>
                </c:pt>
                <c:pt idx="6">
                  <c:v>3.3198887752333626</c:v>
                </c:pt>
                <c:pt idx="7">
                  <c:v>3.3404231720446353</c:v>
                </c:pt>
                <c:pt idx="8">
                  <c:v>3.1478858755507528</c:v>
                </c:pt>
                <c:pt idx="9">
                  <c:v>3.2004236635204188</c:v>
                </c:pt>
                <c:pt idx="10">
                  <c:v>3.2681029586565664</c:v>
                </c:pt>
                <c:pt idx="11">
                  <c:v>3.335782253792714</c:v>
                </c:pt>
                <c:pt idx="12">
                  <c:v>3.4034615489288615</c:v>
                </c:pt>
                <c:pt idx="13">
                  <c:v>3.4711408440650091</c:v>
                </c:pt>
                <c:pt idx="14">
                  <c:v>3.5388201392011567</c:v>
                </c:pt>
                <c:pt idx="15">
                  <c:v>3.6064994343373042</c:v>
                </c:pt>
                <c:pt idx="16">
                  <c:v>3.6741787294734518</c:v>
                </c:pt>
                <c:pt idx="17">
                  <c:v>3.7418580246095994</c:v>
                </c:pt>
                <c:pt idx="18">
                  <c:v>3.8095373197457469</c:v>
                </c:pt>
                <c:pt idx="19">
                  <c:v>3.8915073024345359</c:v>
                </c:pt>
                <c:pt idx="20">
                  <c:v>3.9734772851233249</c:v>
                </c:pt>
                <c:pt idx="21">
                  <c:v>4.0554472678121138</c:v>
                </c:pt>
                <c:pt idx="22">
                  <c:v>4.1374172505009028</c:v>
                </c:pt>
                <c:pt idx="23">
                  <c:v>4.2193872331896918</c:v>
                </c:pt>
                <c:pt idx="24">
                  <c:v>4.3013572158784807</c:v>
                </c:pt>
                <c:pt idx="25">
                  <c:v>4.3833271985672697</c:v>
                </c:pt>
                <c:pt idx="26">
                  <c:v>4.4652971812560587</c:v>
                </c:pt>
                <c:pt idx="27">
                  <c:v>4.5472671639448476</c:v>
                </c:pt>
                <c:pt idx="28">
                  <c:v>4.6292371466336357</c:v>
                </c:pt>
                <c:pt idx="29">
                  <c:v>4.7377881614634614</c:v>
                </c:pt>
                <c:pt idx="30">
                  <c:v>4.846339176293287</c:v>
                </c:pt>
                <c:pt idx="31">
                  <c:v>4.9548901911231127</c:v>
                </c:pt>
                <c:pt idx="32">
                  <c:v>5.0634412059529383</c:v>
                </c:pt>
              </c:numCache>
            </c:numRef>
          </c:val>
          <c:smooth val="0"/>
          <c:extLst>
            <c:ext xmlns:c16="http://schemas.microsoft.com/office/drawing/2014/chart" uri="{C3380CC4-5D6E-409C-BE32-E72D297353CC}">
              <c16:uniqueId val="{00000003-12A4-443E-9591-D19EF21A117D}"/>
            </c:ext>
          </c:extLst>
        </c:ser>
        <c:ser>
          <c:idx val="4"/>
          <c:order val="4"/>
          <c:tx>
            <c:strRef>
              <c:f>FTRA!$D$115</c:f>
              <c:strCache>
                <c:ptCount val="1"/>
                <c:pt idx="0">
                  <c:v>TFHCV4</c:v>
                </c:pt>
              </c:strCache>
            </c:strRef>
          </c:tx>
          <c:spPr>
            <a:ln w="28575" cap="rnd">
              <a:solidFill>
                <a:schemeClr val="accent5"/>
              </a:solidFill>
              <a:round/>
            </a:ln>
            <a:effectLst/>
          </c:spPr>
          <c:marker>
            <c:symbol val="none"/>
          </c:marker>
          <c:val>
            <c:numRef>
              <c:f>FTRA!$M$115:$AS$115</c:f>
              <c:numCache>
                <c:formatCode>0.00</c:formatCode>
                <c:ptCount val="33"/>
                <c:pt idx="0">
                  <c:v>0.64156299948434192</c:v>
                </c:pt>
                <c:pt idx="1">
                  <c:v>0.62717766269161657</c:v>
                </c:pt>
                <c:pt idx="2">
                  <c:v>0.61279232589889121</c:v>
                </c:pt>
                <c:pt idx="3">
                  <c:v>0.59840698910616308</c:v>
                </c:pt>
                <c:pt idx="4">
                  <c:v>0.59840698910616308</c:v>
                </c:pt>
                <c:pt idx="5">
                  <c:v>0.59840698910616308</c:v>
                </c:pt>
                <c:pt idx="6">
                  <c:v>0.60213133185919032</c:v>
                </c:pt>
                <c:pt idx="7">
                  <c:v>0.60585567461221745</c:v>
                </c:pt>
                <c:pt idx="8">
                  <c:v>0.57093500509000428</c:v>
                </c:pt>
                <c:pt idx="9">
                  <c:v>0.58046383282637526</c:v>
                </c:pt>
                <c:pt idx="10">
                  <c:v>0.59273888987757273</c:v>
                </c:pt>
                <c:pt idx="11">
                  <c:v>0.6050139469287702</c:v>
                </c:pt>
                <c:pt idx="12">
                  <c:v>0.61728900397996767</c:v>
                </c:pt>
                <c:pt idx="13">
                  <c:v>0.62956406103116513</c:v>
                </c:pt>
                <c:pt idx="14">
                  <c:v>0.6418391180823626</c:v>
                </c:pt>
                <c:pt idx="15">
                  <c:v>0.65411417513356007</c:v>
                </c:pt>
                <c:pt idx="16">
                  <c:v>0.66638923218475754</c:v>
                </c:pt>
                <c:pt idx="17">
                  <c:v>0.67866428923595501</c:v>
                </c:pt>
                <c:pt idx="18">
                  <c:v>0.69093934628715292</c:v>
                </c:pt>
                <c:pt idx="19">
                  <c:v>0.70580631870414479</c:v>
                </c:pt>
                <c:pt idx="20">
                  <c:v>0.72067329112113665</c:v>
                </c:pt>
                <c:pt idx="21">
                  <c:v>0.73554026353812851</c:v>
                </c:pt>
                <c:pt idx="22">
                  <c:v>0.75040723595512038</c:v>
                </c:pt>
                <c:pt idx="23">
                  <c:v>0.76527420837211224</c:v>
                </c:pt>
                <c:pt idx="24">
                  <c:v>0.78014118078910411</c:v>
                </c:pt>
                <c:pt idx="25">
                  <c:v>0.79500815320609597</c:v>
                </c:pt>
                <c:pt idx="26">
                  <c:v>0.80987512562308783</c:v>
                </c:pt>
                <c:pt idx="27">
                  <c:v>0.8247420980400797</c:v>
                </c:pt>
                <c:pt idx="28">
                  <c:v>0.83960907045707112</c:v>
                </c:pt>
                <c:pt idx="29">
                  <c:v>0.85929706953154461</c:v>
                </c:pt>
                <c:pt idx="30">
                  <c:v>0.87898506860601811</c:v>
                </c:pt>
                <c:pt idx="31">
                  <c:v>0.8986730676804916</c:v>
                </c:pt>
                <c:pt idx="32">
                  <c:v>0.91836106675496509</c:v>
                </c:pt>
              </c:numCache>
            </c:numRef>
          </c:val>
          <c:smooth val="0"/>
          <c:extLst>
            <c:ext xmlns:c16="http://schemas.microsoft.com/office/drawing/2014/chart" uri="{C3380CC4-5D6E-409C-BE32-E72D297353CC}">
              <c16:uniqueId val="{00000004-12A4-443E-9591-D19EF21A117D}"/>
            </c:ext>
          </c:extLst>
        </c:ser>
        <c:ser>
          <c:idx val="5"/>
          <c:order val="5"/>
          <c:tx>
            <c:strRef>
              <c:f>FTRA!$D$116</c:f>
              <c:strCache>
                <c:ptCount val="1"/>
                <c:pt idx="0">
                  <c:v>TFHCV5</c:v>
                </c:pt>
              </c:strCache>
            </c:strRef>
          </c:tx>
          <c:spPr>
            <a:ln w="28575" cap="rnd">
              <a:solidFill>
                <a:schemeClr val="accent6"/>
              </a:solidFill>
              <a:round/>
            </a:ln>
            <a:effectLst/>
          </c:spPr>
          <c:marker>
            <c:symbol val="none"/>
          </c:marker>
          <c:val>
            <c:numRef>
              <c:f>FTRA!$M$116:$AS$116</c:f>
              <c:numCache>
                <c:formatCode>0.00</c:formatCode>
                <c:ptCount val="33"/>
                <c:pt idx="0">
                  <c:v>0.28132785630344881</c:v>
                </c:pt>
                <c:pt idx="1">
                  <c:v>0.28410456292842851</c:v>
                </c:pt>
                <c:pt idx="2">
                  <c:v>0.2868812695534082</c:v>
                </c:pt>
                <c:pt idx="3">
                  <c:v>0.28965797617838801</c:v>
                </c:pt>
                <c:pt idx="4">
                  <c:v>0.29382303611585753</c:v>
                </c:pt>
                <c:pt idx="5">
                  <c:v>0.29798809605332705</c:v>
                </c:pt>
                <c:pt idx="6">
                  <c:v>0.29984270307869332</c:v>
                </c:pt>
                <c:pt idx="7">
                  <c:v>0.30169731010405959</c:v>
                </c:pt>
                <c:pt idx="8">
                  <c:v>0.28430790120130756</c:v>
                </c:pt>
                <c:pt idx="9">
                  <c:v>0.28905296148047083</c:v>
                </c:pt>
                <c:pt idx="10">
                  <c:v>0.2951655586697115</c:v>
                </c:pt>
                <c:pt idx="11">
                  <c:v>0.30127815585895218</c:v>
                </c:pt>
                <c:pt idx="12">
                  <c:v>0.30739075304819286</c:v>
                </c:pt>
                <c:pt idx="13">
                  <c:v>0.31350335023743353</c:v>
                </c:pt>
                <c:pt idx="14">
                  <c:v>0.31961594742667421</c:v>
                </c:pt>
                <c:pt idx="15">
                  <c:v>0.32572854461591488</c:v>
                </c:pt>
                <c:pt idx="16">
                  <c:v>0.33184114180515556</c:v>
                </c:pt>
                <c:pt idx="17">
                  <c:v>0.33795373899439624</c:v>
                </c:pt>
                <c:pt idx="18">
                  <c:v>0.34406633618363702</c:v>
                </c:pt>
                <c:pt idx="19">
                  <c:v>0.35146962672881271</c:v>
                </c:pt>
                <c:pt idx="20">
                  <c:v>0.3588729172739884</c:v>
                </c:pt>
                <c:pt idx="21">
                  <c:v>0.36627620781916409</c:v>
                </c:pt>
                <c:pt idx="22">
                  <c:v>0.37367949836433978</c:v>
                </c:pt>
                <c:pt idx="23">
                  <c:v>0.38108278890951547</c:v>
                </c:pt>
                <c:pt idx="24">
                  <c:v>0.38848607945469116</c:v>
                </c:pt>
                <c:pt idx="25">
                  <c:v>0.39588936999986685</c:v>
                </c:pt>
                <c:pt idx="26">
                  <c:v>0.40329266054504254</c:v>
                </c:pt>
                <c:pt idx="27">
                  <c:v>0.41069595109021823</c:v>
                </c:pt>
                <c:pt idx="28">
                  <c:v>0.41809924163539414</c:v>
                </c:pt>
                <c:pt idx="29">
                  <c:v>0.4279032537310169</c:v>
                </c:pt>
                <c:pt idx="30">
                  <c:v>0.43770726582663966</c:v>
                </c:pt>
                <c:pt idx="31">
                  <c:v>0.44751127792226242</c:v>
                </c:pt>
                <c:pt idx="32">
                  <c:v>0.45731529001788518</c:v>
                </c:pt>
              </c:numCache>
            </c:numRef>
          </c:val>
          <c:smooth val="0"/>
          <c:extLst>
            <c:ext xmlns:c16="http://schemas.microsoft.com/office/drawing/2014/chart" uri="{C3380CC4-5D6E-409C-BE32-E72D297353CC}">
              <c16:uniqueId val="{00000005-12A4-443E-9591-D19EF21A117D}"/>
            </c:ext>
          </c:extLst>
        </c:ser>
        <c:ser>
          <c:idx val="6"/>
          <c:order val="6"/>
          <c:tx>
            <c:strRef>
              <c:f>FTRA!$D$117</c:f>
              <c:strCache>
                <c:ptCount val="1"/>
                <c:pt idx="0">
                  <c:v>TFHCV6</c:v>
                </c:pt>
              </c:strCache>
            </c:strRef>
          </c:tx>
          <c:spPr>
            <a:ln w="28575" cap="rnd">
              <a:solidFill>
                <a:schemeClr val="accent1">
                  <a:lumMod val="60000"/>
                </a:schemeClr>
              </a:solidFill>
              <a:round/>
            </a:ln>
            <a:effectLst/>
          </c:spPr>
          <c:marker>
            <c:symbol val="none"/>
          </c:marker>
          <c:val>
            <c:numRef>
              <c:f>FTRA!$M$117:$AS$117</c:f>
              <c:numCache>
                <c:formatCode>0.00</c:formatCode>
                <c:ptCount val="33"/>
                <c:pt idx="0">
                  <c:v>5.1541817584817791</c:v>
                </c:pt>
                <c:pt idx="1">
                  <c:v>5.4055160928410038</c:v>
                </c:pt>
                <c:pt idx="2">
                  <c:v>5.6568504272002285</c:v>
                </c:pt>
                <c:pt idx="3">
                  <c:v>5.9081847615594549</c:v>
                </c:pt>
                <c:pt idx="4">
                  <c:v>6.2851862630982929</c:v>
                </c:pt>
                <c:pt idx="5">
                  <c:v>6.6621877646371299</c:v>
                </c:pt>
                <c:pt idx="6">
                  <c:v>6.7036516365039915</c:v>
                </c:pt>
                <c:pt idx="7">
                  <c:v>6.7451155083708541</c:v>
                </c:pt>
                <c:pt idx="8">
                  <c:v>6.3563365310876332</c:v>
                </c:pt>
                <c:pt idx="9">
                  <c:v>6.4624229249838852</c:v>
                </c:pt>
                <c:pt idx="10">
                  <c:v>6.5990836531930652</c:v>
                </c:pt>
                <c:pt idx="11">
                  <c:v>6.7357443814022453</c:v>
                </c:pt>
                <c:pt idx="12">
                  <c:v>6.8724051096114254</c:v>
                </c:pt>
                <c:pt idx="13">
                  <c:v>7.0090658378206054</c:v>
                </c:pt>
                <c:pt idx="14">
                  <c:v>7.1457265660297855</c:v>
                </c:pt>
                <c:pt idx="15">
                  <c:v>7.2823872942389656</c:v>
                </c:pt>
                <c:pt idx="16">
                  <c:v>7.4190480224481457</c:v>
                </c:pt>
                <c:pt idx="17">
                  <c:v>7.5557087506573257</c:v>
                </c:pt>
                <c:pt idx="18">
                  <c:v>7.6923694788665022</c:v>
                </c:pt>
                <c:pt idx="19">
                  <c:v>7.8578865325386626</c:v>
                </c:pt>
                <c:pt idx="20">
                  <c:v>8.0234035862108222</c:v>
                </c:pt>
                <c:pt idx="21">
                  <c:v>8.1889206398829817</c:v>
                </c:pt>
                <c:pt idx="22">
                  <c:v>8.3544376935551412</c:v>
                </c:pt>
                <c:pt idx="23">
                  <c:v>8.5199547472273007</c:v>
                </c:pt>
                <c:pt idx="24">
                  <c:v>8.6854718008994602</c:v>
                </c:pt>
                <c:pt idx="25">
                  <c:v>8.8509888545716198</c:v>
                </c:pt>
                <c:pt idx="26">
                  <c:v>9.0165059082437793</c:v>
                </c:pt>
                <c:pt idx="27">
                  <c:v>9.1820229619159388</c:v>
                </c:pt>
                <c:pt idx="28">
                  <c:v>9.3475400155881054</c:v>
                </c:pt>
                <c:pt idx="29">
                  <c:v>9.5667305480049567</c:v>
                </c:pt>
                <c:pt idx="30">
                  <c:v>9.785921080421808</c:v>
                </c:pt>
                <c:pt idx="31">
                  <c:v>10.005111612838659</c:v>
                </c:pt>
                <c:pt idx="32">
                  <c:v>10.224302145255511</c:v>
                </c:pt>
              </c:numCache>
            </c:numRef>
          </c:val>
          <c:smooth val="0"/>
          <c:extLst>
            <c:ext xmlns:c16="http://schemas.microsoft.com/office/drawing/2014/chart" uri="{C3380CC4-5D6E-409C-BE32-E72D297353CC}">
              <c16:uniqueId val="{00000006-12A4-443E-9591-D19EF21A117D}"/>
            </c:ext>
          </c:extLst>
        </c:ser>
        <c:ser>
          <c:idx val="7"/>
          <c:order val="7"/>
          <c:tx>
            <c:strRef>
              <c:f>FTRA!$D$118</c:f>
              <c:strCache>
                <c:ptCount val="1"/>
                <c:pt idx="0">
                  <c:v>TFHCV7</c:v>
                </c:pt>
              </c:strCache>
            </c:strRef>
          </c:tx>
          <c:spPr>
            <a:ln w="28575" cap="rnd">
              <a:solidFill>
                <a:schemeClr val="accent2">
                  <a:lumMod val="60000"/>
                </a:schemeClr>
              </a:solidFill>
              <a:round/>
            </a:ln>
            <a:effectLst/>
          </c:spPr>
          <c:marker>
            <c:symbol val="none"/>
          </c:marker>
          <c:val>
            <c:numRef>
              <c:f>FTRA!$M$118:$AS$118</c:f>
              <c:numCache>
                <c:formatCode>0.00</c:formatCode>
                <c:ptCount val="33"/>
                <c:pt idx="0">
                  <c:v>1.9761616214119715</c:v>
                </c:pt>
                <c:pt idx="1">
                  <c:v>2.0178274562873066</c:v>
                </c:pt>
                <c:pt idx="2">
                  <c:v>2.0594932911626418</c:v>
                </c:pt>
                <c:pt idx="3">
                  <c:v>2.1011591260379752</c:v>
                </c:pt>
                <c:pt idx="4">
                  <c:v>2.1636578783509774</c:v>
                </c:pt>
                <c:pt idx="5">
                  <c:v>2.2261566306639802</c:v>
                </c:pt>
                <c:pt idx="6">
                  <c:v>2.240011699982106</c:v>
                </c:pt>
                <c:pt idx="7">
                  <c:v>2.2538667693002314</c:v>
                </c:pt>
                <c:pt idx="8">
                  <c:v>2.1239570566476127</c:v>
                </c:pt>
                <c:pt idx="9">
                  <c:v>2.1594056116176379</c:v>
                </c:pt>
                <c:pt idx="10">
                  <c:v>2.2050705188526267</c:v>
                </c:pt>
                <c:pt idx="11">
                  <c:v>2.2507354260876156</c:v>
                </c:pt>
                <c:pt idx="12">
                  <c:v>2.2964003333226044</c:v>
                </c:pt>
                <c:pt idx="13">
                  <c:v>2.3420652405575932</c:v>
                </c:pt>
                <c:pt idx="14">
                  <c:v>2.3877301477925821</c:v>
                </c:pt>
                <c:pt idx="15">
                  <c:v>2.4333950550275709</c:v>
                </c:pt>
                <c:pt idx="16">
                  <c:v>2.4790599622625598</c:v>
                </c:pt>
                <c:pt idx="17">
                  <c:v>2.5247248694975486</c:v>
                </c:pt>
                <c:pt idx="18">
                  <c:v>2.5703897767325388</c:v>
                </c:pt>
                <c:pt idx="19">
                  <c:v>2.6256969670336088</c:v>
                </c:pt>
                <c:pt idx="20">
                  <c:v>2.6810041573346788</c:v>
                </c:pt>
                <c:pt idx="21">
                  <c:v>2.7363113476357488</c:v>
                </c:pt>
                <c:pt idx="22">
                  <c:v>2.7916185379368188</c:v>
                </c:pt>
                <c:pt idx="23">
                  <c:v>2.8469257282378888</c:v>
                </c:pt>
                <c:pt idx="24">
                  <c:v>2.9022329185389588</c:v>
                </c:pt>
                <c:pt idx="25">
                  <c:v>2.9575401088400288</c:v>
                </c:pt>
                <c:pt idx="26">
                  <c:v>3.0128472991410988</c:v>
                </c:pt>
                <c:pt idx="27">
                  <c:v>3.0681544894421688</c:v>
                </c:pt>
                <c:pt idx="28">
                  <c:v>3.123461679743238</c:v>
                </c:pt>
                <c:pt idx="29">
                  <c:v>3.1967037549228943</c:v>
                </c:pt>
                <c:pt idx="30">
                  <c:v>3.2699458301025506</c:v>
                </c:pt>
                <c:pt idx="31">
                  <c:v>3.3431879052822069</c:v>
                </c:pt>
                <c:pt idx="32">
                  <c:v>3.4164299804618632</c:v>
                </c:pt>
              </c:numCache>
            </c:numRef>
          </c:val>
          <c:smooth val="0"/>
          <c:extLst>
            <c:ext xmlns:c16="http://schemas.microsoft.com/office/drawing/2014/chart" uri="{C3380CC4-5D6E-409C-BE32-E72D297353CC}">
              <c16:uniqueId val="{00000007-12A4-443E-9591-D19EF21A117D}"/>
            </c:ext>
          </c:extLst>
        </c:ser>
        <c:ser>
          <c:idx val="8"/>
          <c:order val="8"/>
          <c:tx>
            <c:strRef>
              <c:f>FTRA!$D$119</c:f>
              <c:strCache>
                <c:ptCount val="1"/>
                <c:pt idx="0">
                  <c:v>TFHCV8</c:v>
                </c:pt>
              </c:strCache>
            </c:strRef>
          </c:tx>
          <c:spPr>
            <a:ln w="28575" cap="rnd">
              <a:solidFill>
                <a:schemeClr val="accent3">
                  <a:lumMod val="60000"/>
                </a:schemeClr>
              </a:solidFill>
              <a:round/>
            </a:ln>
            <a:effectLst/>
          </c:spPr>
          <c:marker>
            <c:symbol val="none"/>
          </c:marker>
          <c:val>
            <c:numRef>
              <c:f>FTRA!$M$119:$AS$119</c:f>
              <c:numCache>
                <c:formatCode>0.00</c:formatCode>
                <c:ptCount val="33"/>
                <c:pt idx="0">
                  <c:v>7.0701624395945725E-2</c:v>
                </c:pt>
                <c:pt idx="1">
                  <c:v>7.9286966804927639E-2</c:v>
                </c:pt>
                <c:pt idx="2">
                  <c:v>8.7872309213909552E-2</c:v>
                </c:pt>
                <c:pt idx="3">
                  <c:v>9.6457651622891244E-2</c:v>
                </c:pt>
                <c:pt idx="4">
                  <c:v>0.10933566523636412</c:v>
                </c:pt>
                <c:pt idx="5">
                  <c:v>0.122213678849837</c:v>
                </c:pt>
                <c:pt idx="6">
                  <c:v>0.12297430771519344</c:v>
                </c:pt>
                <c:pt idx="7">
                  <c:v>0.12373493658054988</c:v>
                </c:pt>
                <c:pt idx="8">
                  <c:v>0.11660302875209383</c:v>
                </c:pt>
                <c:pt idx="9">
                  <c:v>0.11854911747429903</c:v>
                </c:pt>
                <c:pt idx="10">
                  <c:v>0.12105607328803257</c:v>
                </c:pt>
                <c:pt idx="11">
                  <c:v>0.12356302910176611</c:v>
                </c:pt>
                <c:pt idx="12">
                  <c:v>0.12606998491549967</c:v>
                </c:pt>
                <c:pt idx="13">
                  <c:v>0.12857694072923323</c:v>
                </c:pt>
                <c:pt idx="14">
                  <c:v>0.13108389654296679</c:v>
                </c:pt>
                <c:pt idx="15">
                  <c:v>0.13359085235670035</c:v>
                </c:pt>
                <c:pt idx="16">
                  <c:v>0.1360978081704339</c:v>
                </c:pt>
                <c:pt idx="17">
                  <c:v>0.13860476398416746</c:v>
                </c:pt>
                <c:pt idx="18">
                  <c:v>0.14111171979790094</c:v>
                </c:pt>
                <c:pt idx="19">
                  <c:v>0.14414802690245798</c:v>
                </c:pt>
                <c:pt idx="20">
                  <c:v>0.14718433400701503</c:v>
                </c:pt>
                <c:pt idx="21">
                  <c:v>0.15022064111157207</c:v>
                </c:pt>
                <c:pt idx="22">
                  <c:v>0.15325694821612912</c:v>
                </c:pt>
                <c:pt idx="23">
                  <c:v>0.15629325532068616</c:v>
                </c:pt>
                <c:pt idx="24">
                  <c:v>0.15932956242524321</c:v>
                </c:pt>
                <c:pt idx="25">
                  <c:v>0.16236586952980026</c:v>
                </c:pt>
                <c:pt idx="26">
                  <c:v>0.1654021766343573</c:v>
                </c:pt>
                <c:pt idx="27">
                  <c:v>0.16843848373891435</c:v>
                </c:pt>
                <c:pt idx="28">
                  <c:v>0.17147479084347125</c:v>
                </c:pt>
                <c:pt idx="29">
                  <c:v>0.17549570443553614</c:v>
                </c:pt>
                <c:pt idx="30">
                  <c:v>0.17951661802760102</c:v>
                </c:pt>
                <c:pt idx="31">
                  <c:v>0.18353753161966591</c:v>
                </c:pt>
                <c:pt idx="32">
                  <c:v>0.18755844521173079</c:v>
                </c:pt>
              </c:numCache>
            </c:numRef>
          </c:val>
          <c:smooth val="0"/>
          <c:extLst>
            <c:ext xmlns:c16="http://schemas.microsoft.com/office/drawing/2014/chart" uri="{C3380CC4-5D6E-409C-BE32-E72D297353CC}">
              <c16:uniqueId val="{00000008-12A4-443E-9591-D19EF21A117D}"/>
            </c:ext>
          </c:extLst>
        </c:ser>
        <c:ser>
          <c:idx val="9"/>
          <c:order val="9"/>
          <c:tx>
            <c:strRef>
              <c:f>FTRA!$D$120</c:f>
              <c:strCache>
                <c:ptCount val="1"/>
                <c:pt idx="0">
                  <c:v>TFHCV9</c:v>
                </c:pt>
              </c:strCache>
            </c:strRef>
          </c:tx>
          <c:spPr>
            <a:ln w="28575" cap="rnd">
              <a:solidFill>
                <a:schemeClr val="accent4">
                  <a:lumMod val="60000"/>
                </a:schemeClr>
              </a:solidFill>
              <a:round/>
            </a:ln>
            <a:effectLst/>
          </c:spPr>
          <c:marker>
            <c:symbol val="none"/>
          </c:marker>
          <c:val>
            <c:numRef>
              <c:f>FTRA!$M$120:$AS$120</c:f>
              <c:numCache>
                <c:formatCode>0.00</c:formatCode>
                <c:ptCount val="33"/>
                <c:pt idx="0">
                  <c:v>5.2818957554105039E-2</c:v>
                </c:pt>
                <c:pt idx="1">
                  <c:v>4.5016661085483405E-2</c:v>
                </c:pt>
                <c:pt idx="2">
                  <c:v>3.721436461686177E-2</c:v>
                </c:pt>
                <c:pt idx="3">
                  <c:v>2.9412068148240201E-2</c:v>
                </c:pt>
                <c:pt idx="4">
                  <c:v>2.9412068148240201E-2</c:v>
                </c:pt>
                <c:pt idx="5">
                  <c:v>2.9412068148240201E-2</c:v>
                </c:pt>
                <c:pt idx="6">
                  <c:v>2.9595121863944723E-2</c:v>
                </c:pt>
                <c:pt idx="7">
                  <c:v>2.9778175579649249E-2</c:v>
                </c:pt>
                <c:pt idx="8">
                  <c:v>2.806180339405084E-2</c:v>
                </c:pt>
                <c:pt idx="9">
                  <c:v>2.8530151083595065E-2</c:v>
                </c:pt>
                <c:pt idx="10">
                  <c:v>2.9133477617352022E-2</c:v>
                </c:pt>
                <c:pt idx="11">
                  <c:v>2.9736804151108978E-2</c:v>
                </c:pt>
                <c:pt idx="12">
                  <c:v>3.0340130684865935E-2</c:v>
                </c:pt>
                <c:pt idx="13">
                  <c:v>3.0943457218622891E-2</c:v>
                </c:pt>
                <c:pt idx="14">
                  <c:v>3.1546783752379848E-2</c:v>
                </c:pt>
                <c:pt idx="15">
                  <c:v>3.2150110286136804E-2</c:v>
                </c:pt>
                <c:pt idx="16">
                  <c:v>3.2753436819893761E-2</c:v>
                </c:pt>
                <c:pt idx="17">
                  <c:v>3.3356763353650717E-2</c:v>
                </c:pt>
                <c:pt idx="18">
                  <c:v>3.3960089887407674E-2</c:v>
                </c:pt>
                <c:pt idx="19">
                  <c:v>3.4690810640752676E-2</c:v>
                </c:pt>
                <c:pt idx="20">
                  <c:v>3.5421531394097677E-2</c:v>
                </c:pt>
                <c:pt idx="21">
                  <c:v>3.6152252147442679E-2</c:v>
                </c:pt>
                <c:pt idx="22">
                  <c:v>3.6882972900787681E-2</c:v>
                </c:pt>
                <c:pt idx="23">
                  <c:v>3.7613693654132682E-2</c:v>
                </c:pt>
                <c:pt idx="24">
                  <c:v>3.8344414407477684E-2</c:v>
                </c:pt>
                <c:pt idx="25">
                  <c:v>3.9075135160822685E-2</c:v>
                </c:pt>
                <c:pt idx="26">
                  <c:v>3.9805855914167687E-2</c:v>
                </c:pt>
                <c:pt idx="27">
                  <c:v>4.0536576667512689E-2</c:v>
                </c:pt>
                <c:pt idx="28">
                  <c:v>4.1267297420857718E-2</c:v>
                </c:pt>
                <c:pt idx="29">
                  <c:v>4.2234974572065209E-2</c:v>
                </c:pt>
                <c:pt idx="30">
                  <c:v>4.32026517232727E-2</c:v>
                </c:pt>
                <c:pt idx="31">
                  <c:v>4.4170328874480191E-2</c:v>
                </c:pt>
                <c:pt idx="32">
                  <c:v>4.5138006025687682E-2</c:v>
                </c:pt>
              </c:numCache>
            </c:numRef>
          </c:val>
          <c:smooth val="0"/>
          <c:extLst>
            <c:ext xmlns:c16="http://schemas.microsoft.com/office/drawing/2014/chart" uri="{C3380CC4-5D6E-409C-BE32-E72D297353CC}">
              <c16:uniqueId val="{00000009-12A4-443E-9591-D19EF21A117D}"/>
            </c:ext>
          </c:extLst>
        </c:ser>
        <c:ser>
          <c:idx val="10"/>
          <c:order val="10"/>
          <c:tx>
            <c:strRef>
              <c:f>FTRA!$D$121</c:f>
              <c:strCache>
                <c:ptCount val="1"/>
                <c:pt idx="0">
                  <c:v>TFRCO</c:v>
                </c:pt>
              </c:strCache>
            </c:strRef>
          </c:tx>
          <c:spPr>
            <a:ln w="12700" cap="rnd">
              <a:solidFill>
                <a:schemeClr val="accent5">
                  <a:lumMod val="60000"/>
                </a:schemeClr>
              </a:solidFill>
              <a:round/>
            </a:ln>
            <a:effectLst/>
          </c:spPr>
          <c:marker>
            <c:symbol val="none"/>
          </c:marker>
          <c:val>
            <c:numRef>
              <c:f>FTRA!$M$121:$AS$121</c:f>
              <c:numCache>
                <c:formatCode>0.00</c:formatCode>
                <c:ptCount val="33"/>
                <c:pt idx="0">
                  <c:v>22</c:v>
                </c:pt>
                <c:pt idx="1">
                  <c:v>22.394471154794282</c:v>
                </c:pt>
                <c:pt idx="2">
                  <c:v>22.788942309588563</c:v>
                </c:pt>
                <c:pt idx="3">
                  <c:v>23.183413464382845</c:v>
                </c:pt>
                <c:pt idx="4">
                  <c:v>23.396576241140881</c:v>
                </c:pt>
                <c:pt idx="5">
                  <c:v>23.609739017898917</c:v>
                </c:pt>
                <c:pt idx="6">
                  <c:v>23.756680417335971</c:v>
                </c:pt>
                <c:pt idx="7">
                  <c:v>23.903621816773025</c:v>
                </c:pt>
                <c:pt idx="8">
                  <c:v>22.525850653068453</c:v>
                </c:pt>
                <c:pt idx="9">
                  <c:v>22.901804042814582</c:v>
                </c:pt>
                <c:pt idx="10">
                  <c:v>23.38610803438641</c:v>
                </c:pt>
                <c:pt idx="11">
                  <c:v>23.870412025958238</c:v>
                </c:pt>
                <c:pt idx="12">
                  <c:v>24.354716017530066</c:v>
                </c:pt>
                <c:pt idx="13">
                  <c:v>24.839020009101894</c:v>
                </c:pt>
                <c:pt idx="14">
                  <c:v>25.323324000673722</c:v>
                </c:pt>
                <c:pt idx="15">
                  <c:v>25.80762799224555</c:v>
                </c:pt>
                <c:pt idx="16">
                  <c:v>26.291931983817378</c:v>
                </c:pt>
                <c:pt idx="17">
                  <c:v>26.776235975389206</c:v>
                </c:pt>
                <c:pt idx="18">
                  <c:v>27.260539966961023</c:v>
                </c:pt>
                <c:pt idx="19">
                  <c:v>27.847106208902439</c:v>
                </c:pt>
                <c:pt idx="20">
                  <c:v>28.433672450843854</c:v>
                </c:pt>
                <c:pt idx="21">
                  <c:v>29.02023869278527</c:v>
                </c:pt>
                <c:pt idx="22">
                  <c:v>29.606804934726686</c:v>
                </c:pt>
                <c:pt idx="23">
                  <c:v>30.193371176668101</c:v>
                </c:pt>
                <c:pt idx="24">
                  <c:v>30.779937418609517</c:v>
                </c:pt>
                <c:pt idx="25">
                  <c:v>31.366503660550933</c:v>
                </c:pt>
                <c:pt idx="26">
                  <c:v>31.953069902492349</c:v>
                </c:pt>
                <c:pt idx="27">
                  <c:v>32.539636144433764</c:v>
                </c:pt>
                <c:pt idx="28">
                  <c:v>33.126202386375169</c:v>
                </c:pt>
                <c:pt idx="29">
                  <c:v>33.902978942122395</c:v>
                </c:pt>
                <c:pt idx="30">
                  <c:v>34.679755497869621</c:v>
                </c:pt>
                <c:pt idx="31">
                  <c:v>35.456532053616847</c:v>
                </c:pt>
                <c:pt idx="32">
                  <c:v>36.233308609364073</c:v>
                </c:pt>
              </c:numCache>
            </c:numRef>
          </c:val>
          <c:smooth val="0"/>
          <c:extLst>
            <c:ext xmlns:c16="http://schemas.microsoft.com/office/drawing/2014/chart" uri="{C3380CC4-5D6E-409C-BE32-E72D297353CC}">
              <c16:uniqueId val="{0000000A-12A4-443E-9591-D19EF21A117D}"/>
            </c:ext>
          </c:extLst>
        </c:ser>
        <c:ser>
          <c:idx val="11"/>
          <c:order val="11"/>
          <c:tx>
            <c:strRef>
              <c:f>FTRA!$D$122</c:f>
              <c:strCache>
                <c:ptCount val="1"/>
                <c:pt idx="0">
                  <c:v>TFROT</c:v>
                </c:pt>
              </c:strCache>
            </c:strRef>
          </c:tx>
          <c:spPr>
            <a:ln w="28575" cap="rnd">
              <a:solidFill>
                <a:schemeClr val="accent6">
                  <a:lumMod val="60000"/>
                </a:schemeClr>
              </a:solidFill>
              <a:round/>
            </a:ln>
            <a:effectLst/>
          </c:spPr>
          <c:marker>
            <c:symbol val="none"/>
          </c:marker>
          <c:val>
            <c:numRef>
              <c:f>FTRA!$M$122:$AS$122</c:f>
              <c:numCache>
                <c:formatCode>0.00</c:formatCode>
                <c:ptCount val="33"/>
                <c:pt idx="0">
                  <c:v>25.1</c:v>
                </c:pt>
                <c:pt idx="1">
                  <c:v>25.550055726606203</c:v>
                </c:pt>
                <c:pt idx="2">
                  <c:v>26.000111453212405</c:v>
                </c:pt>
                <c:pt idx="3">
                  <c:v>26.450167179818607</c:v>
                </c:pt>
                <c:pt idx="4">
                  <c:v>26.693366529665273</c:v>
                </c:pt>
                <c:pt idx="5">
                  <c:v>26.936565879511939</c:v>
                </c:pt>
                <c:pt idx="6">
                  <c:v>27.104212657960581</c:v>
                </c:pt>
                <c:pt idx="7">
                  <c:v>27.271859436409219</c:v>
                </c:pt>
                <c:pt idx="8">
                  <c:v>25.699947790546279</c:v>
                </c:pt>
                <c:pt idx="9">
                  <c:v>26.12887643066572</c:v>
                </c:pt>
                <c:pt idx="10">
                  <c:v>26.681423257413577</c:v>
                </c:pt>
                <c:pt idx="11">
                  <c:v>27.233970084161434</c:v>
                </c:pt>
                <c:pt idx="12">
                  <c:v>27.786516910909292</c:v>
                </c:pt>
                <c:pt idx="13">
                  <c:v>28.339063737657149</c:v>
                </c:pt>
                <c:pt idx="14">
                  <c:v>28.891610564405006</c:v>
                </c:pt>
                <c:pt idx="15">
                  <c:v>29.444157391152864</c:v>
                </c:pt>
                <c:pt idx="16">
                  <c:v>29.996704217900721</c:v>
                </c:pt>
                <c:pt idx="17">
                  <c:v>30.549251044648578</c:v>
                </c:pt>
                <c:pt idx="18">
                  <c:v>31.101797871396435</c:v>
                </c:pt>
                <c:pt idx="19">
                  <c:v>31.771016629247775</c:v>
                </c:pt>
                <c:pt idx="20">
                  <c:v>32.440235387099115</c:v>
                </c:pt>
                <c:pt idx="21">
                  <c:v>33.109454144950455</c:v>
                </c:pt>
                <c:pt idx="22">
                  <c:v>33.778672902801794</c:v>
                </c:pt>
                <c:pt idx="23">
                  <c:v>34.447891660653134</c:v>
                </c:pt>
                <c:pt idx="24">
                  <c:v>35.117110418504474</c:v>
                </c:pt>
                <c:pt idx="25">
                  <c:v>35.786329176355814</c:v>
                </c:pt>
                <c:pt idx="26">
                  <c:v>36.455547934207154</c:v>
                </c:pt>
                <c:pt idx="27">
                  <c:v>37.124766692058493</c:v>
                </c:pt>
                <c:pt idx="28">
                  <c:v>37.79398544990984</c:v>
                </c:pt>
                <c:pt idx="29">
                  <c:v>38.680216883966906</c:v>
                </c:pt>
                <c:pt idx="30">
                  <c:v>39.566448318023973</c:v>
                </c:pt>
                <c:pt idx="31">
                  <c:v>40.452679752081039</c:v>
                </c:pt>
                <c:pt idx="32">
                  <c:v>41.338911186138105</c:v>
                </c:pt>
              </c:numCache>
            </c:numRef>
          </c:val>
          <c:smooth val="0"/>
          <c:extLst>
            <c:ext xmlns:c16="http://schemas.microsoft.com/office/drawing/2014/chart" uri="{C3380CC4-5D6E-409C-BE32-E72D297353CC}">
              <c16:uniqueId val="{0000000B-12A4-443E-9591-D19EF21A117D}"/>
            </c:ext>
          </c:extLst>
        </c:ser>
        <c:ser>
          <c:idx val="12"/>
          <c:order val="12"/>
          <c:tx>
            <c:strRef>
              <c:f>FTRA!$D$123</c:f>
              <c:strCache>
                <c:ptCount val="1"/>
                <c:pt idx="0">
                  <c:v>TFREX</c:v>
                </c:pt>
              </c:strCache>
            </c:strRef>
          </c:tx>
          <c:spPr>
            <a:ln w="28575" cap="rnd">
              <a:solidFill>
                <a:schemeClr val="accent1">
                  <a:lumMod val="80000"/>
                  <a:lumOff val="20000"/>
                </a:schemeClr>
              </a:solidFill>
              <a:round/>
            </a:ln>
            <a:effectLst/>
          </c:spPr>
          <c:marker>
            <c:symbol val="none"/>
          </c:marker>
          <c:val>
            <c:numRef>
              <c:f>FTRA!$M$123:$AS$123</c:f>
              <c:numCache>
                <c:formatCode>0.00</c:formatCode>
                <c:ptCount val="33"/>
                <c:pt idx="0">
                  <c:v>82</c:v>
                </c:pt>
                <c:pt idx="1">
                  <c:v>82</c:v>
                </c:pt>
                <c:pt idx="2">
                  <c:v>82</c:v>
                </c:pt>
                <c:pt idx="3">
                  <c:v>82</c:v>
                </c:pt>
                <c:pt idx="4">
                  <c:v>82</c:v>
                </c:pt>
                <c:pt idx="5">
                  <c:v>82</c:v>
                </c:pt>
                <c:pt idx="6">
                  <c:v>84.018400836522261</c:v>
                </c:pt>
                <c:pt idx="7">
                  <c:v>86.036801673044508</c:v>
                </c:pt>
                <c:pt idx="8">
                  <c:v>76.525600127976475</c:v>
                </c:pt>
                <c:pt idx="9">
                  <c:v>81.331040777374611</c:v>
                </c:pt>
                <c:pt idx="10">
                  <c:v>82.062170075963863</c:v>
                </c:pt>
                <c:pt idx="11">
                  <c:v>82.793299374553115</c:v>
                </c:pt>
                <c:pt idx="12">
                  <c:v>83.524428673142367</c:v>
                </c:pt>
                <c:pt idx="13">
                  <c:v>84.255557971731619</c:v>
                </c:pt>
                <c:pt idx="14">
                  <c:v>84.986687270320871</c:v>
                </c:pt>
                <c:pt idx="15">
                  <c:v>85.717816568910123</c:v>
                </c:pt>
                <c:pt idx="16">
                  <c:v>86.448945867499376</c:v>
                </c:pt>
                <c:pt idx="17">
                  <c:v>87.180075166088628</c:v>
                </c:pt>
                <c:pt idx="18">
                  <c:v>87.911204464677908</c:v>
                </c:pt>
                <c:pt idx="19">
                  <c:v>89.965956911277232</c:v>
                </c:pt>
                <c:pt idx="20">
                  <c:v>92.020709357876555</c:v>
                </c:pt>
                <c:pt idx="21">
                  <c:v>94.075461804475879</c:v>
                </c:pt>
                <c:pt idx="22">
                  <c:v>96.130214251075202</c:v>
                </c:pt>
                <c:pt idx="23">
                  <c:v>98.184966697674525</c:v>
                </c:pt>
                <c:pt idx="24">
                  <c:v>100.23971914427385</c:v>
                </c:pt>
                <c:pt idx="25">
                  <c:v>102.29447159087317</c:v>
                </c:pt>
                <c:pt idx="26">
                  <c:v>104.3492240374725</c:v>
                </c:pt>
                <c:pt idx="27">
                  <c:v>106.40397648407182</c:v>
                </c:pt>
                <c:pt idx="28">
                  <c:v>108.4587289306711</c:v>
                </c:pt>
                <c:pt idx="29">
                  <c:v>110.78219055126277</c:v>
                </c:pt>
                <c:pt idx="30">
                  <c:v>113.10565217185444</c:v>
                </c:pt>
                <c:pt idx="31">
                  <c:v>115.42911379244612</c:v>
                </c:pt>
                <c:pt idx="32">
                  <c:v>117.75257541303779</c:v>
                </c:pt>
              </c:numCache>
            </c:numRef>
          </c:val>
          <c:smooth val="0"/>
          <c:extLst>
            <c:ext xmlns:c16="http://schemas.microsoft.com/office/drawing/2014/chart" uri="{C3380CC4-5D6E-409C-BE32-E72D297353CC}">
              <c16:uniqueId val="{0000000C-12A4-443E-9591-D19EF21A117D}"/>
            </c:ext>
          </c:extLst>
        </c:ser>
        <c:dLbls>
          <c:showLegendKey val="0"/>
          <c:showVal val="0"/>
          <c:showCatName val="0"/>
          <c:showSerName val="0"/>
          <c:showPercent val="0"/>
          <c:showBubbleSize val="0"/>
        </c:dLbls>
        <c:smooth val="0"/>
        <c:axId val="496201200"/>
        <c:axId val="496200024"/>
      </c:lineChart>
      <c:catAx>
        <c:axId val="49620120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0024"/>
        <c:crosses val="autoZero"/>
        <c:auto val="1"/>
        <c:lblAlgn val="ctr"/>
        <c:lblOffset val="100"/>
        <c:noMultiLvlLbl val="0"/>
      </c:catAx>
      <c:valAx>
        <c:axId val="496200024"/>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201200"/>
        <c:crosses val="autoZero"/>
        <c:crossBetween val="between"/>
      </c:valAx>
      <c:spPr>
        <a:noFill/>
        <a:ln w="12700">
          <a:solidFill>
            <a:schemeClr val="accent1"/>
          </a:solid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12700"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strRef>
              <c:f>PTRA!$C$13</c:f>
              <c:strCache>
                <c:ptCount val="1"/>
                <c:pt idx="0">
                  <c:v>Low Income (0 - 19,200)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PTRA!$E$13:$M$13</c:f>
              <c:numCache>
                <c:formatCode>0.00</c:formatCode>
                <c:ptCount val="9"/>
                <c:pt idx="0">
                  <c:v>26.162716441035041</c:v>
                </c:pt>
                <c:pt idx="1">
                  <c:v>25.676476665132281</c:v>
                </c:pt>
                <c:pt idx="2">
                  <c:v>25.755361891142741</c:v>
                </c:pt>
                <c:pt idx="3">
                  <c:v>25.946710085536886</c:v>
                </c:pt>
                <c:pt idx="4">
                  <c:v>26.998265626975765</c:v>
                </c:pt>
                <c:pt idx="5">
                  <c:v>29.287129613802783</c:v>
                </c:pt>
                <c:pt idx="6">
                  <c:v>27.268179044262631</c:v>
                </c:pt>
                <c:pt idx="7">
                  <c:v>24.363641895847387</c:v>
                </c:pt>
                <c:pt idx="8">
                  <c:v>20.711110331567543</c:v>
                </c:pt>
              </c:numCache>
            </c:numRef>
          </c:val>
          <c:extLst>
            <c:ext xmlns:c16="http://schemas.microsoft.com/office/drawing/2014/chart" uri="{C3380CC4-5D6E-409C-BE32-E72D297353CC}">
              <c16:uniqueId val="{00000000-96AC-49B9-9C54-F557701171D6}"/>
            </c:ext>
          </c:extLst>
        </c:ser>
        <c:ser>
          <c:idx val="1"/>
          <c:order val="1"/>
          <c:tx>
            <c:strRef>
              <c:f>PTRA!$C$14</c:f>
              <c:strCache>
                <c:ptCount val="1"/>
                <c:pt idx="0">
                  <c:v>Middle Income (19,201 - 76,800)</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PTRA!$E$14:$M$14</c:f>
              <c:numCache>
                <c:formatCode>0.00</c:formatCode>
                <c:ptCount val="9"/>
                <c:pt idx="0">
                  <c:v>15.697629864621025</c:v>
                </c:pt>
                <c:pt idx="1">
                  <c:v>16.65350655721161</c:v>
                </c:pt>
                <c:pt idx="2">
                  <c:v>17.422744808714206</c:v>
                </c:pt>
                <c:pt idx="3">
                  <c:v>18.376375848815535</c:v>
                </c:pt>
                <c:pt idx="4">
                  <c:v>19.311259441517389</c:v>
                </c:pt>
                <c:pt idx="5">
                  <c:v>18.474508994341168</c:v>
                </c:pt>
                <c:pt idx="6">
                  <c:v>21.60781205322996</c:v>
                </c:pt>
                <c:pt idx="7">
                  <c:v>24.637054970594811</c:v>
                </c:pt>
                <c:pt idx="8">
                  <c:v>27.181128980417853</c:v>
                </c:pt>
              </c:numCache>
            </c:numRef>
          </c:val>
          <c:extLst>
            <c:ext xmlns:c16="http://schemas.microsoft.com/office/drawing/2014/chart" uri="{C3380CC4-5D6E-409C-BE32-E72D297353CC}">
              <c16:uniqueId val="{00000001-96AC-49B9-9C54-F557701171D6}"/>
            </c:ext>
          </c:extLst>
        </c:ser>
        <c:ser>
          <c:idx val="2"/>
          <c:order val="2"/>
          <c:tx>
            <c:strRef>
              <c:f>PTRA!$C$15</c:f>
              <c:strCache>
                <c:ptCount val="1"/>
                <c:pt idx="0">
                  <c:v>High Income (76,801 - )</c:v>
                </c:pt>
              </c:strCache>
            </c:strRef>
          </c:tx>
          <c:cat>
            <c:numRef>
              <c:f>PTRA!$E$12:$M$12</c:f>
              <c:numCache>
                <c:formatCode>General</c:formatCode>
                <c:ptCount val="9"/>
                <c:pt idx="0">
                  <c:v>2012</c:v>
                </c:pt>
                <c:pt idx="1">
                  <c:v>2015</c:v>
                </c:pt>
                <c:pt idx="2">
                  <c:v>2017</c:v>
                </c:pt>
                <c:pt idx="3">
                  <c:v>2019</c:v>
                </c:pt>
                <c:pt idx="4">
                  <c:v>2020</c:v>
                </c:pt>
                <c:pt idx="5">
                  <c:v>2021</c:v>
                </c:pt>
                <c:pt idx="6">
                  <c:v>2030</c:v>
                </c:pt>
                <c:pt idx="7">
                  <c:v>2040</c:v>
                </c:pt>
                <c:pt idx="8">
                  <c:v>2050</c:v>
                </c:pt>
              </c:numCache>
            </c:numRef>
          </c:cat>
          <c:val>
            <c:numRef>
              <c:f>PTRA!$E$15:$M$15</c:f>
              <c:numCache>
                <c:formatCode>0.00</c:formatCode>
                <c:ptCount val="9"/>
                <c:pt idx="0">
                  <c:v>10.465086576414015</c:v>
                </c:pt>
                <c:pt idx="1">
                  <c:v>12.420508234977223</c:v>
                </c:pt>
                <c:pt idx="2">
                  <c:v>13.343841341791148</c:v>
                </c:pt>
                <c:pt idx="3">
                  <c:v>14.041748987467024</c:v>
                </c:pt>
                <c:pt idx="4">
                  <c:v>12.021367799432369</c:v>
                </c:pt>
                <c:pt idx="5">
                  <c:v>12.336235380343002</c:v>
                </c:pt>
                <c:pt idx="6">
                  <c:v>17.164799763201472</c:v>
                </c:pt>
                <c:pt idx="7">
                  <c:v>22.424914126799209</c:v>
                </c:pt>
                <c:pt idx="8">
                  <c:v>27.625669642404802</c:v>
                </c:pt>
              </c:numCache>
            </c:numRef>
          </c:val>
          <c:extLst>
            <c:ext xmlns:c16="http://schemas.microsoft.com/office/drawing/2014/chart" uri="{C3380CC4-5D6E-409C-BE32-E72D297353CC}">
              <c16:uniqueId val="{00000002-96AC-49B9-9C54-F557701171D6}"/>
            </c:ext>
          </c:extLst>
        </c:ser>
        <c:dLbls>
          <c:showLegendKey val="0"/>
          <c:showVal val="0"/>
          <c:showCatName val="0"/>
          <c:showSerName val="0"/>
          <c:showPercent val="0"/>
          <c:showBubbleSize val="0"/>
        </c:dLbls>
        <c:axId val="471549832"/>
        <c:axId val="471549048"/>
      </c:areaChart>
      <c:dateAx>
        <c:axId val="471549832"/>
        <c:scaling>
          <c:orientation val="minMax"/>
        </c:scaling>
        <c:delete val="0"/>
        <c:axPos val="b"/>
        <c:numFmt formatCode="General"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048"/>
        <c:crosses val="autoZero"/>
        <c:auto val="0"/>
        <c:lblOffset val="100"/>
        <c:baseTimeUnit val="days"/>
      </c:dateAx>
      <c:valAx>
        <c:axId val="4715490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Population (million)</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71549832"/>
        <c:crosses val="autoZero"/>
        <c:crossBetween val="midCat"/>
      </c:valAx>
    </c:plotArea>
    <c:legend>
      <c:legendPos val="b"/>
      <c:layout>
        <c:manualLayout>
          <c:xMode val="edge"/>
          <c:yMode val="edge"/>
          <c:x val="0.23354062056973399"/>
          <c:y val="0.91727875332130604"/>
          <c:w val="0.53043534565572503"/>
          <c:h val="5.1095102970152302E-2"/>
        </c:manualLayout>
      </c:layout>
      <c:overlay val="0"/>
      <c:txPr>
        <a:bodyPr/>
        <a:lstStyle/>
        <a:p>
          <a:pPr>
            <a:defRPr sz="59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PTRA!$C$54</c:f>
              <c:strCache>
                <c:ptCount val="1"/>
                <c:pt idx="0">
                  <c:v>Low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569-4CD4-904B-A8BB0EE42270}"/>
            </c:ext>
          </c:extLst>
        </c:ser>
        <c:ser>
          <c:idx val="1"/>
          <c:order val="1"/>
          <c:tx>
            <c:strRef>
              <c:f>PTRA!$C$55</c:f>
              <c:strCache>
                <c:ptCount val="1"/>
                <c:pt idx="0">
                  <c:v>Middle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569-4CD4-904B-A8BB0EE42270}"/>
            </c:ext>
          </c:extLst>
        </c:ser>
        <c:ser>
          <c:idx val="2"/>
          <c:order val="2"/>
          <c:tx>
            <c:strRef>
              <c:f>PTRA!$C$56</c:f>
              <c:strCache>
                <c:ptCount val="1"/>
                <c:pt idx="0">
                  <c:v>High Income</c:v>
                </c:pt>
              </c:strCache>
            </c:strRef>
          </c:tx>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569-4CD4-904B-A8BB0EE42270}"/>
            </c:ext>
          </c:extLst>
        </c:ser>
        <c:ser>
          <c:idx val="3"/>
          <c:order val="3"/>
          <c:tx>
            <c:strRef>
              <c:f>PTRA!$C$57</c:f>
              <c:strCache>
                <c:ptCount val="1"/>
                <c:pt idx="0">
                  <c:v>Other (gov/company/car rental)</c:v>
                </c:pt>
              </c:strCache>
            </c:strRef>
          </c:tx>
          <c:spPr>
            <a:ln w="25400">
              <a:noFill/>
            </a:ln>
          </c:spPr>
          <c:invertIfNegative val="0"/>
          <c:cat>
            <c:multiLvlStrRef>
              <c:f>PTRA!$O$11:$AE$12</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569-4CD4-904B-A8BB0EE42270}"/>
            </c:ext>
          </c:extLst>
        </c:ser>
        <c:dLbls>
          <c:showLegendKey val="0"/>
          <c:showVal val="0"/>
          <c:showCatName val="0"/>
          <c:showSerName val="0"/>
          <c:showPercent val="0"/>
          <c:showBubbleSize val="0"/>
        </c:dLbls>
        <c:gapWidth val="150"/>
        <c:overlap val="100"/>
        <c:axId val="496200808"/>
        <c:axId val="496199632"/>
      </c:barChart>
      <c:catAx>
        <c:axId val="49620080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9632"/>
        <c:crosses val="autoZero"/>
        <c:auto val="1"/>
        <c:lblAlgn val="ctr"/>
        <c:lblOffset val="100"/>
        <c:noMultiLvlLbl val="0"/>
      </c:catAx>
      <c:valAx>
        <c:axId val="49619963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Million Priv. Vehicles</a:t>
                </a:r>
              </a:p>
            </c:rich>
          </c:tx>
          <c:overlay val="0"/>
        </c:title>
        <c:numFmt formatCode="0.0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0808"/>
        <c:crosses val="autoZero"/>
        <c:crossBetween val="between"/>
      </c:valAx>
    </c:plotArea>
    <c:legend>
      <c:legendPos val="b"/>
      <c:layout>
        <c:manualLayout>
          <c:xMode val="edge"/>
          <c:yMode val="edge"/>
          <c:x val="0.10017279604922"/>
          <c:y val="0.92249740282696102"/>
          <c:w val="0.79706457546060006"/>
          <c:h val="5.2930178850727302E-2"/>
        </c:manualLayout>
      </c:layout>
      <c:overlay val="0"/>
      <c:txPr>
        <a:bodyPr/>
        <a:lstStyle/>
        <a:p>
          <a:pPr>
            <a:defRPr sz="92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815E-4455-8184-89B10D2107B8}"/>
            </c:ext>
          </c:extLst>
        </c:ser>
        <c:ser>
          <c:idx val="1"/>
          <c:order val="1"/>
          <c:tx>
            <c:strRef>
              <c:f>PTRA!$N$162</c:f>
              <c:strCache>
                <c:ptCount val="1"/>
                <c:pt idx="0">
                  <c:v>SUV</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815E-4455-8184-89B10D2107B8}"/>
            </c:ext>
          </c:extLst>
        </c:ser>
        <c:ser>
          <c:idx val="2"/>
          <c:order val="2"/>
          <c:tx>
            <c:strRef>
              <c:f>PTRA!$N$163</c:f>
              <c:strCache>
                <c:ptCount val="1"/>
                <c:pt idx="0">
                  <c:v>Motorbike</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815E-4455-8184-89B10D2107B8}"/>
            </c:ext>
          </c:extLst>
        </c:ser>
        <c:ser>
          <c:idx val="3"/>
          <c:order val="3"/>
          <c:tx>
            <c:strRef>
              <c:f>PTRA!$N$164</c:f>
              <c:strCache>
                <c:ptCount val="1"/>
                <c:pt idx="0">
                  <c:v>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815E-4455-8184-89B10D2107B8}"/>
            </c:ext>
          </c:extLst>
        </c:ser>
        <c:ser>
          <c:idx val="4"/>
          <c:order val="4"/>
          <c:tx>
            <c:strRef>
              <c:f>PTRA!$N$165</c:f>
              <c:strCache>
                <c:ptCount val="1"/>
                <c:pt idx="0">
                  <c:v>Minibus</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815E-4455-8184-89B10D2107B8}"/>
            </c:ext>
          </c:extLst>
        </c:ser>
        <c:ser>
          <c:idx val="5"/>
          <c:order val="5"/>
          <c:tx>
            <c:strRef>
              <c:f>PTRA!$N$166</c:f>
              <c:strCache>
                <c:ptCount val="1"/>
                <c:pt idx="0">
                  <c:v>BRT</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815E-4455-8184-89B10D2107B8}"/>
            </c:ext>
          </c:extLst>
        </c:ser>
        <c:ser>
          <c:idx val="6"/>
          <c:order val="6"/>
          <c:tx>
            <c:strRef>
              <c:f>PTRA!$N$167</c:f>
              <c:strCache>
                <c:ptCount val="1"/>
                <c:pt idx="0">
                  <c:v>Metro Rail</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815E-4455-8184-89B10D2107B8}"/>
            </c:ext>
          </c:extLst>
        </c:ser>
        <c:ser>
          <c:idx val="7"/>
          <c:order val="7"/>
          <c:tx>
            <c:strRef>
              <c:f>PTRA!$N$168</c:f>
              <c:strCache>
                <c:ptCount val="1"/>
                <c:pt idx="0">
                  <c:v>Gautrain</c:v>
                </c:pt>
              </c:strCache>
            </c:strRef>
          </c:tx>
          <c:invertIfNegative val="0"/>
          <c:cat>
            <c:multiLvlStrRef>
              <c:f>PTRA!$O$159:$AE$160</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815E-4455-8184-89B10D2107B8}"/>
            </c:ext>
          </c:extLst>
        </c:ser>
        <c:dLbls>
          <c:showLegendKey val="0"/>
          <c:showVal val="0"/>
          <c:showCatName val="0"/>
          <c:showSerName val="0"/>
          <c:showPercent val="0"/>
          <c:showBubbleSize val="0"/>
        </c:dLbls>
        <c:gapWidth val="72"/>
        <c:overlap val="100"/>
        <c:axId val="496202768"/>
        <c:axId val="496198848"/>
      </c:barChart>
      <c:catAx>
        <c:axId val="49620276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8848"/>
        <c:crosses val="autoZero"/>
        <c:auto val="1"/>
        <c:lblAlgn val="ctr"/>
        <c:lblOffset val="100"/>
        <c:noMultiLvlLbl val="0"/>
      </c:catAx>
      <c:valAx>
        <c:axId val="49619884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768"/>
        <c:crosses val="autoZero"/>
        <c:crossBetween val="between"/>
      </c:valAx>
    </c:plotArea>
    <c:legend>
      <c:legendPos val="r"/>
      <c:layout>
        <c:manualLayout>
          <c:xMode val="edge"/>
          <c:yMode val="edge"/>
          <c:x val="0.89382484000913598"/>
          <c:y val="0.28785092703994097"/>
          <c:w val="9.2091044122153395E-2"/>
          <c:h val="0.400000638873683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zero"/>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PTRA!$N$149</c:f>
              <c:strCache>
                <c:ptCount val="1"/>
                <c:pt idx="0">
                  <c:v>Car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PTRA!$O$149:$AE$149</c:f>
              <c:numCache>
                <c:formatCode>0.0</c:formatCode>
                <c:ptCount val="17"/>
                <c:pt idx="0" formatCode="0.00">
                  <c:v>80.780869704812559</c:v>
                </c:pt>
                <c:pt idx="1">
                  <c:v>80.152552888362095</c:v>
                </c:pt>
                <c:pt idx="2">
                  <c:v>84.125623680017213</c:v>
                </c:pt>
                <c:pt idx="3">
                  <c:v>78.575402784147585</c:v>
                </c:pt>
                <c:pt idx="4">
                  <c:v>79.324692031817534</c:v>
                </c:pt>
                <c:pt idx="5">
                  <c:v>103.01164056617978</c:v>
                </c:pt>
                <c:pt idx="6">
                  <c:v>133.05285823121142</c:v>
                </c:pt>
                <c:pt idx="7">
                  <c:v>163.53710007497739</c:v>
                </c:pt>
                <c:pt idx="9">
                  <c:v>80.780869704812559</c:v>
                </c:pt>
                <c:pt idx="10">
                  <c:v>80.152552888362095</c:v>
                </c:pt>
                <c:pt idx="11">
                  <c:v>84.125623680017213</c:v>
                </c:pt>
                <c:pt idx="12">
                  <c:v>78.575402784147585</c:v>
                </c:pt>
                <c:pt idx="13">
                  <c:v>79.324692031817534</c:v>
                </c:pt>
                <c:pt idx="14">
                  <c:v>#N/A</c:v>
                </c:pt>
                <c:pt idx="15">
                  <c:v>#N/A</c:v>
                </c:pt>
                <c:pt idx="16">
                  <c:v>#N/A</c:v>
                </c:pt>
              </c:numCache>
            </c:numRef>
          </c:val>
          <c:extLst>
            <c:ext xmlns:c16="http://schemas.microsoft.com/office/drawing/2014/chart" uri="{C3380CC4-5D6E-409C-BE32-E72D297353CC}">
              <c16:uniqueId val="{00000000-932F-4A42-AC3D-D835212459A4}"/>
            </c:ext>
          </c:extLst>
        </c:ser>
        <c:ser>
          <c:idx val="1"/>
          <c:order val="1"/>
          <c:tx>
            <c:strRef>
              <c:f>PTRA!$N$150</c:f>
              <c:strCache>
                <c:ptCount val="1"/>
                <c:pt idx="0">
                  <c:v>SUV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PTRA!$O$150:$AE$150</c:f>
              <c:numCache>
                <c:formatCode>0.0</c:formatCode>
                <c:ptCount val="17"/>
                <c:pt idx="0">
                  <c:v>13.247884240663684</c:v>
                </c:pt>
                <c:pt idx="1">
                  <c:v>17.032417488776947</c:v>
                </c:pt>
                <c:pt idx="2">
                  <c:v>17.87669503200366</c:v>
                </c:pt>
                <c:pt idx="3">
                  <c:v>16.697273091631363</c:v>
                </c:pt>
                <c:pt idx="4">
                  <c:v>16.856497056761228</c:v>
                </c:pt>
                <c:pt idx="5">
                  <c:v>21.889973620313206</c:v>
                </c:pt>
                <c:pt idx="6">
                  <c:v>28.273732374132432</c:v>
                </c:pt>
                <c:pt idx="7">
                  <c:v>34.751633765932695</c:v>
                </c:pt>
                <c:pt idx="9">
                  <c:v>13.247884240663684</c:v>
                </c:pt>
                <c:pt idx="10">
                  <c:v>17.032417488776947</c:v>
                </c:pt>
                <c:pt idx="11">
                  <c:v>17.87669503200366</c:v>
                </c:pt>
                <c:pt idx="12">
                  <c:v>16.697273091631363</c:v>
                </c:pt>
                <c:pt idx="13">
                  <c:v>16.856497056761228</c:v>
                </c:pt>
                <c:pt idx="14">
                  <c:v>#N/A</c:v>
                </c:pt>
                <c:pt idx="15">
                  <c:v>#N/A</c:v>
                </c:pt>
                <c:pt idx="16">
                  <c:v>#N/A</c:v>
                </c:pt>
              </c:numCache>
            </c:numRef>
          </c:val>
          <c:extLst>
            <c:ext xmlns:c16="http://schemas.microsoft.com/office/drawing/2014/chart" uri="{C3380CC4-5D6E-409C-BE32-E72D297353CC}">
              <c16:uniqueId val="{00000001-932F-4A42-AC3D-D835212459A4}"/>
            </c:ext>
          </c:extLst>
        </c:ser>
        <c:ser>
          <c:idx val="2"/>
          <c:order val="2"/>
          <c:tx>
            <c:strRef>
              <c:f>PTRA!$N$151</c:f>
              <c:strCache>
                <c:ptCount val="1"/>
                <c:pt idx="0">
                  <c:v>Motorbikes Priv.Veh.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PTRA!$O$151:$AE$151</c:f>
              <c:numCache>
                <c:formatCode>0.0</c:formatCode>
                <c:ptCount val="17"/>
                <c:pt idx="0">
                  <c:v>2.838832337285075</c:v>
                </c:pt>
                <c:pt idx="1">
                  <c:v>3.0057207333135785</c:v>
                </c:pt>
                <c:pt idx="2">
                  <c:v>3.1547108880006456</c:v>
                </c:pt>
                <c:pt idx="3">
                  <c:v>2.9465776044055345</c:v>
                </c:pt>
                <c:pt idx="4">
                  <c:v>2.9746759511931575</c:v>
                </c:pt>
                <c:pt idx="5">
                  <c:v>3.8629365212317421</c:v>
                </c:pt>
                <c:pt idx="6">
                  <c:v>4.9894821836704288</c:v>
                </c:pt>
                <c:pt idx="7">
                  <c:v>6.1326412528116521</c:v>
                </c:pt>
                <c:pt idx="9">
                  <c:v>2.838832337285075</c:v>
                </c:pt>
                <c:pt idx="10">
                  <c:v>3.0057207333135785</c:v>
                </c:pt>
                <c:pt idx="11">
                  <c:v>3.1547108880006456</c:v>
                </c:pt>
                <c:pt idx="12">
                  <c:v>2.9465776044055345</c:v>
                </c:pt>
                <c:pt idx="13">
                  <c:v>2.9746759511931575</c:v>
                </c:pt>
                <c:pt idx="14">
                  <c:v>#N/A</c:v>
                </c:pt>
                <c:pt idx="15">
                  <c:v>#N/A</c:v>
                </c:pt>
                <c:pt idx="16">
                  <c:v>#N/A</c:v>
                </c:pt>
              </c:numCache>
            </c:numRef>
          </c:val>
          <c:extLst>
            <c:ext xmlns:c16="http://schemas.microsoft.com/office/drawing/2014/chart" uri="{C3380CC4-5D6E-409C-BE32-E72D297353CC}">
              <c16:uniqueId val="{00000002-932F-4A42-AC3D-D835212459A4}"/>
            </c:ext>
          </c:extLst>
        </c:ser>
        <c:ser>
          <c:idx val="3"/>
          <c:order val="3"/>
          <c:tx>
            <c:strRef>
              <c:f>PTRA!$N$152</c:f>
              <c:strCache>
                <c:ptCount val="1"/>
                <c:pt idx="0">
                  <c:v>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PTRA!$O$152:$AE$152</c:f>
              <c:numCache>
                <c:formatCode>0.0</c:formatCode>
                <c:ptCount val="17"/>
                <c:pt idx="0">
                  <c:v>1.1267099528419922</c:v>
                </c:pt>
                <c:pt idx="1">
                  <c:v>0.74009062785460766</c:v>
                </c:pt>
                <c:pt idx="2">
                  <c:v>0.7570387419116027</c:v>
                </c:pt>
                <c:pt idx="3">
                  <c:v>0.77061635068181966</c:v>
                </c:pt>
                <c:pt idx="4">
                  <c:v>0.78157163306235522</c:v>
                </c:pt>
                <c:pt idx="5">
                  <c:v>0.79573733662150214</c:v>
                </c:pt>
                <c:pt idx="6">
                  <c:v>0.76289936796133118</c:v>
                </c:pt>
                <c:pt idx="7">
                  <c:v>0.71012069602307804</c:v>
                </c:pt>
                <c:pt idx="9">
                  <c:v>1.1267099528419922</c:v>
                </c:pt>
                <c:pt idx="10">
                  <c:v>0.74009062785460766</c:v>
                </c:pt>
                <c:pt idx="11">
                  <c:v>0.7570387419116027</c:v>
                </c:pt>
                <c:pt idx="12">
                  <c:v>0.77061635068181966</c:v>
                </c:pt>
                <c:pt idx="13">
                  <c:v>0.78157163306235522</c:v>
                </c:pt>
                <c:pt idx="14">
                  <c:v>#N/A</c:v>
                </c:pt>
                <c:pt idx="15">
                  <c:v>#N/A</c:v>
                </c:pt>
                <c:pt idx="16">
                  <c:v>#N/A</c:v>
                </c:pt>
              </c:numCache>
            </c:numRef>
          </c:val>
          <c:extLst>
            <c:ext xmlns:c16="http://schemas.microsoft.com/office/drawing/2014/chart" uri="{C3380CC4-5D6E-409C-BE32-E72D297353CC}">
              <c16:uniqueId val="{00000003-932F-4A42-AC3D-D835212459A4}"/>
            </c:ext>
          </c:extLst>
        </c:ser>
        <c:ser>
          <c:idx val="4"/>
          <c:order val="4"/>
          <c:tx>
            <c:strRef>
              <c:f>PTRA!$N$153</c:f>
              <c:strCache>
                <c:ptCount val="1"/>
                <c:pt idx="0">
                  <c:v>Minibus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PTRA!$O$153:$AE$153</c:f>
              <c:numCache>
                <c:formatCode>0.0</c:formatCode>
                <c:ptCount val="17"/>
                <c:pt idx="0">
                  <c:v>6.7748466130043186</c:v>
                </c:pt>
                <c:pt idx="1">
                  <c:v>6.9919276256051859</c:v>
                </c:pt>
                <c:pt idx="2">
                  <c:v>7.1520431336484673</c:v>
                </c:pt>
                <c:pt idx="3">
                  <c:v>7.2803161508670957</c:v>
                </c:pt>
                <c:pt idx="4">
                  <c:v>7.3838150179515463</c:v>
                </c:pt>
                <c:pt idx="5">
                  <c:v>7.5176439982460925</c:v>
                </c:pt>
                <c:pt idx="6">
                  <c:v>7.2074107759860322</c:v>
                </c:pt>
                <c:pt idx="7">
                  <c:v>6.7087898767624283</c:v>
                </c:pt>
                <c:pt idx="9">
                  <c:v>6.7748466130043186</c:v>
                </c:pt>
                <c:pt idx="10">
                  <c:v>6.9919276256051859</c:v>
                </c:pt>
                <c:pt idx="11">
                  <c:v>7.1520431336484673</c:v>
                </c:pt>
                <c:pt idx="12">
                  <c:v>7.2803161508670957</c:v>
                </c:pt>
                <c:pt idx="13">
                  <c:v>7.3838150179515463</c:v>
                </c:pt>
                <c:pt idx="14">
                  <c:v>#N/A</c:v>
                </c:pt>
                <c:pt idx="15">
                  <c:v>#N/A</c:v>
                </c:pt>
                <c:pt idx="16">
                  <c:v>#N/A</c:v>
                </c:pt>
              </c:numCache>
            </c:numRef>
          </c:val>
          <c:extLst>
            <c:ext xmlns:c16="http://schemas.microsoft.com/office/drawing/2014/chart" uri="{C3380CC4-5D6E-409C-BE32-E72D297353CC}">
              <c16:uniqueId val="{00000004-932F-4A42-AC3D-D835212459A4}"/>
            </c:ext>
          </c:extLst>
        </c:ser>
        <c:ser>
          <c:idx val="5"/>
          <c:order val="5"/>
          <c:tx>
            <c:strRef>
              <c:f>PTRA!$N$154</c:f>
              <c:strCache>
                <c:ptCount val="1"/>
                <c:pt idx="0">
                  <c:v>BRT vehicle km</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PTRA!$O$154:$AE$154</c:f>
              <c:numCache>
                <c:formatCode>0.0</c:formatCode>
                <c:ptCount val="17"/>
                <c:pt idx="0">
                  <c:v>3.2055500417449041E-2</c:v>
                </c:pt>
                <c:pt idx="1">
                  <c:v>6.2982743372587108E-2</c:v>
                </c:pt>
                <c:pt idx="2">
                  <c:v>0.10097884850612647</c:v>
                </c:pt>
                <c:pt idx="3">
                  <c:v>0.10238010429217448</c:v>
                </c:pt>
                <c:pt idx="4">
                  <c:v>0.2942392564401286</c:v>
                </c:pt>
                <c:pt idx="5">
                  <c:v>0.56679170772868903</c:v>
                </c:pt>
                <c:pt idx="6">
                  <c:v>1.0840550139434115</c:v>
                </c:pt>
                <c:pt idx="7">
                  <c:v>1.5755840025137724</c:v>
                </c:pt>
                <c:pt idx="9">
                  <c:v>3.2055500417449041E-2</c:v>
                </c:pt>
                <c:pt idx="10">
                  <c:v>6.2982743372587108E-2</c:v>
                </c:pt>
                <c:pt idx="11">
                  <c:v>0.10097884850612647</c:v>
                </c:pt>
                <c:pt idx="12">
                  <c:v>0.10238010429217448</c:v>
                </c:pt>
                <c:pt idx="13">
                  <c:v>0.2942392564401286</c:v>
                </c:pt>
                <c:pt idx="14">
                  <c:v>#N/A</c:v>
                </c:pt>
                <c:pt idx="15">
                  <c:v>#N/A</c:v>
                </c:pt>
                <c:pt idx="16">
                  <c:v>#N/A</c:v>
                </c:pt>
              </c:numCache>
            </c:numRef>
          </c:val>
          <c:extLst>
            <c:ext xmlns:c16="http://schemas.microsoft.com/office/drawing/2014/chart" uri="{C3380CC4-5D6E-409C-BE32-E72D297353CC}">
              <c16:uniqueId val="{00000005-932F-4A42-AC3D-D835212459A4}"/>
            </c:ext>
          </c:extLst>
        </c:ser>
        <c:dLbls>
          <c:showLegendKey val="0"/>
          <c:showVal val="0"/>
          <c:showCatName val="0"/>
          <c:showSerName val="0"/>
          <c:showPercent val="0"/>
          <c:showBubbleSize val="0"/>
        </c:dLbls>
        <c:gapWidth val="150"/>
        <c:overlap val="100"/>
        <c:axId val="496202376"/>
        <c:axId val="496201592"/>
      </c:barChart>
      <c:catAx>
        <c:axId val="496202376"/>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1592"/>
        <c:crosses val="autoZero"/>
        <c:auto val="1"/>
        <c:lblAlgn val="ctr"/>
        <c:lblOffset val="100"/>
        <c:noMultiLvlLbl val="0"/>
      </c:catAx>
      <c:valAx>
        <c:axId val="496201592"/>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Vehkm (road Vehicles)</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2376"/>
        <c:crosses val="autoZero"/>
        <c:crossBetween val="between"/>
      </c:valAx>
    </c:plotArea>
    <c:legend>
      <c:legendPos val="r"/>
      <c:layout>
        <c:manualLayout>
          <c:xMode val="edge"/>
          <c:yMode val="edge"/>
          <c:x val="0.783809706056944"/>
          <c:y val="0.324000949221531"/>
          <c:w val="0.19867688462779501"/>
          <c:h val="0.32647493019059298"/>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PTRA!$N$161</c:f>
              <c:strCache>
                <c:ptCount val="1"/>
                <c:pt idx="0">
                  <c:v>Car</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PTRA!$O$161:$AE$161</c:f>
              <c:numCache>
                <c:formatCode>0.0</c:formatCode>
                <c:ptCount val="17"/>
                <c:pt idx="0">
                  <c:v>113.09321758673757</c:v>
                </c:pt>
                <c:pt idx="1">
                  <c:v>112.21357404370687</c:v>
                </c:pt>
                <c:pt idx="2">
                  <c:v>117.77587315202406</c:v>
                </c:pt>
                <c:pt idx="3">
                  <c:v>110.00556389780662</c:v>
                </c:pt>
                <c:pt idx="4">
                  <c:v>111.05456884454453</c:v>
                </c:pt>
                <c:pt idx="5">
                  <c:v>144.21629679265169</c:v>
                </c:pt>
                <c:pt idx="6">
                  <c:v>186.27400152369597</c:v>
                </c:pt>
                <c:pt idx="7">
                  <c:v>228.95194010496829</c:v>
                </c:pt>
                <c:pt idx="9">
                  <c:v>113.09321758673757</c:v>
                </c:pt>
                <c:pt idx="10">
                  <c:v>112.21357404370687</c:v>
                </c:pt>
                <c:pt idx="11">
                  <c:v>117.77587315202406</c:v>
                </c:pt>
                <c:pt idx="12">
                  <c:v>110.00556389780662</c:v>
                </c:pt>
                <c:pt idx="13">
                  <c:v>111.05456884454453</c:v>
                </c:pt>
                <c:pt idx="14">
                  <c:v>#N/A</c:v>
                </c:pt>
                <c:pt idx="15">
                  <c:v>#N/A</c:v>
                </c:pt>
                <c:pt idx="16">
                  <c:v>#N/A</c:v>
                </c:pt>
              </c:numCache>
            </c:numRef>
          </c:val>
          <c:extLst>
            <c:ext xmlns:c16="http://schemas.microsoft.com/office/drawing/2014/chart" uri="{C3380CC4-5D6E-409C-BE32-E72D297353CC}">
              <c16:uniqueId val="{00000000-F634-447C-BF2D-DB61460FBE28}"/>
            </c:ext>
          </c:extLst>
        </c:ser>
        <c:ser>
          <c:idx val="1"/>
          <c:order val="1"/>
          <c:tx>
            <c:strRef>
              <c:f>PTRA!$N$162</c:f>
              <c:strCache>
                <c:ptCount val="1"/>
                <c:pt idx="0">
                  <c:v>SUV</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PTRA!$O$162:$AE$162</c:f>
              <c:numCache>
                <c:formatCode>0.0</c:formatCode>
                <c:ptCount val="17"/>
                <c:pt idx="0">
                  <c:v>18.547037936929154</c:v>
                </c:pt>
                <c:pt idx="1">
                  <c:v>23.845384484287713</c:v>
                </c:pt>
                <c:pt idx="2">
                  <c:v>25.027373044805117</c:v>
                </c:pt>
                <c:pt idx="3">
                  <c:v>23.37618232828391</c:v>
                </c:pt>
                <c:pt idx="4">
                  <c:v>23.599095879465718</c:v>
                </c:pt>
                <c:pt idx="5">
                  <c:v>30.645963068438487</c:v>
                </c:pt>
                <c:pt idx="6">
                  <c:v>39.583225323785399</c:v>
                </c:pt>
                <c:pt idx="7">
                  <c:v>48.65228727230577</c:v>
                </c:pt>
                <c:pt idx="9">
                  <c:v>18.547037936929154</c:v>
                </c:pt>
                <c:pt idx="10">
                  <c:v>23.845384484287713</c:v>
                </c:pt>
                <c:pt idx="11">
                  <c:v>25.027373044805117</c:v>
                </c:pt>
                <c:pt idx="12">
                  <c:v>23.37618232828391</c:v>
                </c:pt>
                <c:pt idx="13">
                  <c:v>23.599095879465718</c:v>
                </c:pt>
                <c:pt idx="14">
                  <c:v>#N/A</c:v>
                </c:pt>
                <c:pt idx="15">
                  <c:v>#N/A</c:v>
                </c:pt>
                <c:pt idx="16">
                  <c:v>#N/A</c:v>
                </c:pt>
              </c:numCache>
            </c:numRef>
          </c:val>
          <c:extLst>
            <c:ext xmlns:c16="http://schemas.microsoft.com/office/drawing/2014/chart" uri="{C3380CC4-5D6E-409C-BE32-E72D297353CC}">
              <c16:uniqueId val="{00000001-F634-447C-BF2D-DB61460FBE28}"/>
            </c:ext>
          </c:extLst>
        </c:ser>
        <c:ser>
          <c:idx val="2"/>
          <c:order val="2"/>
          <c:tx>
            <c:strRef>
              <c:f>PTRA!$N$163</c:f>
              <c:strCache>
                <c:ptCount val="1"/>
                <c:pt idx="0">
                  <c:v>Motorbike</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PTRA!$O$163:$AE$163</c:f>
              <c:numCache>
                <c:formatCode>0.0</c:formatCode>
                <c:ptCount val="17"/>
                <c:pt idx="0">
                  <c:v>3.9743652721991038</c:v>
                </c:pt>
                <c:pt idx="1">
                  <c:v>4.208009026639008</c:v>
                </c:pt>
                <c:pt idx="2">
                  <c:v>4.4165952432009021</c:v>
                </c:pt>
                <c:pt idx="3">
                  <c:v>4.1252086461677484</c:v>
                </c:pt>
                <c:pt idx="4">
                  <c:v>4.1645463316704205</c:v>
                </c:pt>
                <c:pt idx="5">
                  <c:v>5.4081111297244382</c:v>
                </c:pt>
                <c:pt idx="6">
                  <c:v>6.9852750571385993</c:v>
                </c:pt>
                <c:pt idx="7">
                  <c:v>8.5856977539363104</c:v>
                </c:pt>
                <c:pt idx="9">
                  <c:v>3.9743652721991038</c:v>
                </c:pt>
                <c:pt idx="10">
                  <c:v>4.208009026639008</c:v>
                </c:pt>
                <c:pt idx="11">
                  <c:v>4.4165952432009021</c:v>
                </c:pt>
                <c:pt idx="12">
                  <c:v>4.1252086461677484</c:v>
                </c:pt>
                <c:pt idx="13">
                  <c:v>4.1645463316704205</c:v>
                </c:pt>
                <c:pt idx="14">
                  <c:v>#N/A</c:v>
                </c:pt>
                <c:pt idx="15">
                  <c:v>#N/A</c:v>
                </c:pt>
                <c:pt idx="16">
                  <c:v>#N/A</c:v>
                </c:pt>
              </c:numCache>
            </c:numRef>
          </c:val>
          <c:extLst>
            <c:ext xmlns:c16="http://schemas.microsoft.com/office/drawing/2014/chart" uri="{C3380CC4-5D6E-409C-BE32-E72D297353CC}">
              <c16:uniqueId val="{00000002-F634-447C-BF2D-DB61460FBE28}"/>
            </c:ext>
          </c:extLst>
        </c:ser>
        <c:ser>
          <c:idx val="3"/>
          <c:order val="3"/>
          <c:tx>
            <c:strRef>
              <c:f>PTRA!$N$164</c:f>
              <c:strCache>
                <c:ptCount val="1"/>
                <c:pt idx="0">
                  <c:v>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PTRA!$O$164:$AE$164</c:f>
              <c:numCache>
                <c:formatCode>0.0</c:formatCode>
                <c:ptCount val="17"/>
                <c:pt idx="0">
                  <c:v>28.167748821049805</c:v>
                </c:pt>
                <c:pt idx="1">
                  <c:v>18.502265696365193</c:v>
                </c:pt>
                <c:pt idx="2">
                  <c:v>18.925968547790067</c:v>
                </c:pt>
                <c:pt idx="3">
                  <c:v>19.265408767045493</c:v>
                </c:pt>
                <c:pt idx="4">
                  <c:v>19.539290826558879</c:v>
                </c:pt>
                <c:pt idx="5">
                  <c:v>19.893433415537555</c:v>
                </c:pt>
                <c:pt idx="6">
                  <c:v>19.07248419903328</c:v>
                </c:pt>
                <c:pt idx="7">
                  <c:v>17.753017400576951</c:v>
                </c:pt>
                <c:pt idx="9">
                  <c:v>28.167748821049805</c:v>
                </c:pt>
                <c:pt idx="10">
                  <c:v>18.502265696365193</c:v>
                </c:pt>
                <c:pt idx="11">
                  <c:v>18.925968547790067</c:v>
                </c:pt>
                <c:pt idx="12">
                  <c:v>19.265408767045493</c:v>
                </c:pt>
                <c:pt idx="13">
                  <c:v>19.539290826558879</c:v>
                </c:pt>
                <c:pt idx="14">
                  <c:v>#N/A</c:v>
                </c:pt>
                <c:pt idx="15">
                  <c:v>#N/A</c:v>
                </c:pt>
                <c:pt idx="16">
                  <c:v>#N/A</c:v>
                </c:pt>
              </c:numCache>
            </c:numRef>
          </c:val>
          <c:extLst>
            <c:ext xmlns:c16="http://schemas.microsoft.com/office/drawing/2014/chart" uri="{C3380CC4-5D6E-409C-BE32-E72D297353CC}">
              <c16:uniqueId val="{00000003-F634-447C-BF2D-DB61460FBE28}"/>
            </c:ext>
          </c:extLst>
        </c:ser>
        <c:ser>
          <c:idx val="4"/>
          <c:order val="4"/>
          <c:tx>
            <c:strRef>
              <c:f>PTRA!$N$165</c:f>
              <c:strCache>
                <c:ptCount val="1"/>
                <c:pt idx="0">
                  <c:v>Minibus</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PTRA!$O$165:$AE$165</c:f>
              <c:numCache>
                <c:formatCode>0.0</c:formatCode>
                <c:ptCount val="17"/>
                <c:pt idx="0">
                  <c:v>94.847852582060455</c:v>
                </c:pt>
                <c:pt idx="1">
                  <c:v>97.886986758472602</c:v>
                </c:pt>
                <c:pt idx="2">
                  <c:v>100.12860387107854</c:v>
                </c:pt>
                <c:pt idx="3">
                  <c:v>101.92442611213934</c:v>
                </c:pt>
                <c:pt idx="4">
                  <c:v>103.37341025132164</c:v>
                </c:pt>
                <c:pt idx="5">
                  <c:v>105.24701597544529</c:v>
                </c:pt>
                <c:pt idx="6">
                  <c:v>100.90375086380445</c:v>
                </c:pt>
                <c:pt idx="7">
                  <c:v>93.923058274673991</c:v>
                </c:pt>
                <c:pt idx="9">
                  <c:v>94.847852582060455</c:v>
                </c:pt>
                <c:pt idx="10">
                  <c:v>97.886986758472602</c:v>
                </c:pt>
                <c:pt idx="11">
                  <c:v>100.12860387107854</c:v>
                </c:pt>
                <c:pt idx="12">
                  <c:v>101.92442611213934</c:v>
                </c:pt>
                <c:pt idx="13">
                  <c:v>103.37341025132164</c:v>
                </c:pt>
                <c:pt idx="14">
                  <c:v>#N/A</c:v>
                </c:pt>
                <c:pt idx="15">
                  <c:v>#N/A</c:v>
                </c:pt>
                <c:pt idx="16">
                  <c:v>#N/A</c:v>
                </c:pt>
              </c:numCache>
            </c:numRef>
          </c:val>
          <c:extLst>
            <c:ext xmlns:c16="http://schemas.microsoft.com/office/drawing/2014/chart" uri="{C3380CC4-5D6E-409C-BE32-E72D297353CC}">
              <c16:uniqueId val="{00000004-F634-447C-BF2D-DB61460FBE28}"/>
            </c:ext>
          </c:extLst>
        </c:ser>
        <c:ser>
          <c:idx val="5"/>
          <c:order val="5"/>
          <c:tx>
            <c:strRef>
              <c:f>PTRA!$N$166</c:f>
              <c:strCache>
                <c:ptCount val="1"/>
                <c:pt idx="0">
                  <c:v>BRT</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PTRA!$O$166:$AE$166</c:f>
              <c:numCache>
                <c:formatCode>0.0</c:formatCode>
                <c:ptCount val="17"/>
                <c:pt idx="0">
                  <c:v>0.80138751043622602</c:v>
                </c:pt>
                <c:pt idx="1">
                  <c:v>1.5745685843146777</c:v>
                </c:pt>
                <c:pt idx="2">
                  <c:v>2.5244712126531619</c:v>
                </c:pt>
                <c:pt idx="3">
                  <c:v>2.5595026073043621</c:v>
                </c:pt>
                <c:pt idx="4">
                  <c:v>7.3559814110032153</c:v>
                </c:pt>
                <c:pt idx="5">
                  <c:v>14.169792693217225</c:v>
                </c:pt>
                <c:pt idx="6">
                  <c:v>27.10137534858529</c:v>
                </c:pt>
                <c:pt idx="7">
                  <c:v>39.389600062844309</c:v>
                </c:pt>
                <c:pt idx="9">
                  <c:v>0.80138751043622602</c:v>
                </c:pt>
                <c:pt idx="10">
                  <c:v>1.5745685843146777</c:v>
                </c:pt>
                <c:pt idx="11">
                  <c:v>2.5244712126531619</c:v>
                </c:pt>
                <c:pt idx="12">
                  <c:v>2.5595026073043621</c:v>
                </c:pt>
                <c:pt idx="13">
                  <c:v>7.3559814110032153</c:v>
                </c:pt>
                <c:pt idx="14">
                  <c:v>#N/A</c:v>
                </c:pt>
                <c:pt idx="15">
                  <c:v>#N/A</c:v>
                </c:pt>
                <c:pt idx="16">
                  <c:v>#N/A</c:v>
                </c:pt>
              </c:numCache>
            </c:numRef>
          </c:val>
          <c:extLst>
            <c:ext xmlns:c16="http://schemas.microsoft.com/office/drawing/2014/chart" uri="{C3380CC4-5D6E-409C-BE32-E72D297353CC}">
              <c16:uniqueId val="{00000005-F634-447C-BF2D-DB61460FBE28}"/>
            </c:ext>
          </c:extLst>
        </c:ser>
        <c:ser>
          <c:idx val="6"/>
          <c:order val="6"/>
          <c:tx>
            <c:strRef>
              <c:f>PTRA!$N$167</c:f>
              <c:strCache>
                <c:ptCount val="1"/>
                <c:pt idx="0">
                  <c:v>Metro Rail</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PTRA!$O$167:$AE$167</c:f>
              <c:numCache>
                <c:formatCode>0.0</c:formatCode>
                <c:ptCount val="17"/>
                <c:pt idx="0">
                  <c:v>12.322446292964566</c:v>
                </c:pt>
                <c:pt idx="1">
                  <c:v>8.6260563043864682</c:v>
                </c:pt>
                <c:pt idx="2">
                  <c:v>8.8235934445777957</c:v>
                </c:pt>
                <c:pt idx="3">
                  <c:v>8.9818459792306626</c:v>
                </c:pt>
                <c:pt idx="4">
                  <c:v>9.109534236706498</c:v>
                </c:pt>
                <c:pt idx="5">
                  <c:v>9.2746412545411498</c:v>
                </c:pt>
                <c:pt idx="6">
                  <c:v>8.8919014171168609</c:v>
                </c:pt>
                <c:pt idx="7">
                  <c:v>8.2767445989176256</c:v>
                </c:pt>
                <c:pt idx="9">
                  <c:v>12.322446292964566</c:v>
                </c:pt>
                <c:pt idx="10">
                  <c:v>8.6260563043864682</c:v>
                </c:pt>
                <c:pt idx="11">
                  <c:v>8.8235934445777957</c:v>
                </c:pt>
                <c:pt idx="12">
                  <c:v>8.9818459792306626</c:v>
                </c:pt>
                <c:pt idx="13">
                  <c:v>9.109534236706498</c:v>
                </c:pt>
                <c:pt idx="14">
                  <c:v>#N/A</c:v>
                </c:pt>
                <c:pt idx="15">
                  <c:v>#N/A</c:v>
                </c:pt>
                <c:pt idx="16">
                  <c:v>#N/A</c:v>
                </c:pt>
              </c:numCache>
            </c:numRef>
          </c:val>
          <c:extLst>
            <c:ext xmlns:c16="http://schemas.microsoft.com/office/drawing/2014/chart" uri="{C3380CC4-5D6E-409C-BE32-E72D297353CC}">
              <c16:uniqueId val="{00000006-F634-447C-BF2D-DB61460FBE28}"/>
            </c:ext>
          </c:extLst>
        </c:ser>
        <c:ser>
          <c:idx val="7"/>
          <c:order val="7"/>
          <c:tx>
            <c:strRef>
              <c:f>PTRA!$N$168</c:f>
              <c:strCache>
                <c:ptCount val="1"/>
                <c:pt idx="0">
                  <c:v>Gautrain</c:v>
                </c:pt>
              </c:strCache>
            </c:strRef>
          </c:tx>
          <c:invertIfNegative val="0"/>
          <c:cat>
            <c:multiLvlStrRef>
              <c:f>PTRA!$O$147:$AE$148</c:f>
              <c:multiLvlStrCache>
                <c:ptCount val="17"/>
                <c:lvl>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lvl>
                <c:lvl>
                  <c:pt idx="0">
                    <c:v>Reference</c:v>
                  </c:pt>
                  <c:pt idx="9">
                    <c:v>Scenario</c:v>
                  </c:pt>
                </c:lvl>
              </c:multiLvlStrCache>
            </c:multiLvlStrRef>
          </c:cat>
          <c:val>
            <c:numRef>
              <c:f>PTRA!$O$168:$AE$168</c:f>
              <c:numCache>
                <c:formatCode>0.0</c:formatCode>
                <c:ptCount val="17"/>
                <c:pt idx="0">
                  <c:v>0.60923770891438467</c:v>
                </c:pt>
                <c:pt idx="1">
                  <c:v>0.64854136839212595</c:v>
                </c:pt>
                <c:pt idx="2">
                  <c:v>0.6995709084876961</c:v>
                </c:pt>
                <c:pt idx="3">
                  <c:v>0.6476760572601008</c:v>
                </c:pt>
                <c:pt idx="4">
                  <c:v>0.64850440608752602</c:v>
                </c:pt>
                <c:pt idx="5">
                  <c:v>0.84139460790012854</c:v>
                </c:pt>
                <c:pt idx="6">
                  <c:v>1.0461686783454414</c:v>
                </c:pt>
                <c:pt idx="7">
                  <c:v>1.2423738452190181</c:v>
                </c:pt>
                <c:pt idx="9">
                  <c:v>0.60923770891438467</c:v>
                </c:pt>
                <c:pt idx="10">
                  <c:v>0.64854136839212595</c:v>
                </c:pt>
                <c:pt idx="11">
                  <c:v>0.6995709084876961</c:v>
                </c:pt>
                <c:pt idx="12">
                  <c:v>0.6476760572601008</c:v>
                </c:pt>
                <c:pt idx="13">
                  <c:v>0.64850440608752602</c:v>
                </c:pt>
                <c:pt idx="14">
                  <c:v>#N/A</c:v>
                </c:pt>
                <c:pt idx="15">
                  <c:v>#N/A</c:v>
                </c:pt>
                <c:pt idx="16">
                  <c:v>#N/A</c:v>
                </c:pt>
              </c:numCache>
            </c:numRef>
          </c:val>
          <c:extLst>
            <c:ext xmlns:c16="http://schemas.microsoft.com/office/drawing/2014/chart" uri="{C3380CC4-5D6E-409C-BE32-E72D297353CC}">
              <c16:uniqueId val="{00000007-F634-447C-BF2D-DB61460FBE28}"/>
            </c:ext>
          </c:extLst>
        </c:ser>
        <c:dLbls>
          <c:showLegendKey val="0"/>
          <c:showVal val="0"/>
          <c:showCatName val="0"/>
          <c:showSerName val="0"/>
          <c:showPercent val="0"/>
          <c:showBubbleSize val="0"/>
        </c:dLbls>
        <c:gapWidth val="71"/>
        <c:overlap val="100"/>
        <c:axId val="496197672"/>
        <c:axId val="496204336"/>
      </c:barChart>
      <c:catAx>
        <c:axId val="496197672"/>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204336"/>
        <c:crosses val="autoZero"/>
        <c:auto val="1"/>
        <c:lblAlgn val="ctr"/>
        <c:lblOffset val="100"/>
        <c:noMultiLvlLbl val="0"/>
      </c:catAx>
      <c:valAx>
        <c:axId val="496204336"/>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ZA"/>
                  <a:t>Billion p-km</a:t>
                </a:r>
              </a:p>
            </c:rich>
          </c:tx>
          <c:overlay val="0"/>
        </c:title>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496197672"/>
        <c:crosses val="autoZero"/>
        <c:crossBetween val="between"/>
      </c:valAx>
    </c:plotArea>
    <c:legend>
      <c:legendPos val="r"/>
      <c:layout>
        <c:manualLayout>
          <c:xMode val="edge"/>
          <c:yMode val="edge"/>
          <c:x val="0.90666687748020802"/>
          <c:y val="0.274000802736727"/>
          <c:w val="8.0952399775018599E-2"/>
          <c:h val="0.428001253909924"/>
        </c:manualLayout>
      </c:layout>
      <c:overlay val="0"/>
      <c:txPr>
        <a:bodyPr/>
        <a:lstStyle/>
        <a:p>
          <a:pPr>
            <a:defRPr sz="845"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Access</a:t>
            </a:r>
            <a:r>
              <a:rPr lang="en-ZA" baseline="0"/>
              <a:t> to a priv.veh.</a:t>
            </a:r>
            <a:endParaRPr lang="en-ZA"/>
          </a:p>
        </c:rich>
      </c:tx>
      <c:overlay val="1"/>
    </c:title>
    <c:autoTitleDeleted val="0"/>
    <c:plotArea>
      <c:layout/>
      <c:barChart>
        <c:barDir val="col"/>
        <c:grouping val="clustered"/>
        <c:varyColors val="0"/>
        <c:ser>
          <c:idx val="0"/>
          <c:order val="0"/>
          <c:tx>
            <c:strRef>
              <c:f>PTRA!$C$25</c:f>
              <c:strCache>
                <c:ptCount val="1"/>
                <c:pt idx="0">
                  <c:v>Low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PTRA!$O$25:$AE$25</c:f>
              <c:numCache>
                <c:formatCode>0%</c:formatCode>
                <c:ptCount val="17"/>
                <c:pt idx="0">
                  <c:v>0.02</c:v>
                </c:pt>
                <c:pt idx="1">
                  <c:v>0.02</c:v>
                </c:pt>
                <c:pt idx="2">
                  <c:v>0.02</c:v>
                </c:pt>
                <c:pt idx="3">
                  <c:v>0.02</c:v>
                </c:pt>
                <c:pt idx="4">
                  <c:v>0.02</c:v>
                </c:pt>
                <c:pt idx="5">
                  <c:v>0.02</c:v>
                </c:pt>
                <c:pt idx="6">
                  <c:v>0.02</c:v>
                </c:pt>
                <c:pt idx="7">
                  <c:v>0.02</c:v>
                </c:pt>
                <c:pt idx="9">
                  <c:v>0.02</c:v>
                </c:pt>
                <c:pt idx="10">
                  <c:v>0.02</c:v>
                </c:pt>
                <c:pt idx="11">
                  <c:v>0.02</c:v>
                </c:pt>
                <c:pt idx="12">
                  <c:v>0.02</c:v>
                </c:pt>
                <c:pt idx="13">
                  <c:v>0.02</c:v>
                </c:pt>
                <c:pt idx="14">
                  <c:v>0.05</c:v>
                </c:pt>
                <c:pt idx="15">
                  <c:v>0.04</c:v>
                </c:pt>
                <c:pt idx="16">
                  <c:v>0.04</c:v>
                </c:pt>
              </c:numCache>
            </c:numRef>
          </c:val>
          <c:extLst>
            <c:ext xmlns:c16="http://schemas.microsoft.com/office/drawing/2014/chart" uri="{C3380CC4-5D6E-409C-BE32-E72D297353CC}">
              <c16:uniqueId val="{00000000-DF7F-4E0B-8024-7358AAD6B641}"/>
            </c:ext>
          </c:extLst>
        </c:ser>
        <c:ser>
          <c:idx val="1"/>
          <c:order val="1"/>
          <c:tx>
            <c:strRef>
              <c:f>PTRA!$C$26</c:f>
              <c:strCache>
                <c:ptCount val="1"/>
                <c:pt idx="0">
                  <c:v>Middle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PTRA!$O$26:$AE$26</c:f>
              <c:numCache>
                <c:formatCode>0%</c:formatCode>
                <c:ptCount val="17"/>
                <c:pt idx="0">
                  <c:v>0.53</c:v>
                </c:pt>
                <c:pt idx="1">
                  <c:v>0.53</c:v>
                </c:pt>
                <c:pt idx="2">
                  <c:v>0.53</c:v>
                </c:pt>
                <c:pt idx="3">
                  <c:v>0.53</c:v>
                </c:pt>
                <c:pt idx="4">
                  <c:v>0.53</c:v>
                </c:pt>
                <c:pt idx="5">
                  <c:v>0.53</c:v>
                </c:pt>
                <c:pt idx="6">
                  <c:v>0.53</c:v>
                </c:pt>
                <c:pt idx="7">
                  <c:v>0.53</c:v>
                </c:pt>
                <c:pt idx="9">
                  <c:v>0.53</c:v>
                </c:pt>
                <c:pt idx="10">
                  <c:v>0.53</c:v>
                </c:pt>
                <c:pt idx="11">
                  <c:v>0.53</c:v>
                </c:pt>
                <c:pt idx="12">
                  <c:v>0.53</c:v>
                </c:pt>
                <c:pt idx="13">
                  <c:v>0.53</c:v>
                </c:pt>
                <c:pt idx="14">
                  <c:v>0.50349999999999995</c:v>
                </c:pt>
                <c:pt idx="15">
                  <c:v>0.47832499999999994</c:v>
                </c:pt>
                <c:pt idx="16">
                  <c:v>0.45440874999999992</c:v>
                </c:pt>
              </c:numCache>
            </c:numRef>
          </c:val>
          <c:extLst>
            <c:ext xmlns:c16="http://schemas.microsoft.com/office/drawing/2014/chart" uri="{C3380CC4-5D6E-409C-BE32-E72D297353CC}">
              <c16:uniqueId val="{00000001-DF7F-4E0B-8024-7358AAD6B641}"/>
            </c:ext>
          </c:extLst>
        </c:ser>
        <c:ser>
          <c:idx val="2"/>
          <c:order val="2"/>
          <c:tx>
            <c:strRef>
              <c:f>PTRA!$C$27</c:f>
              <c:strCache>
                <c:ptCount val="1"/>
                <c:pt idx="0">
                  <c:v>High Income</c:v>
                </c:pt>
              </c:strCache>
            </c:strRef>
          </c:tx>
          <c:invertIfNegative val="0"/>
          <c:cat>
            <c:numRef>
              <c:f>PTRA!$O$24:$AE$24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PTRA!$O$27:$AE$27</c:f>
              <c:numCache>
                <c:formatCode>0%</c:formatCode>
                <c:ptCount val="17"/>
                <c:pt idx="0">
                  <c:v>0.76810810810810803</c:v>
                </c:pt>
                <c:pt idx="1">
                  <c:v>0.76810810810810803</c:v>
                </c:pt>
                <c:pt idx="2">
                  <c:v>0.76810810810810803</c:v>
                </c:pt>
                <c:pt idx="3">
                  <c:v>0.76810810810810803</c:v>
                </c:pt>
                <c:pt idx="4">
                  <c:v>0.76810810810810803</c:v>
                </c:pt>
                <c:pt idx="5">
                  <c:v>0.76810810810810803</c:v>
                </c:pt>
                <c:pt idx="6">
                  <c:v>0.76810810810810803</c:v>
                </c:pt>
                <c:pt idx="7">
                  <c:v>0.76810810810810803</c:v>
                </c:pt>
                <c:pt idx="9">
                  <c:v>0.76810810810810803</c:v>
                </c:pt>
                <c:pt idx="10">
                  <c:v>0.76810810810810803</c:v>
                </c:pt>
                <c:pt idx="11">
                  <c:v>0.76810810810810803</c:v>
                </c:pt>
                <c:pt idx="12">
                  <c:v>0.76810810810810803</c:v>
                </c:pt>
                <c:pt idx="13">
                  <c:v>0.76810810810810803</c:v>
                </c:pt>
                <c:pt idx="14">
                  <c:v>0.74890540540540529</c:v>
                </c:pt>
                <c:pt idx="15">
                  <c:v>0.73018277027027012</c:v>
                </c:pt>
                <c:pt idx="16">
                  <c:v>0.7119282010135134</c:v>
                </c:pt>
              </c:numCache>
            </c:numRef>
          </c:val>
          <c:extLst>
            <c:ext xmlns:c16="http://schemas.microsoft.com/office/drawing/2014/chart" uri="{C3380CC4-5D6E-409C-BE32-E72D297353CC}">
              <c16:uniqueId val="{00000002-DF7F-4E0B-8024-7358AAD6B641}"/>
            </c:ext>
          </c:extLst>
        </c:ser>
        <c:dLbls>
          <c:showLegendKey val="0"/>
          <c:showVal val="0"/>
          <c:showCatName val="0"/>
          <c:showSerName val="0"/>
          <c:showPercent val="0"/>
          <c:showBubbleSize val="0"/>
        </c:dLbls>
        <c:gapWidth val="150"/>
        <c:axId val="502537464"/>
        <c:axId val="457011904"/>
      </c:barChart>
      <c:catAx>
        <c:axId val="502537464"/>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1904"/>
        <c:crosses val="autoZero"/>
        <c:auto val="1"/>
        <c:lblAlgn val="ctr"/>
        <c:lblOffset val="100"/>
        <c:noMultiLvlLbl val="0"/>
      </c:catAx>
      <c:valAx>
        <c:axId val="457011904"/>
        <c:scaling>
          <c:orientation val="minMax"/>
        </c:scaling>
        <c:delete val="0"/>
        <c:axPos val="l"/>
        <c:majorGridlines/>
        <c:numFmt formatCode="0%" sourceLinked="1"/>
        <c:majorTickMark val="out"/>
        <c:minorTickMark val="none"/>
        <c:tickLblPos val="nextTo"/>
        <c:crossAx val="50253746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Priv.veh. per person w access</a:t>
            </a:r>
          </a:p>
        </c:rich>
      </c:tx>
      <c:overlay val="0"/>
    </c:title>
    <c:autoTitleDeleted val="0"/>
    <c:plotArea>
      <c:layout/>
      <c:barChart>
        <c:barDir val="col"/>
        <c:grouping val="clustered"/>
        <c:varyColors val="0"/>
        <c:ser>
          <c:idx val="0"/>
          <c:order val="0"/>
          <c:tx>
            <c:strRef>
              <c:f>PTRA!$C$30</c:f>
              <c:strCache>
                <c:ptCount val="1"/>
                <c:pt idx="0">
                  <c:v>Low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PTRA!$O$30:$AE$30</c:f>
              <c:numCache>
                <c:formatCode>0.00</c:formatCode>
                <c:ptCount val="17"/>
                <c:pt idx="0">
                  <c:v>0.25</c:v>
                </c:pt>
                <c:pt idx="1">
                  <c:v>0.25</c:v>
                </c:pt>
                <c:pt idx="2">
                  <c:v>0.25</c:v>
                </c:pt>
                <c:pt idx="3">
                  <c:v>0.25</c:v>
                </c:pt>
                <c:pt idx="4">
                  <c:v>0.25</c:v>
                </c:pt>
                <c:pt idx="5">
                  <c:v>0.25</c:v>
                </c:pt>
                <c:pt idx="6">
                  <c:v>0.25</c:v>
                </c:pt>
                <c:pt idx="7">
                  <c:v>0.25</c:v>
                </c:pt>
                <c:pt idx="9" formatCode="0%">
                  <c:v>0.25</c:v>
                </c:pt>
                <c:pt idx="10" formatCode="0%">
                  <c:v>0.25</c:v>
                </c:pt>
                <c:pt idx="11" formatCode="0%">
                  <c:v>0.25</c:v>
                </c:pt>
                <c:pt idx="12" formatCode="0%">
                  <c:v>0.25</c:v>
                </c:pt>
                <c:pt idx="13" formatCode="0%">
                  <c:v>0.25</c:v>
                </c:pt>
                <c:pt idx="14">
                  <c:v>0.23749999999999999</c:v>
                </c:pt>
                <c:pt idx="15">
                  <c:v>0.22562499999999999</c:v>
                </c:pt>
                <c:pt idx="16">
                  <c:v>0.21434374999999997</c:v>
                </c:pt>
              </c:numCache>
            </c:numRef>
          </c:val>
          <c:extLst>
            <c:ext xmlns:c16="http://schemas.microsoft.com/office/drawing/2014/chart" uri="{C3380CC4-5D6E-409C-BE32-E72D297353CC}">
              <c16:uniqueId val="{00000000-0315-455D-968D-55A2BE036D8F}"/>
            </c:ext>
          </c:extLst>
        </c:ser>
        <c:ser>
          <c:idx val="1"/>
          <c:order val="1"/>
          <c:tx>
            <c:strRef>
              <c:f>PTRA!$C$31</c:f>
              <c:strCache>
                <c:ptCount val="1"/>
                <c:pt idx="0">
                  <c:v>Middle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PTRA!$O$31:$AE$31</c:f>
              <c:numCache>
                <c:formatCode>0.00</c:formatCode>
                <c:ptCount val="17"/>
                <c:pt idx="0">
                  <c:v>0.31311637080867849</c:v>
                </c:pt>
                <c:pt idx="1">
                  <c:v>0.31311637080867849</c:v>
                </c:pt>
                <c:pt idx="2">
                  <c:v>0.31311637080867849</c:v>
                </c:pt>
                <c:pt idx="3">
                  <c:v>0.31311637080867849</c:v>
                </c:pt>
                <c:pt idx="4">
                  <c:v>0.31311637080867849</c:v>
                </c:pt>
                <c:pt idx="5">
                  <c:v>0.31311637080867849</c:v>
                </c:pt>
                <c:pt idx="6">
                  <c:v>0.31311637080867849</c:v>
                </c:pt>
                <c:pt idx="7">
                  <c:v>0.31311637080867849</c:v>
                </c:pt>
                <c:pt idx="9" formatCode="0%">
                  <c:v>0.31311637080867849</c:v>
                </c:pt>
                <c:pt idx="10" formatCode="0%">
                  <c:v>0.31311637080867849</c:v>
                </c:pt>
                <c:pt idx="11" formatCode="0%">
                  <c:v>0.31311637080867849</c:v>
                </c:pt>
                <c:pt idx="12" formatCode="0%">
                  <c:v>0.31311637080867849</c:v>
                </c:pt>
                <c:pt idx="13" formatCode="0%">
                  <c:v>0.31311637080867849</c:v>
                </c:pt>
                <c:pt idx="14" formatCode="0%">
                  <c:v>0.29746055226824453</c:v>
                </c:pt>
                <c:pt idx="15" formatCode="0%">
                  <c:v>0.29746055226824453</c:v>
                </c:pt>
                <c:pt idx="16" formatCode="0%">
                  <c:v>0.28258752465483228</c:v>
                </c:pt>
              </c:numCache>
            </c:numRef>
          </c:val>
          <c:extLst>
            <c:ext xmlns:c16="http://schemas.microsoft.com/office/drawing/2014/chart" uri="{C3380CC4-5D6E-409C-BE32-E72D297353CC}">
              <c16:uniqueId val="{00000001-0315-455D-968D-55A2BE036D8F}"/>
            </c:ext>
          </c:extLst>
        </c:ser>
        <c:ser>
          <c:idx val="2"/>
          <c:order val="2"/>
          <c:tx>
            <c:strRef>
              <c:f>PTRA!$C$32</c:f>
              <c:strCache>
                <c:ptCount val="1"/>
                <c:pt idx="0">
                  <c:v>High Income</c:v>
                </c:pt>
              </c:strCache>
            </c:strRef>
          </c:tx>
          <c:invertIfNegative val="0"/>
          <c:cat>
            <c:numRef>
              <c:f>PTRA!$O$29:$AE$29</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PTRA!$O$32:$AE$32</c:f>
              <c:numCache>
                <c:formatCode>0.00</c:formatCode>
                <c:ptCount val="17"/>
                <c:pt idx="0">
                  <c:v>0.41283463855351005</c:v>
                </c:pt>
                <c:pt idx="1">
                  <c:v>0.41283463855351005</c:v>
                </c:pt>
                <c:pt idx="2">
                  <c:v>0.41283463855351005</c:v>
                </c:pt>
                <c:pt idx="3">
                  <c:v>0.41206830801822453</c:v>
                </c:pt>
                <c:pt idx="4">
                  <c:v>0.42129463919665117</c:v>
                </c:pt>
                <c:pt idx="5">
                  <c:v>0.43031238502405184</c:v>
                </c:pt>
                <c:pt idx="6">
                  <c:v>0.46165112272628989</c:v>
                </c:pt>
                <c:pt idx="7">
                  <c:v>0.48675871289549705</c:v>
                </c:pt>
                <c:pt idx="9" formatCode="0%">
                  <c:v>0.41283463855351005</c:v>
                </c:pt>
                <c:pt idx="10" formatCode="0%">
                  <c:v>0.41283463855351005</c:v>
                </c:pt>
                <c:pt idx="11" formatCode="0%">
                  <c:v>0.41283463855351005</c:v>
                </c:pt>
                <c:pt idx="12" formatCode="0%">
                  <c:v>0.41206830801822453</c:v>
                </c:pt>
                <c:pt idx="13" formatCode="0%">
                  <c:v>0.42129463919665117</c:v>
                </c:pt>
                <c:pt idx="14" formatCode="0%">
                  <c:v>0.4017666003177689</c:v>
                </c:pt>
                <c:pt idx="15" formatCode="0%">
                  <c:v>0.39172243530982465</c:v>
                </c:pt>
                <c:pt idx="16" formatCode="0%">
                  <c:v>0.38192937442707903</c:v>
                </c:pt>
              </c:numCache>
            </c:numRef>
          </c:val>
          <c:extLst>
            <c:ext xmlns:c16="http://schemas.microsoft.com/office/drawing/2014/chart" uri="{C3380CC4-5D6E-409C-BE32-E72D297353CC}">
              <c16:uniqueId val="{00000002-0315-455D-968D-55A2BE036D8F}"/>
            </c:ext>
          </c:extLst>
        </c:ser>
        <c:dLbls>
          <c:showLegendKey val="0"/>
          <c:showVal val="0"/>
          <c:showCatName val="0"/>
          <c:showSerName val="0"/>
          <c:showPercent val="0"/>
          <c:showBubbleSize val="0"/>
        </c:dLbls>
        <c:gapWidth val="150"/>
        <c:axId val="457012688"/>
        <c:axId val="457013080"/>
      </c:barChart>
      <c:catAx>
        <c:axId val="45701268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457013080"/>
        <c:crosses val="autoZero"/>
        <c:auto val="1"/>
        <c:lblAlgn val="ctr"/>
        <c:lblOffset val="100"/>
        <c:noMultiLvlLbl val="0"/>
      </c:catAx>
      <c:valAx>
        <c:axId val="457013080"/>
        <c:scaling>
          <c:orientation val="minMax"/>
        </c:scaling>
        <c:delete val="0"/>
        <c:axPos val="l"/>
        <c:majorGridlines/>
        <c:title>
          <c:tx>
            <c:rich>
              <a:bodyPr rot="-5400000" vert="horz"/>
              <a:lstStyle/>
              <a:p>
                <a:pPr>
                  <a:defRPr/>
                </a:pPr>
                <a:r>
                  <a:rPr lang="en-ZA"/>
                  <a:t>veh/pp</a:t>
                </a:r>
              </a:p>
            </c:rich>
          </c:tx>
          <c:overlay val="0"/>
        </c:title>
        <c:numFmt formatCode="0.00" sourceLinked="1"/>
        <c:majorTickMark val="out"/>
        <c:minorTickMark val="none"/>
        <c:tickLblPos val="nextTo"/>
        <c:crossAx val="45701268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Occupancy</a:t>
            </a:r>
          </a:p>
        </c:rich>
      </c:tx>
      <c:overlay val="1"/>
    </c:title>
    <c:autoTitleDeleted val="0"/>
    <c:plotArea>
      <c:layout/>
      <c:barChart>
        <c:barDir val="col"/>
        <c:grouping val="clustered"/>
        <c:varyColors val="0"/>
        <c:ser>
          <c:idx val="0"/>
          <c:order val="0"/>
          <c:tx>
            <c:strRef>
              <c:f>PTRA!$C$35</c:f>
              <c:strCache>
                <c:ptCount val="1"/>
                <c:pt idx="0">
                  <c:v>Low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PTRA!$O$35:$AE$35</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0-EF5A-4FB5-9957-9CCAE44A2EE8}"/>
            </c:ext>
          </c:extLst>
        </c:ser>
        <c:ser>
          <c:idx val="1"/>
          <c:order val="1"/>
          <c:tx>
            <c:strRef>
              <c:f>PTRA!$C$36</c:f>
              <c:strCache>
                <c:ptCount val="1"/>
                <c:pt idx="0">
                  <c:v>Middle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PTRA!$O$36:$AE$36</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1-EF5A-4FB5-9957-9CCAE44A2EE8}"/>
            </c:ext>
          </c:extLst>
        </c:ser>
        <c:ser>
          <c:idx val="2"/>
          <c:order val="2"/>
          <c:tx>
            <c:strRef>
              <c:f>PTRA!$C$37</c:f>
              <c:strCache>
                <c:ptCount val="1"/>
                <c:pt idx="0">
                  <c:v>High Income</c:v>
                </c:pt>
              </c:strCache>
            </c:strRef>
          </c:tx>
          <c:invertIfNegative val="0"/>
          <c:cat>
            <c:numRef>
              <c:f>PTRA!$O$34:$AE$34</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PTRA!$O$37:$AE$37</c:f>
              <c:numCache>
                <c:formatCode>0.00</c:formatCode>
                <c:ptCount val="17"/>
                <c:pt idx="0">
                  <c:v>1.4</c:v>
                </c:pt>
                <c:pt idx="1">
                  <c:v>1.4</c:v>
                </c:pt>
                <c:pt idx="2">
                  <c:v>1.4</c:v>
                </c:pt>
                <c:pt idx="3">
                  <c:v>1.4</c:v>
                </c:pt>
                <c:pt idx="4">
                  <c:v>1.4</c:v>
                </c:pt>
                <c:pt idx="5">
                  <c:v>1.4</c:v>
                </c:pt>
                <c:pt idx="6">
                  <c:v>1.4</c:v>
                </c:pt>
                <c:pt idx="7">
                  <c:v>1.4</c:v>
                </c:pt>
                <c:pt idx="9">
                  <c:v>1.4</c:v>
                </c:pt>
                <c:pt idx="10">
                  <c:v>1.4</c:v>
                </c:pt>
                <c:pt idx="11">
                  <c:v>1.4</c:v>
                </c:pt>
                <c:pt idx="12">
                  <c:v>1.4</c:v>
                </c:pt>
                <c:pt idx="13">
                  <c:v>1.4</c:v>
                </c:pt>
                <c:pt idx="14">
                  <c:v>1.4</c:v>
                </c:pt>
                <c:pt idx="15">
                  <c:v>1.4</c:v>
                </c:pt>
                <c:pt idx="16">
                  <c:v>1.4</c:v>
                </c:pt>
              </c:numCache>
            </c:numRef>
          </c:val>
          <c:extLst>
            <c:ext xmlns:c16="http://schemas.microsoft.com/office/drawing/2014/chart" uri="{C3380CC4-5D6E-409C-BE32-E72D297353CC}">
              <c16:uniqueId val="{00000002-EF5A-4FB5-9957-9CCAE44A2EE8}"/>
            </c:ext>
          </c:extLst>
        </c:ser>
        <c:dLbls>
          <c:showLegendKey val="0"/>
          <c:showVal val="0"/>
          <c:showCatName val="0"/>
          <c:showSerName val="0"/>
          <c:showPercent val="0"/>
          <c:showBubbleSize val="0"/>
        </c:dLbls>
        <c:gapWidth val="150"/>
        <c:axId val="506918632"/>
        <c:axId val="506919024"/>
      </c:barChart>
      <c:catAx>
        <c:axId val="5069186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19024"/>
        <c:crosses val="autoZero"/>
        <c:auto val="1"/>
        <c:lblAlgn val="ctr"/>
        <c:lblOffset val="100"/>
        <c:noMultiLvlLbl val="0"/>
      </c:catAx>
      <c:valAx>
        <c:axId val="506919024"/>
        <c:scaling>
          <c:orientation val="minMax"/>
        </c:scaling>
        <c:delete val="0"/>
        <c:axPos val="l"/>
        <c:majorGridlines/>
        <c:title>
          <c:tx>
            <c:rich>
              <a:bodyPr rot="-5400000" vert="horz"/>
              <a:lstStyle/>
              <a:p>
                <a:pPr>
                  <a:defRPr/>
                </a:pPr>
                <a:r>
                  <a:rPr lang="en-ZA"/>
                  <a:t>pers/veh.</a:t>
                </a:r>
              </a:p>
            </c:rich>
          </c:tx>
          <c:overlay val="0"/>
        </c:title>
        <c:numFmt formatCode="0.00" sourceLinked="1"/>
        <c:majorTickMark val="out"/>
        <c:minorTickMark val="none"/>
        <c:tickLblPos val="nextTo"/>
        <c:crossAx val="506918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Annual</a:t>
            </a:r>
            <a:r>
              <a:rPr lang="en-ZA" baseline="0"/>
              <a:t> Mileage</a:t>
            </a:r>
            <a:endParaRPr lang="en-ZA"/>
          </a:p>
        </c:rich>
      </c:tx>
      <c:overlay val="1"/>
    </c:title>
    <c:autoTitleDeleted val="0"/>
    <c:plotArea>
      <c:layout/>
      <c:barChart>
        <c:barDir val="col"/>
        <c:grouping val="clustered"/>
        <c:varyColors val="0"/>
        <c:ser>
          <c:idx val="0"/>
          <c:order val="0"/>
          <c:tx>
            <c:strRef>
              <c:f>PTRA!$C$41</c:f>
              <c:strCache>
                <c:ptCount val="1"/>
                <c:pt idx="0">
                  <c:v>Low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PTRA!$O$41:$AE$41</c:f>
              <c:numCache>
                <c:formatCode>0.00</c:formatCode>
                <c:ptCount val="17"/>
                <c:pt idx="0">
                  <c:v>7.3852190250507794</c:v>
                </c:pt>
                <c:pt idx="1">
                  <c:v>7.3852190250507794</c:v>
                </c:pt>
                <c:pt idx="2" formatCode="General">
                  <c:v>7.3852190250507794</c:v>
                </c:pt>
                <c:pt idx="3">
                  <c:v>7.3852190250507794</c:v>
                </c:pt>
                <c:pt idx="4">
                  <c:v>7.3852190250507794</c:v>
                </c:pt>
                <c:pt idx="5">
                  <c:v>7.3852190250507794</c:v>
                </c:pt>
                <c:pt idx="6">
                  <c:v>7.3852190250507794</c:v>
                </c:pt>
                <c:pt idx="7">
                  <c:v>7.3852190250507794</c:v>
                </c:pt>
                <c:pt idx="9">
                  <c:v>7.3852190250507794</c:v>
                </c:pt>
                <c:pt idx="10">
                  <c:v>7.3852190250507794</c:v>
                </c:pt>
                <c:pt idx="11">
                  <c:v>7.3852190250507794</c:v>
                </c:pt>
                <c:pt idx="12">
                  <c:v>7.3852190250507794</c:v>
                </c:pt>
                <c:pt idx="13">
                  <c:v>7.3852190250507794</c:v>
                </c:pt>
                <c:pt idx="14">
                  <c:v>7.0159580737982399</c:v>
                </c:pt>
                <c:pt idx="15">
                  <c:v>6.6651601701083276</c:v>
                </c:pt>
                <c:pt idx="16">
                  <c:v>6.331902161602911</c:v>
                </c:pt>
              </c:numCache>
            </c:numRef>
          </c:val>
          <c:extLst>
            <c:ext xmlns:c16="http://schemas.microsoft.com/office/drawing/2014/chart" uri="{C3380CC4-5D6E-409C-BE32-E72D297353CC}">
              <c16:uniqueId val="{00000000-595D-4EDE-9B4C-B8C95F313902}"/>
            </c:ext>
          </c:extLst>
        </c:ser>
        <c:ser>
          <c:idx val="1"/>
          <c:order val="1"/>
          <c:tx>
            <c:strRef>
              <c:f>PTRA!$C$42</c:f>
              <c:strCache>
                <c:ptCount val="1"/>
                <c:pt idx="0">
                  <c:v>Middle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PTRA!$O$42:$AE$42</c:f>
              <c:numCache>
                <c:formatCode>0.00</c:formatCode>
                <c:ptCount val="17"/>
                <c:pt idx="0">
                  <c:v>12.3446275646806</c:v>
                </c:pt>
                <c:pt idx="1">
                  <c:v>12.3446275646806</c:v>
                </c:pt>
                <c:pt idx="2" formatCode="General">
                  <c:v>12.3446275646806</c:v>
                </c:pt>
                <c:pt idx="3">
                  <c:v>12.3446275646806</c:v>
                </c:pt>
                <c:pt idx="4">
                  <c:v>12.3446275646806</c:v>
                </c:pt>
                <c:pt idx="5">
                  <c:v>12.3446275646806</c:v>
                </c:pt>
                <c:pt idx="6">
                  <c:v>12.3446275646806</c:v>
                </c:pt>
                <c:pt idx="7">
                  <c:v>12.3446275646806</c:v>
                </c:pt>
                <c:pt idx="9">
                  <c:v>12.3446275646806</c:v>
                </c:pt>
                <c:pt idx="10">
                  <c:v>12.3446275646806</c:v>
                </c:pt>
                <c:pt idx="11">
                  <c:v>12.3446275646806</c:v>
                </c:pt>
                <c:pt idx="12">
                  <c:v>12.3446275646806</c:v>
                </c:pt>
                <c:pt idx="13">
                  <c:v>12.3446275646806</c:v>
                </c:pt>
                <c:pt idx="14">
                  <c:v>11.727396186446569</c:v>
                </c:pt>
                <c:pt idx="15">
                  <c:v>11.141026377124239</c:v>
                </c:pt>
                <c:pt idx="16">
                  <c:v>10.583975058268027</c:v>
                </c:pt>
              </c:numCache>
            </c:numRef>
          </c:val>
          <c:extLst>
            <c:ext xmlns:c16="http://schemas.microsoft.com/office/drawing/2014/chart" uri="{C3380CC4-5D6E-409C-BE32-E72D297353CC}">
              <c16:uniqueId val="{00000001-595D-4EDE-9B4C-B8C95F313902}"/>
            </c:ext>
          </c:extLst>
        </c:ser>
        <c:ser>
          <c:idx val="2"/>
          <c:order val="2"/>
          <c:tx>
            <c:strRef>
              <c:f>PTRA!$C$43</c:f>
              <c:strCache>
                <c:ptCount val="1"/>
                <c:pt idx="0">
                  <c:v>High Income</c:v>
                </c:pt>
              </c:strCache>
            </c:strRef>
          </c:tx>
          <c:invertIfNegative val="0"/>
          <c:cat>
            <c:numRef>
              <c:f>PTRA!$O$40:$AE$40</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PTRA!$O$43:$AE$43</c:f>
              <c:numCache>
                <c:formatCode>0.00</c:formatCode>
                <c:ptCount val="17"/>
                <c:pt idx="0">
                  <c:v>13.330035321564491</c:v>
                </c:pt>
                <c:pt idx="1">
                  <c:v>13.330035321564491</c:v>
                </c:pt>
                <c:pt idx="2" formatCode="General">
                  <c:v>13.330035321564491</c:v>
                </c:pt>
                <c:pt idx="3">
                  <c:v>13.330035321564491</c:v>
                </c:pt>
                <c:pt idx="4">
                  <c:v>13.330035321564491</c:v>
                </c:pt>
                <c:pt idx="5">
                  <c:v>13.330035321564491</c:v>
                </c:pt>
                <c:pt idx="6">
                  <c:v>13.330035321564491</c:v>
                </c:pt>
                <c:pt idx="7">
                  <c:v>13.330035321564491</c:v>
                </c:pt>
                <c:pt idx="9">
                  <c:v>13.330035321564491</c:v>
                </c:pt>
                <c:pt idx="10">
                  <c:v>13.330035321564491</c:v>
                </c:pt>
                <c:pt idx="11">
                  <c:v>13.330035321564491</c:v>
                </c:pt>
                <c:pt idx="12">
                  <c:v>13.330035321564491</c:v>
                </c:pt>
                <c:pt idx="13">
                  <c:v>13.330035321564491</c:v>
                </c:pt>
                <c:pt idx="14">
                  <c:v>12.996784438525378</c:v>
                </c:pt>
                <c:pt idx="15">
                  <c:v>12.671864827562242</c:v>
                </c:pt>
                <c:pt idx="16">
                  <c:v>12.355068206873186</c:v>
                </c:pt>
              </c:numCache>
            </c:numRef>
          </c:val>
          <c:extLst>
            <c:ext xmlns:c16="http://schemas.microsoft.com/office/drawing/2014/chart" uri="{C3380CC4-5D6E-409C-BE32-E72D297353CC}">
              <c16:uniqueId val="{00000002-595D-4EDE-9B4C-B8C95F313902}"/>
            </c:ext>
          </c:extLst>
        </c:ser>
        <c:dLbls>
          <c:showLegendKey val="0"/>
          <c:showVal val="0"/>
          <c:showCatName val="0"/>
          <c:showSerName val="0"/>
          <c:showPercent val="0"/>
          <c:showBubbleSize val="0"/>
        </c:dLbls>
        <c:gapWidth val="150"/>
        <c:axId val="506919808"/>
        <c:axId val="506920200"/>
      </c:barChart>
      <c:catAx>
        <c:axId val="506919808"/>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506920200"/>
        <c:crosses val="autoZero"/>
        <c:auto val="1"/>
        <c:lblAlgn val="ctr"/>
        <c:lblOffset val="100"/>
        <c:noMultiLvlLbl val="0"/>
      </c:catAx>
      <c:valAx>
        <c:axId val="506920200"/>
        <c:scaling>
          <c:orientation val="minMax"/>
        </c:scaling>
        <c:delete val="0"/>
        <c:axPos val="l"/>
        <c:majorGridlines/>
        <c:title>
          <c:tx>
            <c:rich>
              <a:bodyPr rot="-5400000" vert="horz"/>
              <a:lstStyle/>
              <a:p>
                <a:pPr>
                  <a:defRPr/>
                </a:pPr>
                <a:r>
                  <a:rPr lang="en-ZA"/>
                  <a:t>'000 km/year</a:t>
                </a:r>
              </a:p>
            </c:rich>
          </c:tx>
          <c:overlay val="0"/>
        </c:title>
        <c:numFmt formatCode="0" sourceLinked="0"/>
        <c:majorTickMark val="out"/>
        <c:minorTickMark val="none"/>
        <c:tickLblPos val="nextTo"/>
        <c:crossAx val="50691980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Income Distribution</a:t>
            </a:r>
          </a:p>
        </c:rich>
      </c:tx>
      <c:overlay val="1"/>
    </c:title>
    <c:autoTitleDeleted val="0"/>
    <c:plotArea>
      <c:layout/>
      <c:areaChart>
        <c:grouping val="stacked"/>
        <c:varyColors val="0"/>
        <c:ser>
          <c:idx val="0"/>
          <c:order val="0"/>
          <c:tx>
            <c:strRef>
              <c:f>[7]RES!$C$22</c:f>
              <c:strCache>
                <c:ptCount val="1"/>
                <c:pt idx="0">
                  <c:v>Low Income</c:v>
                </c:pt>
              </c:strCache>
            </c:strRef>
          </c:tx>
          <c:cat>
            <c:numRef>
              <c:f>[7]RES!$E$21:$I$21</c:f>
              <c:numCache>
                <c:formatCode>General</c:formatCode>
                <c:ptCount val="5"/>
                <c:pt idx="0">
                  <c:v>2012</c:v>
                </c:pt>
                <c:pt idx="1">
                  <c:v>2020</c:v>
                </c:pt>
                <c:pt idx="2">
                  <c:v>2030</c:v>
                </c:pt>
                <c:pt idx="3">
                  <c:v>2040</c:v>
                </c:pt>
                <c:pt idx="4">
                  <c:v>2050</c:v>
                </c:pt>
              </c:numCache>
            </c:numRef>
          </c:cat>
          <c:val>
            <c:numRef>
              <c:f>[7]RES!$E$22:$I$22</c:f>
              <c:numCache>
                <c:formatCode>General</c:formatCode>
                <c:ptCount val="5"/>
                <c:pt idx="0">
                  <c:v>23.44</c:v>
                </c:pt>
                <c:pt idx="1">
                  <c:v>22.864075230945556</c:v>
                </c:pt>
                <c:pt idx="2">
                  <c:v>21.95519667252259</c:v>
                </c:pt>
                <c:pt idx="3">
                  <c:v>20.44192609486554</c:v>
                </c:pt>
                <c:pt idx="4">
                  <c:v>19.567629204601904</c:v>
                </c:pt>
              </c:numCache>
            </c:numRef>
          </c:val>
          <c:extLst>
            <c:ext xmlns:c16="http://schemas.microsoft.com/office/drawing/2014/chart" uri="{C3380CC4-5D6E-409C-BE32-E72D297353CC}">
              <c16:uniqueId val="{00000000-CBD0-428A-84A9-53F43D1B7085}"/>
            </c:ext>
          </c:extLst>
        </c:ser>
        <c:ser>
          <c:idx val="1"/>
          <c:order val="1"/>
          <c:tx>
            <c:strRef>
              <c:f>[7]RES!$C$23</c:f>
              <c:strCache>
                <c:ptCount val="1"/>
                <c:pt idx="0">
                  <c:v>Middle Income</c:v>
                </c:pt>
              </c:strCache>
            </c:strRef>
          </c:tx>
          <c:cat>
            <c:numRef>
              <c:f>[7]RES!$E$21:$I$21</c:f>
              <c:numCache>
                <c:formatCode>General</c:formatCode>
                <c:ptCount val="5"/>
                <c:pt idx="0">
                  <c:v>2012</c:v>
                </c:pt>
                <c:pt idx="1">
                  <c:v>2020</c:v>
                </c:pt>
                <c:pt idx="2">
                  <c:v>2030</c:v>
                </c:pt>
                <c:pt idx="3">
                  <c:v>2040</c:v>
                </c:pt>
                <c:pt idx="4">
                  <c:v>2050</c:v>
                </c:pt>
              </c:numCache>
            </c:numRef>
          </c:cat>
          <c:val>
            <c:numRef>
              <c:f>[7]RES!$E$23:$I$23</c:f>
              <c:numCache>
                <c:formatCode>General</c:formatCode>
                <c:ptCount val="5"/>
                <c:pt idx="0">
                  <c:v>16.970364490783776</c:v>
                </c:pt>
                <c:pt idx="1">
                  <c:v>18.982870373304088</c:v>
                </c:pt>
                <c:pt idx="2">
                  <c:v>21.968076242333368</c:v>
                </c:pt>
                <c:pt idx="3">
                  <c:v>25.241391122052022</c:v>
                </c:pt>
                <c:pt idx="4">
                  <c:v>28.64199879238107</c:v>
                </c:pt>
              </c:numCache>
            </c:numRef>
          </c:val>
          <c:extLst>
            <c:ext xmlns:c16="http://schemas.microsoft.com/office/drawing/2014/chart" uri="{C3380CC4-5D6E-409C-BE32-E72D297353CC}">
              <c16:uniqueId val="{00000001-CBD0-428A-84A9-53F43D1B7085}"/>
            </c:ext>
          </c:extLst>
        </c:ser>
        <c:ser>
          <c:idx val="2"/>
          <c:order val="2"/>
          <c:tx>
            <c:strRef>
              <c:f>[7]RES!$C$24</c:f>
              <c:strCache>
                <c:ptCount val="1"/>
                <c:pt idx="0">
                  <c:v>High Income</c:v>
                </c:pt>
              </c:strCache>
            </c:strRef>
          </c:tx>
          <c:cat>
            <c:numRef>
              <c:f>[7]RES!$E$21:$I$21</c:f>
              <c:numCache>
                <c:formatCode>General</c:formatCode>
                <c:ptCount val="5"/>
                <c:pt idx="0">
                  <c:v>2012</c:v>
                </c:pt>
                <c:pt idx="1">
                  <c:v>2020</c:v>
                </c:pt>
                <c:pt idx="2">
                  <c:v>2030</c:v>
                </c:pt>
                <c:pt idx="3">
                  <c:v>2040</c:v>
                </c:pt>
                <c:pt idx="4">
                  <c:v>2050</c:v>
                </c:pt>
              </c:numCache>
            </c:numRef>
          </c:cat>
          <c:val>
            <c:numRef>
              <c:f>[7]RES!$E$24:$I$24</c:f>
              <c:numCache>
                <c:formatCode>General</c:formatCode>
                <c:ptCount val="5"/>
                <c:pt idx="0">
                  <c:v>12.622024542915524</c:v>
                </c:pt>
                <c:pt idx="1">
                  <c:v>15.315885695750353</c:v>
                </c:pt>
                <c:pt idx="2">
                  <c:v>18.883034605144044</c:v>
                </c:pt>
                <c:pt idx="3">
                  <c:v>22.904553213082437</c:v>
                </c:pt>
                <c:pt idx="4">
                  <c:v>26.986581433017019</c:v>
                </c:pt>
              </c:numCache>
            </c:numRef>
          </c:val>
          <c:extLst>
            <c:ext xmlns:c16="http://schemas.microsoft.com/office/drawing/2014/chart" uri="{C3380CC4-5D6E-409C-BE32-E72D297353CC}">
              <c16:uniqueId val="{00000002-CBD0-428A-84A9-53F43D1B7085}"/>
            </c:ext>
          </c:extLst>
        </c:ser>
        <c:dLbls>
          <c:showLegendKey val="0"/>
          <c:showVal val="0"/>
          <c:showCatName val="0"/>
          <c:showSerName val="0"/>
          <c:showPercent val="0"/>
          <c:showBubbleSize val="0"/>
        </c:dLbls>
        <c:axId val="124104984"/>
        <c:axId val="124105376"/>
      </c:areaChart>
      <c:lineChart>
        <c:grouping val="standard"/>
        <c:varyColors val="0"/>
        <c:ser>
          <c:idx val="3"/>
          <c:order val="3"/>
          <c:tx>
            <c:strRef>
              <c:f>PTRA!$C$19</c:f>
              <c:strCache>
                <c:ptCount val="1"/>
                <c:pt idx="0">
                  <c:v>Low Income</c:v>
                </c:pt>
              </c:strCache>
            </c:strRef>
          </c:tx>
          <c:val>
            <c:numRef>
              <c:f>PTRA!$F$19:$M$19</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3-CBD0-428A-84A9-53F43D1B7085}"/>
            </c:ext>
          </c:extLst>
        </c:ser>
        <c:ser>
          <c:idx val="4"/>
          <c:order val="4"/>
          <c:tx>
            <c:strRef>
              <c:f>PTRA!$C$20</c:f>
              <c:strCache>
                <c:ptCount val="1"/>
                <c:pt idx="0">
                  <c:v>Middle Income</c:v>
                </c:pt>
              </c:strCache>
            </c:strRef>
          </c:tx>
          <c:val>
            <c:numRef>
              <c:f>PTRA!$F$20:$M$20</c:f>
              <c:numCache>
                <c:formatCode>0.0</c:formatCode>
                <c:ptCount val="8"/>
                <c:pt idx="0">
                  <c:v>1</c:v>
                </c:pt>
                <c:pt idx="1">
                  <c:v>1</c:v>
                </c:pt>
                <c:pt idx="2">
                  <c:v>1</c:v>
                </c:pt>
                <c:pt idx="3">
                  <c:v>1</c:v>
                </c:pt>
                <c:pt idx="4">
                  <c:v>1</c:v>
                </c:pt>
                <c:pt idx="5">
                  <c:v>1</c:v>
                </c:pt>
                <c:pt idx="6">
                  <c:v>1</c:v>
                </c:pt>
                <c:pt idx="7">
                  <c:v>1</c:v>
                </c:pt>
              </c:numCache>
            </c:numRef>
          </c:val>
          <c:smooth val="0"/>
          <c:extLst>
            <c:ext xmlns:c16="http://schemas.microsoft.com/office/drawing/2014/chart" uri="{C3380CC4-5D6E-409C-BE32-E72D297353CC}">
              <c16:uniqueId val="{00000004-CBD0-428A-84A9-53F43D1B7085}"/>
            </c:ext>
          </c:extLst>
        </c:ser>
        <c:ser>
          <c:idx val="5"/>
          <c:order val="5"/>
          <c:tx>
            <c:strRef>
              <c:f>PTRA!$C$21</c:f>
              <c:strCache>
                <c:ptCount val="1"/>
                <c:pt idx="0">
                  <c:v>High Income</c:v>
                </c:pt>
              </c:strCache>
            </c:strRef>
          </c:tx>
          <c:val>
            <c:numRef>
              <c:f>PTRA!$F$21:$M$21</c:f>
              <c:numCache>
                <c:formatCode>0.0</c:formatCode>
                <c:ptCount val="8"/>
                <c:pt idx="0" formatCode="0.00">
                  <c:v>1</c:v>
                </c:pt>
                <c:pt idx="1">
                  <c:v>0.99628746978223237</c:v>
                </c:pt>
                <c:pt idx="2">
                  <c:v>0.99628746978223237</c:v>
                </c:pt>
                <c:pt idx="3" formatCode="0.00">
                  <c:v>0.99257493956446474</c:v>
                </c:pt>
                <c:pt idx="4">
                  <c:v>1.0855161531462645</c:v>
                </c:pt>
                <c:pt idx="5">
                  <c:v>1.1784573667280642</c:v>
                </c:pt>
                <c:pt idx="6">
                  <c:v>1.5217555621271739</c:v>
                </c:pt>
                <c:pt idx="7">
                  <c:v>1.8528074158817123</c:v>
                </c:pt>
              </c:numCache>
            </c:numRef>
          </c:val>
          <c:smooth val="0"/>
          <c:extLst>
            <c:ext xmlns:c16="http://schemas.microsoft.com/office/drawing/2014/chart" uri="{C3380CC4-5D6E-409C-BE32-E72D297353CC}">
              <c16:uniqueId val="{00000005-CBD0-428A-84A9-53F43D1B7085}"/>
            </c:ext>
          </c:extLst>
        </c:ser>
        <c:dLbls>
          <c:showLegendKey val="0"/>
          <c:showVal val="0"/>
          <c:showCatName val="0"/>
          <c:showSerName val="0"/>
          <c:showPercent val="0"/>
          <c:showBubbleSize val="0"/>
        </c:dLbls>
        <c:marker val="1"/>
        <c:smooth val="0"/>
        <c:axId val="124106160"/>
        <c:axId val="124105768"/>
      </c:lineChart>
      <c:catAx>
        <c:axId val="124104984"/>
        <c:scaling>
          <c:orientation val="minMax"/>
        </c:scaling>
        <c:delete val="0"/>
        <c:axPos val="b"/>
        <c:numFmt formatCode="General" sourceLinked="1"/>
        <c:majorTickMark val="out"/>
        <c:minorTickMark val="none"/>
        <c:tickLblPos val="nextTo"/>
        <c:crossAx val="124105376"/>
        <c:crosses val="autoZero"/>
        <c:auto val="1"/>
        <c:lblAlgn val="ctr"/>
        <c:lblOffset val="100"/>
        <c:noMultiLvlLbl val="0"/>
      </c:catAx>
      <c:valAx>
        <c:axId val="124105376"/>
        <c:scaling>
          <c:orientation val="minMax"/>
        </c:scaling>
        <c:delete val="0"/>
        <c:axPos val="l"/>
        <c:majorGridlines/>
        <c:title>
          <c:tx>
            <c:rich>
              <a:bodyPr rot="-5400000" vert="horz"/>
              <a:lstStyle/>
              <a:p>
                <a:pPr>
                  <a:defRPr/>
                </a:pPr>
                <a:r>
                  <a:rPr lang="en-ZA"/>
                  <a:t>Million</a:t>
                </a:r>
              </a:p>
            </c:rich>
          </c:tx>
          <c:overlay val="0"/>
        </c:title>
        <c:numFmt formatCode="0" sourceLinked="0"/>
        <c:majorTickMark val="out"/>
        <c:minorTickMark val="none"/>
        <c:tickLblPos val="nextTo"/>
        <c:crossAx val="124104984"/>
        <c:crosses val="autoZero"/>
        <c:crossBetween val="between"/>
      </c:valAx>
      <c:valAx>
        <c:axId val="124105768"/>
        <c:scaling>
          <c:orientation val="minMax"/>
        </c:scaling>
        <c:delete val="0"/>
        <c:axPos val="r"/>
        <c:numFmt formatCode="0" sourceLinked="0"/>
        <c:majorTickMark val="out"/>
        <c:minorTickMark val="none"/>
        <c:tickLblPos val="nextTo"/>
        <c:crossAx val="124106160"/>
        <c:crosses val="max"/>
        <c:crossBetween val="between"/>
      </c:valAx>
      <c:catAx>
        <c:axId val="124106160"/>
        <c:scaling>
          <c:orientation val="minMax"/>
        </c:scaling>
        <c:delete val="1"/>
        <c:axPos val="b"/>
        <c:majorTickMark val="out"/>
        <c:minorTickMark val="none"/>
        <c:tickLblPos val="nextTo"/>
        <c:crossAx val="124105768"/>
        <c:crosses val="autoZero"/>
        <c:auto val="1"/>
        <c:lblAlgn val="ctr"/>
        <c:lblOffset val="100"/>
        <c:noMultiLvlLbl val="0"/>
      </c:catAx>
    </c:plotArea>
    <c:legend>
      <c:legendPos val="r"/>
      <c:overlay val="0"/>
    </c:legend>
    <c:plotVisOnly val="1"/>
    <c:dispBlanksAs val="zero"/>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Total priv.veh</a:t>
            </a:r>
            <a:r>
              <a:rPr lang="en-ZA" baseline="0"/>
              <a:t>&amp;motorisation</a:t>
            </a:r>
            <a:endParaRPr lang="en-ZA"/>
          </a:p>
        </c:rich>
      </c:tx>
      <c:layout>
        <c:manualLayout>
          <c:xMode val="edge"/>
          <c:yMode val="edge"/>
          <c:x val="7.3729221347331605E-2"/>
          <c:y val="2.3148148148148098E-2"/>
        </c:manualLayout>
      </c:layout>
      <c:overlay val="1"/>
    </c:title>
    <c:autoTitleDeleted val="0"/>
    <c:plotArea>
      <c:layout/>
      <c:barChart>
        <c:barDir val="col"/>
        <c:grouping val="stacked"/>
        <c:varyColors val="0"/>
        <c:ser>
          <c:idx val="0"/>
          <c:order val="0"/>
          <c:tx>
            <c:strRef>
              <c:f>PTRA!$C$54</c:f>
              <c:strCache>
                <c:ptCount val="1"/>
                <c:pt idx="0">
                  <c:v>Low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PTRA!$O$54:$AE$54</c:f>
              <c:numCache>
                <c:formatCode>0.00</c:formatCode>
                <c:ptCount val="17"/>
                <c:pt idx="0">
                  <c:v>0.1283823833256614</c:v>
                </c:pt>
                <c:pt idx="1">
                  <c:v>0.12877680945571371</c:v>
                </c:pt>
                <c:pt idx="2">
                  <c:v>0.12973355042768442</c:v>
                </c:pt>
                <c:pt idx="3">
                  <c:v>0.13499132813487882</c:v>
                </c:pt>
                <c:pt idx="4">
                  <c:v>0.14643564806901391</c:v>
                </c:pt>
                <c:pt idx="5">
                  <c:v>0.13634089522131315</c:v>
                </c:pt>
                <c:pt idx="6">
                  <c:v>0.12181820947923694</c:v>
                </c:pt>
                <c:pt idx="7">
                  <c:v>0.10355555165783771</c:v>
                </c:pt>
                <c:pt idx="9">
                  <c:v>0.1283823833256614</c:v>
                </c:pt>
                <c:pt idx="10">
                  <c:v>0.12877680945571371</c:v>
                </c:pt>
                <c:pt idx="11">
                  <c:v>0.12973355042768442</c:v>
                </c:pt>
                <c:pt idx="12">
                  <c:v>0.13499132813487882</c:v>
                </c:pt>
                <c:pt idx="13">
                  <c:v>0.14643564806901391</c:v>
                </c:pt>
                <c:pt idx="14">
                  <c:v>0.32380962615061876</c:v>
                </c:pt>
                <c:pt idx="15">
                  <c:v>0.21988186811002267</c:v>
                </c:pt>
                <c:pt idx="16">
                  <c:v>0.17757188220527723</c:v>
                </c:pt>
              </c:numCache>
            </c:numRef>
          </c:val>
          <c:extLst>
            <c:ext xmlns:c16="http://schemas.microsoft.com/office/drawing/2014/chart" uri="{C3380CC4-5D6E-409C-BE32-E72D297353CC}">
              <c16:uniqueId val="{00000000-43F9-4640-9806-6633B7B65549}"/>
            </c:ext>
          </c:extLst>
        </c:ser>
        <c:ser>
          <c:idx val="1"/>
          <c:order val="1"/>
          <c:tx>
            <c:strRef>
              <c:f>PTRA!$C$55</c:f>
              <c:strCache>
                <c:ptCount val="1"/>
                <c:pt idx="0">
                  <c:v>Middle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PTRA!$O$55:$AE$55</c:f>
              <c:numCache>
                <c:formatCode>0.00</c:formatCode>
                <c:ptCount val="17"/>
                <c:pt idx="0">
                  <c:v>2.7636773332492934</c:v>
                </c:pt>
                <c:pt idx="1">
                  <c:v>2.8913337107360779</c:v>
                </c:pt>
                <c:pt idx="2">
                  <c:v>3.0495903806306055</c:v>
                </c:pt>
                <c:pt idx="3">
                  <c:v>3.2047358801985588</c:v>
                </c:pt>
                <c:pt idx="4">
                  <c:v>3.0658757406536092</c:v>
                </c:pt>
                <c:pt idx="5">
                  <c:v>3.585852636348394</c:v>
                </c:pt>
                <c:pt idx="6">
                  <c:v>4.0885605770974767</c:v>
                </c:pt>
                <c:pt idx="7">
                  <c:v>4.510753924240448</c:v>
                </c:pt>
                <c:pt idx="9">
                  <c:v>2.7636773332492934</c:v>
                </c:pt>
                <c:pt idx="10">
                  <c:v>2.8913337107360779</c:v>
                </c:pt>
                <c:pt idx="11">
                  <c:v>3.0495903806306055</c:v>
                </c:pt>
                <c:pt idx="12">
                  <c:v>3.2047358801985588</c:v>
                </c:pt>
                <c:pt idx="13">
                  <c:v>3.0658757406536092</c:v>
                </c:pt>
                <c:pt idx="14">
                  <c:v>3.236232004304425</c:v>
                </c:pt>
                <c:pt idx="15">
                  <c:v>3.505429624788948</c:v>
                </c:pt>
                <c:pt idx="16">
                  <c:v>3.4903354003305762</c:v>
                </c:pt>
              </c:numCache>
            </c:numRef>
          </c:val>
          <c:extLst>
            <c:ext xmlns:c16="http://schemas.microsoft.com/office/drawing/2014/chart" uri="{C3380CC4-5D6E-409C-BE32-E72D297353CC}">
              <c16:uniqueId val="{00000001-43F9-4640-9806-6633B7B65549}"/>
            </c:ext>
          </c:extLst>
        </c:ser>
        <c:ser>
          <c:idx val="2"/>
          <c:order val="2"/>
          <c:tx>
            <c:strRef>
              <c:f>PTRA!$C$56</c:f>
              <c:strCache>
                <c:ptCount val="1"/>
                <c:pt idx="0">
                  <c:v>High Income</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PTRA!$O$56:$AE$56</c:f>
              <c:numCache>
                <c:formatCode>0.00</c:formatCode>
                <c:ptCount val="17"/>
                <c:pt idx="0">
                  <c:v>3.9385634462472403</c:v>
                </c:pt>
                <c:pt idx="1">
                  <c:v>4.2313538823878662</c:v>
                </c:pt>
                <c:pt idx="2">
                  <c:v>4.4526615366410756</c:v>
                </c:pt>
                <c:pt idx="3">
                  <c:v>3.8049192882812553</c:v>
                </c:pt>
                <c:pt idx="4">
                  <c:v>3.9920036505702332</c:v>
                </c:pt>
                <c:pt idx="5">
                  <c:v>5.6734200209755352</c:v>
                </c:pt>
                <c:pt idx="6">
                  <c:v>7.9518290376247114</c:v>
                </c:pt>
                <c:pt idx="7">
                  <c:v>10.328776919230654</c:v>
                </c:pt>
                <c:pt idx="9">
                  <c:v>3.9385634462472403</c:v>
                </c:pt>
                <c:pt idx="10">
                  <c:v>4.2313538823878662</c:v>
                </c:pt>
                <c:pt idx="11">
                  <c:v>4.4526615366410756</c:v>
                </c:pt>
                <c:pt idx="12">
                  <c:v>3.8049192882812553</c:v>
                </c:pt>
                <c:pt idx="13">
                  <c:v>3.9920036505702332</c:v>
                </c:pt>
                <c:pt idx="14">
                  <c:v>5.1646338439174464</c:v>
                </c:pt>
                <c:pt idx="15">
                  <c:v>6.4141751571119547</c:v>
                </c:pt>
                <c:pt idx="16">
                  <c:v>7.5115934089172089</c:v>
                </c:pt>
              </c:numCache>
            </c:numRef>
          </c:val>
          <c:extLst>
            <c:ext xmlns:c16="http://schemas.microsoft.com/office/drawing/2014/chart" uri="{C3380CC4-5D6E-409C-BE32-E72D297353CC}">
              <c16:uniqueId val="{00000002-43F9-4640-9806-6633B7B65549}"/>
            </c:ext>
          </c:extLst>
        </c:ser>
        <c:ser>
          <c:idx val="3"/>
          <c:order val="3"/>
          <c:tx>
            <c:strRef>
              <c:f>PTRA!$C$57</c:f>
              <c:strCache>
                <c:ptCount val="1"/>
                <c:pt idx="0">
                  <c:v>Other (gov/company/car rental)</c:v>
                </c:pt>
              </c:strCache>
            </c:strRef>
          </c:tx>
          <c:invertIfNegative val="0"/>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PTRA!$O$57:$AE$57</c:f>
              <c:numCache>
                <c:formatCode>0.00</c:formatCode>
                <c:ptCount val="17"/>
                <c:pt idx="0">
                  <c:v>0.52310039361040328</c:v>
                </c:pt>
                <c:pt idx="1">
                  <c:v>0.52911938020465121</c:v>
                </c:pt>
                <c:pt idx="2">
                  <c:v>0.53323895430378154</c:v>
                </c:pt>
                <c:pt idx="3">
                  <c:v>0.51417285649738431</c:v>
                </c:pt>
                <c:pt idx="4">
                  <c:v>0.51953791569135577</c:v>
                </c:pt>
                <c:pt idx="5">
                  <c:v>0.5825732417199857</c:v>
                </c:pt>
                <c:pt idx="6">
                  <c:v>0.66270363616941397</c:v>
                </c:pt>
                <c:pt idx="7">
                  <c:v>0.76222639043660445</c:v>
                </c:pt>
                <c:pt idx="9">
                  <c:v>0.52310039361040328</c:v>
                </c:pt>
                <c:pt idx="10">
                  <c:v>0.52911938020465121</c:v>
                </c:pt>
                <c:pt idx="11">
                  <c:v>0.53323895430378154</c:v>
                </c:pt>
                <c:pt idx="12">
                  <c:v>0.51417285649738431</c:v>
                </c:pt>
                <c:pt idx="13">
                  <c:v>0.51953791569135577</c:v>
                </c:pt>
                <c:pt idx="14">
                  <c:v>0.58322418219081706</c:v>
                </c:pt>
                <c:pt idx="15">
                  <c:v>0.64740012495594412</c:v>
                </c:pt>
                <c:pt idx="16">
                  <c:v>0.70573483751702104</c:v>
                </c:pt>
              </c:numCache>
            </c:numRef>
          </c:val>
          <c:extLst>
            <c:ext xmlns:c16="http://schemas.microsoft.com/office/drawing/2014/chart" uri="{C3380CC4-5D6E-409C-BE32-E72D297353CC}">
              <c16:uniqueId val="{00000003-43F9-4640-9806-6633B7B65549}"/>
            </c:ext>
          </c:extLst>
        </c:ser>
        <c:dLbls>
          <c:showLegendKey val="0"/>
          <c:showVal val="0"/>
          <c:showCatName val="0"/>
          <c:showSerName val="0"/>
          <c:showPercent val="0"/>
          <c:showBubbleSize val="0"/>
        </c:dLbls>
        <c:gapWidth val="150"/>
        <c:overlap val="100"/>
        <c:axId val="397077728"/>
        <c:axId val="397078120"/>
        <c:extLst>
          <c:ext xmlns:c15="http://schemas.microsoft.com/office/drawing/2012/chart" uri="{02D57815-91ED-43cb-92C2-25804820EDAC}">
            <c15:filteredBarSeries>
              <c15:ser>
                <c:idx val="4"/>
                <c:order val="4"/>
                <c:tx>
                  <c:strRef>
                    <c:extLst>
                      <c:ext uri="{02D57815-91ED-43cb-92C2-25804820EDAC}">
                        <c15:formulaRef>
                          <c15:sqref>PTRA!$C$58</c15:sqref>
                        </c15:formulaRef>
                      </c:ext>
                    </c:extLst>
                    <c:strCache>
                      <c:ptCount val="1"/>
                      <c:pt idx="0">
                        <c:v>Total Priv.Veh.</c:v>
                      </c:pt>
                    </c:strCache>
                  </c:strRef>
                </c:tx>
                <c:invertIfNegative val="0"/>
                <c:cat>
                  <c:numRef>
                    <c:extLst>
                      <c:ext uri="{02D57815-91ED-43cb-92C2-25804820EDAC}">
                        <c15:formulaRef>
                          <c15:sqref>PTRA!$O$53:$AE$53</c15:sqref>
                        </c15:formulaRef>
                      </c:ext>
                    </c:extLst>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extLst>
                      <c:ext uri="{02D57815-91ED-43cb-92C2-25804820EDAC}">
                        <c15:formulaRef>
                          <c15:sqref>PTRA!$O$58:$AE$58</c15:sqref>
                        </c15:formulaRef>
                      </c:ext>
                    </c:extLst>
                    <c:numCache>
                      <c:formatCode>0.00</c:formatCode>
                      <c:ptCount val="17"/>
                      <c:pt idx="0">
                        <c:v>7.3537235564325982</c:v>
                      </c:pt>
                      <c:pt idx="1">
                        <c:v>7.7805837827843094</c:v>
                      </c:pt>
                      <c:pt idx="2">
                        <c:v>8.1652244220031474</c:v>
                      </c:pt>
                      <c:pt idx="3">
                        <c:v>7.6588193531120767</c:v>
                      </c:pt>
                      <c:pt idx="4">
                        <c:v>7.7238529549842116</c:v>
                      </c:pt>
                      <c:pt idx="5">
                        <c:v>9.9781867942652287</c:v>
                      </c:pt>
                      <c:pt idx="6">
                        <c:v>12.824911460370839</c:v>
                      </c:pt>
                      <c:pt idx="7">
                        <c:v>15.705312785565544</c:v>
                      </c:pt>
                      <c:pt idx="9">
                        <c:v>7.3537235564325982</c:v>
                      </c:pt>
                      <c:pt idx="10">
                        <c:v>7.7805837827843094</c:v>
                      </c:pt>
                      <c:pt idx="11">
                        <c:v>8.1652244220031474</c:v>
                      </c:pt>
                      <c:pt idx="12">
                        <c:v>7.6588193531120767</c:v>
                      </c:pt>
                      <c:pt idx="13">
                        <c:v>7.7238529549842116</c:v>
                      </c:pt>
                      <c:pt idx="14">
                        <c:v>9.3078996565633059</c:v>
                      </c:pt>
                      <c:pt idx="15">
                        <c:v>10.786886774966868</c:v>
                      </c:pt>
                      <c:pt idx="16">
                        <c:v>11.885235528970084</c:v>
                      </c:pt>
                    </c:numCache>
                  </c:numRef>
                </c:val>
                <c:extLst>
                  <c:ext xmlns:c16="http://schemas.microsoft.com/office/drawing/2014/chart" uri="{C3380CC4-5D6E-409C-BE32-E72D297353CC}">
                    <c16:uniqueId val="{00000004-43F9-4640-9806-6633B7B65549}"/>
                  </c:ext>
                </c:extLst>
              </c15:ser>
            </c15:filteredBarSeries>
          </c:ext>
        </c:extLst>
      </c:barChart>
      <c:lineChart>
        <c:grouping val="standard"/>
        <c:varyColors val="0"/>
        <c:ser>
          <c:idx val="6"/>
          <c:order val="5"/>
          <c:tx>
            <c:strRef>
              <c:f>PTRA!$C$60</c:f>
              <c:strCache>
                <c:ptCount val="1"/>
                <c:pt idx="0">
                  <c:v>Priv veh per '000 people</c:v>
                </c:pt>
              </c:strCache>
            </c:strRef>
          </c:tx>
          <c:marker>
            <c:symbol val="none"/>
          </c:marker>
          <c:cat>
            <c:numRef>
              <c:f>PTRA!$O$53:$AE$53</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PTRA!$O$60:$AE$60</c:f>
              <c:numCache>
                <c:formatCode>0.00</c:formatCode>
                <c:ptCount val="17"/>
                <c:pt idx="0">
                  <c:v>134.31337985641542</c:v>
                </c:pt>
                <c:pt idx="1">
                  <c:v>137.65597351760064</c:v>
                </c:pt>
                <c:pt idx="2">
                  <c:v>139.89972614401438</c:v>
                </c:pt>
                <c:pt idx="3">
                  <c:v>131.29953917306554</c:v>
                </c:pt>
                <c:pt idx="4">
                  <c:v>128.52123448599667</c:v>
                </c:pt>
                <c:pt idx="5">
                  <c:v>151.09126744579936</c:v>
                </c:pt>
                <c:pt idx="6">
                  <c:v>179.55620234854396</c:v>
                </c:pt>
                <c:pt idx="7">
                  <c:v>207.96805688900795</c:v>
                </c:pt>
                <c:pt idx="9">
                  <c:v>134.31337985641542</c:v>
                </c:pt>
                <c:pt idx="10">
                  <c:v>137.65597351760064</c:v>
                </c:pt>
                <c:pt idx="11">
                  <c:v>139.89972614401438</c:v>
                </c:pt>
                <c:pt idx="12">
                  <c:v>131.29953917306554</c:v>
                </c:pt>
                <c:pt idx="13">
                  <c:v>128.52123448599667</c:v>
                </c:pt>
                <c:pt idx="14">
                  <c:v>140.94167461133708</c:v>
                </c:pt>
                <c:pt idx="15">
                  <c:v>151.02267414957879</c:v>
                </c:pt>
                <c:pt idx="16">
                  <c:v>157.38300614425503</c:v>
                </c:pt>
              </c:numCache>
            </c:numRef>
          </c:val>
          <c:smooth val="0"/>
          <c:extLst>
            <c:ext xmlns:c16="http://schemas.microsoft.com/office/drawing/2014/chart" uri="{C3380CC4-5D6E-409C-BE32-E72D297353CC}">
              <c16:uniqueId val="{00000005-43F9-4640-9806-6633B7B65549}"/>
            </c:ext>
          </c:extLst>
        </c:ser>
        <c:dLbls>
          <c:showLegendKey val="0"/>
          <c:showVal val="0"/>
          <c:showCatName val="0"/>
          <c:showSerName val="0"/>
          <c:showPercent val="0"/>
          <c:showBubbleSize val="0"/>
        </c:dLbls>
        <c:marker val="1"/>
        <c:smooth val="0"/>
        <c:axId val="397078904"/>
        <c:axId val="397078512"/>
      </c:lineChart>
      <c:catAx>
        <c:axId val="397077728"/>
        <c:scaling>
          <c:orientation val="minMax"/>
        </c:scaling>
        <c:delete val="0"/>
        <c:axPos val="b"/>
        <c:numFmt formatCode="General" sourceLinked="1"/>
        <c:majorTickMark val="out"/>
        <c:minorTickMark val="none"/>
        <c:tickLblPos val="nextTo"/>
        <c:crossAx val="397078120"/>
        <c:crosses val="autoZero"/>
        <c:auto val="1"/>
        <c:lblAlgn val="ctr"/>
        <c:lblOffset val="100"/>
        <c:noMultiLvlLbl val="0"/>
      </c:catAx>
      <c:valAx>
        <c:axId val="397078120"/>
        <c:scaling>
          <c:orientation val="minMax"/>
        </c:scaling>
        <c:delete val="0"/>
        <c:axPos val="l"/>
        <c:majorGridlines/>
        <c:title>
          <c:tx>
            <c:rich>
              <a:bodyPr rot="-5400000" vert="horz"/>
              <a:lstStyle/>
              <a:p>
                <a:pPr>
                  <a:defRPr/>
                </a:pPr>
                <a:r>
                  <a:rPr lang="en-ZA"/>
                  <a:t>Million</a:t>
                </a:r>
                <a:r>
                  <a:rPr lang="en-ZA" baseline="0"/>
                  <a:t> priv.veh.</a:t>
                </a:r>
                <a:endParaRPr lang="en-ZA"/>
              </a:p>
            </c:rich>
          </c:tx>
          <c:overlay val="0"/>
        </c:title>
        <c:numFmt formatCode="0" sourceLinked="0"/>
        <c:majorTickMark val="out"/>
        <c:minorTickMark val="none"/>
        <c:tickLblPos val="nextTo"/>
        <c:crossAx val="397077728"/>
        <c:crosses val="autoZero"/>
        <c:crossBetween val="between"/>
      </c:valAx>
      <c:valAx>
        <c:axId val="397078512"/>
        <c:scaling>
          <c:orientation val="minMax"/>
        </c:scaling>
        <c:delete val="0"/>
        <c:axPos val="r"/>
        <c:title>
          <c:tx>
            <c:rich>
              <a:bodyPr rot="-5400000" vert="horz"/>
              <a:lstStyle/>
              <a:p>
                <a:pPr>
                  <a:defRPr/>
                </a:pPr>
                <a:r>
                  <a:rPr lang="en-US"/>
                  <a:t>Priv.veh/'000 person</a:t>
                </a:r>
              </a:p>
            </c:rich>
          </c:tx>
          <c:overlay val="0"/>
        </c:title>
        <c:numFmt formatCode="0" sourceLinked="0"/>
        <c:majorTickMark val="out"/>
        <c:minorTickMark val="none"/>
        <c:tickLblPos val="nextTo"/>
        <c:crossAx val="397078904"/>
        <c:crosses val="max"/>
        <c:crossBetween val="between"/>
      </c:valAx>
      <c:catAx>
        <c:axId val="397078904"/>
        <c:scaling>
          <c:orientation val="minMax"/>
        </c:scaling>
        <c:delete val="1"/>
        <c:axPos val="b"/>
        <c:numFmt formatCode="General" sourceLinked="1"/>
        <c:majorTickMark val="out"/>
        <c:minorTickMark val="none"/>
        <c:tickLblPos val="nextTo"/>
        <c:crossAx val="397078512"/>
        <c:crosses val="autoZero"/>
        <c:auto val="1"/>
        <c:lblAlgn val="ctr"/>
        <c:lblOffset val="100"/>
        <c:noMultiLvlLbl val="0"/>
      </c:catAx>
    </c:plotArea>
    <c:legend>
      <c:legendPos val="r"/>
      <c:overlay val="0"/>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Low Income</a:t>
            </a:r>
          </a:p>
        </c:rich>
      </c:tx>
      <c:overlay val="0"/>
    </c:title>
    <c:autoTitleDeleted val="0"/>
    <c:plotArea>
      <c:layout/>
      <c:barChart>
        <c:barDir val="col"/>
        <c:grouping val="percentStacked"/>
        <c:varyColors val="0"/>
        <c:ser>
          <c:idx val="0"/>
          <c:order val="0"/>
          <c:tx>
            <c:strRef>
              <c:f>PTRA!$C$77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PTRA!$O$77:$AE$77</c:f>
              <c:numCache>
                <c:formatCode>0%</c:formatCode>
                <c:ptCount val="17"/>
                <c:pt idx="0">
                  <c:v>0.23381516587677725</c:v>
                </c:pt>
                <c:pt idx="1">
                  <c:v>0.23381516587677725</c:v>
                </c:pt>
                <c:pt idx="2">
                  <c:v>0.23381516587677725</c:v>
                </c:pt>
                <c:pt idx="3" formatCode="0.00">
                  <c:v>0.23381516587677725</c:v>
                </c:pt>
                <c:pt idx="4" formatCode="0.00">
                  <c:v>0.23381516587677725</c:v>
                </c:pt>
                <c:pt idx="5">
                  <c:v>0.23381516587677725</c:v>
                </c:pt>
                <c:pt idx="6">
                  <c:v>0.23381516587677725</c:v>
                </c:pt>
                <c:pt idx="7">
                  <c:v>0.23381516587677725</c:v>
                </c:pt>
                <c:pt idx="9">
                  <c:v>0.23381516587677725</c:v>
                </c:pt>
                <c:pt idx="10">
                  <c:v>0.23381516587677725</c:v>
                </c:pt>
                <c:pt idx="11">
                  <c:v>0.23381516587677725</c:v>
                </c:pt>
                <c:pt idx="12">
                  <c:v>0.23381516587677725</c:v>
                </c:pt>
                <c:pt idx="13">
                  <c:v>0.23381516587677725</c:v>
                </c:pt>
                <c:pt idx="14">
                  <c:v>0.21101818720379142</c:v>
                </c:pt>
                <c:pt idx="15">
                  <c:v>0.19044391395142174</c:v>
                </c:pt>
                <c:pt idx="16">
                  <c:v>0.17187563234115816</c:v>
                </c:pt>
              </c:numCache>
            </c:numRef>
          </c:val>
          <c:extLst>
            <c:ext xmlns:c16="http://schemas.microsoft.com/office/drawing/2014/chart" uri="{C3380CC4-5D6E-409C-BE32-E72D297353CC}">
              <c16:uniqueId val="{00000000-F8FE-4A1C-BF07-510B3E7619CC}"/>
            </c:ext>
          </c:extLst>
        </c:ser>
        <c:ser>
          <c:idx val="1"/>
          <c:order val="1"/>
          <c:tx>
            <c:strRef>
              <c:f>PTRA!$C$78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PTRA!$O$78:$AE$78</c:f>
              <c:numCache>
                <c:formatCode>0%</c:formatCode>
                <c:ptCount val="17"/>
                <c:pt idx="0">
                  <c:v>5.0000000000000001E-3</c:v>
                </c:pt>
                <c:pt idx="1">
                  <c:v>5.0000000000000001E-3</c:v>
                </c:pt>
                <c:pt idx="2">
                  <c:v>5.0000000000000001E-3</c:v>
                </c:pt>
                <c:pt idx="3" formatCode="0.00">
                  <c:v>5.0000000000000001E-3</c:v>
                </c:pt>
                <c:pt idx="4" formatCode="0.000">
                  <c:v>2.75E-2</c:v>
                </c:pt>
                <c:pt idx="5">
                  <c:v>0.05</c:v>
                </c:pt>
                <c:pt idx="6">
                  <c:v>0.1</c:v>
                </c:pt>
                <c:pt idx="7">
                  <c:v>0.15</c:v>
                </c:pt>
                <c:pt idx="9">
                  <c:v>5.0000000000000001E-3</c:v>
                </c:pt>
                <c:pt idx="10">
                  <c:v>5.0000000000000001E-3</c:v>
                </c:pt>
                <c:pt idx="11">
                  <c:v>5.0000000000000001E-3</c:v>
                </c:pt>
                <c:pt idx="12">
                  <c:v>5.0000000000000001E-3</c:v>
                </c:pt>
                <c:pt idx="13" formatCode="0.0%">
                  <c:v>2.75E-2</c:v>
                </c:pt>
                <c:pt idx="14">
                  <c:v>7.0000000000000007E-2</c:v>
                </c:pt>
                <c:pt idx="15">
                  <c:v>0.15</c:v>
                </c:pt>
                <c:pt idx="16">
                  <c:v>0.25</c:v>
                </c:pt>
              </c:numCache>
            </c:numRef>
          </c:val>
          <c:extLst>
            <c:ext xmlns:c16="http://schemas.microsoft.com/office/drawing/2014/chart" uri="{C3380CC4-5D6E-409C-BE32-E72D297353CC}">
              <c16:uniqueId val="{00000001-F8FE-4A1C-BF07-510B3E7619CC}"/>
            </c:ext>
          </c:extLst>
        </c:ser>
        <c:ser>
          <c:idx val="2"/>
          <c:order val="2"/>
          <c:tx>
            <c:strRef>
              <c:f>PTRA!$C$79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PTRA!$O$79:$AE$79</c:f>
              <c:numCache>
                <c:formatCode>0%</c:formatCode>
                <c:ptCount val="17"/>
                <c:pt idx="0">
                  <c:v>0</c:v>
                </c:pt>
                <c:pt idx="1">
                  <c:v>0</c:v>
                </c:pt>
                <c:pt idx="2">
                  <c:v>5.0000000000000001E-3</c:v>
                </c:pt>
                <c:pt idx="3" formatCode="0.00">
                  <c:v>5.0000000000000001E-3</c:v>
                </c:pt>
                <c:pt idx="4" formatCode="0.00">
                  <c:v>5.0000000000000001E-3</c:v>
                </c:pt>
                <c:pt idx="5">
                  <c:v>5.0000000000000001E-3</c:v>
                </c:pt>
                <c:pt idx="6">
                  <c:v>5.0000000000000001E-3</c:v>
                </c:pt>
                <c:pt idx="7">
                  <c:v>5.0000000000000001E-3</c:v>
                </c:pt>
                <c:pt idx="9">
                  <c:v>0</c:v>
                </c:pt>
                <c:pt idx="10">
                  <c:v>0</c:v>
                </c:pt>
                <c:pt idx="11">
                  <c:v>5.0000000000000001E-3</c:v>
                </c:pt>
                <c:pt idx="12">
                  <c:v>5.0000000000000001E-3</c:v>
                </c:pt>
                <c:pt idx="13">
                  <c:v>5.0000000000000001E-3</c:v>
                </c:pt>
                <c:pt idx="14">
                  <c:v>0</c:v>
                </c:pt>
                <c:pt idx="15">
                  <c:v>0</c:v>
                </c:pt>
                <c:pt idx="16">
                  <c:v>0</c:v>
                </c:pt>
              </c:numCache>
            </c:numRef>
          </c:val>
          <c:extLst>
            <c:ext xmlns:c16="http://schemas.microsoft.com/office/drawing/2014/chart" uri="{C3380CC4-5D6E-409C-BE32-E72D297353CC}">
              <c16:uniqueId val="{00000002-F8FE-4A1C-BF07-510B3E7619CC}"/>
            </c:ext>
          </c:extLst>
        </c:ser>
        <c:ser>
          <c:idx val="3"/>
          <c:order val="3"/>
          <c:tx>
            <c:strRef>
              <c:f>PTRA!$C$80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PTRA!$O$80:$AE$80</c:f>
              <c:numCache>
                <c:formatCode>0.0%</c:formatCode>
                <c:ptCount val="17"/>
                <c:pt idx="0">
                  <c:v>0.7611848341232228</c:v>
                </c:pt>
                <c:pt idx="1">
                  <c:v>0.7611848341232228</c:v>
                </c:pt>
                <c:pt idx="2">
                  <c:v>0.75618483412322268</c:v>
                </c:pt>
                <c:pt idx="3">
                  <c:v>0.75618483412322268</c:v>
                </c:pt>
                <c:pt idx="4">
                  <c:v>0.73368483412322272</c:v>
                </c:pt>
                <c:pt idx="5">
                  <c:v>0.71118483412322275</c:v>
                </c:pt>
                <c:pt idx="6">
                  <c:v>0.66118483412322271</c:v>
                </c:pt>
                <c:pt idx="7">
                  <c:v>0.61118483412322278</c:v>
                </c:pt>
                <c:pt idx="9" formatCode="0%">
                  <c:v>0.7611848341232228</c:v>
                </c:pt>
                <c:pt idx="10" formatCode="0%">
                  <c:v>0.7611848341232228</c:v>
                </c:pt>
                <c:pt idx="11" formatCode="0%">
                  <c:v>0.75618483412322268</c:v>
                </c:pt>
                <c:pt idx="12" formatCode="0%">
                  <c:v>0.75618483412322268</c:v>
                </c:pt>
                <c:pt idx="13" formatCode="0%">
                  <c:v>0.73368483412322272</c:v>
                </c:pt>
                <c:pt idx="14">
                  <c:v>0.71898181279620854</c:v>
                </c:pt>
                <c:pt idx="15">
                  <c:v>0.65955608604857829</c:v>
                </c:pt>
                <c:pt idx="16">
                  <c:v>0.5781243676588419</c:v>
                </c:pt>
              </c:numCache>
            </c:numRef>
          </c:val>
          <c:extLst>
            <c:ext xmlns:c16="http://schemas.microsoft.com/office/drawing/2014/chart" uri="{C3380CC4-5D6E-409C-BE32-E72D297353CC}">
              <c16:uniqueId val="{00000003-F8FE-4A1C-BF07-510B3E7619CC}"/>
            </c:ext>
          </c:extLst>
        </c:ser>
        <c:dLbls>
          <c:showLegendKey val="0"/>
          <c:showVal val="0"/>
          <c:showCatName val="0"/>
          <c:showSerName val="0"/>
          <c:showPercent val="0"/>
          <c:showBubbleSize val="0"/>
        </c:dLbls>
        <c:gapWidth val="60"/>
        <c:overlap val="100"/>
        <c:axId val="467847328"/>
        <c:axId val="467847720"/>
      </c:barChart>
      <c:catAx>
        <c:axId val="467847328"/>
        <c:scaling>
          <c:orientation val="minMax"/>
        </c:scaling>
        <c:delete val="0"/>
        <c:axPos val="b"/>
        <c:numFmt formatCode="General" sourceLinked="1"/>
        <c:majorTickMark val="out"/>
        <c:minorTickMark val="none"/>
        <c:tickLblPos val="nextTo"/>
        <c:crossAx val="467847720"/>
        <c:crosses val="autoZero"/>
        <c:auto val="1"/>
        <c:lblAlgn val="ctr"/>
        <c:lblOffset val="100"/>
        <c:noMultiLvlLbl val="0"/>
      </c:catAx>
      <c:valAx>
        <c:axId val="467847720"/>
        <c:scaling>
          <c:orientation val="minMax"/>
        </c:scaling>
        <c:delete val="0"/>
        <c:axPos val="l"/>
        <c:majorGridlines/>
        <c:numFmt formatCode="0%" sourceLinked="1"/>
        <c:majorTickMark val="out"/>
        <c:minorTickMark val="none"/>
        <c:tickLblPos val="nextTo"/>
        <c:crossAx val="467847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Middle Income</a:t>
            </a:r>
          </a:p>
        </c:rich>
      </c:tx>
      <c:overlay val="0"/>
    </c:title>
    <c:autoTitleDeleted val="0"/>
    <c:plotArea>
      <c:layout/>
      <c:barChart>
        <c:barDir val="col"/>
        <c:grouping val="percentStacked"/>
        <c:varyColors val="0"/>
        <c:ser>
          <c:idx val="0"/>
          <c:order val="0"/>
          <c:tx>
            <c:strRef>
              <c:f>PTRA!$C$82</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PTRA!$O$82:$AE$82</c:f>
              <c:numCache>
                <c:formatCode>0%</c:formatCode>
                <c:ptCount val="17"/>
                <c:pt idx="0">
                  <c:v>0.48950040478087659</c:v>
                </c:pt>
                <c:pt idx="1">
                  <c:v>0.48950040478087659</c:v>
                </c:pt>
                <c:pt idx="2">
                  <c:v>0.48950040478087659</c:v>
                </c:pt>
                <c:pt idx="3" formatCode="0.00">
                  <c:v>0.48950040478087659</c:v>
                </c:pt>
                <c:pt idx="4" formatCode="0.00">
                  <c:v>0.48950040478087659</c:v>
                </c:pt>
                <c:pt idx="5">
                  <c:v>0.48950040478087659</c:v>
                </c:pt>
                <c:pt idx="6">
                  <c:v>0.48950040478087659</c:v>
                </c:pt>
                <c:pt idx="7">
                  <c:v>0.48950040478087659</c:v>
                </c:pt>
                <c:pt idx="9">
                  <c:v>0.48950040478087659</c:v>
                </c:pt>
                <c:pt idx="10">
                  <c:v>0.48950040478087659</c:v>
                </c:pt>
                <c:pt idx="11">
                  <c:v>0.48950040478087659</c:v>
                </c:pt>
                <c:pt idx="12">
                  <c:v>0.48950040478087659</c:v>
                </c:pt>
                <c:pt idx="13">
                  <c:v>0.48950040478087659</c:v>
                </c:pt>
                <c:pt idx="14">
                  <c:v>0.44177411531474098</c:v>
                </c:pt>
                <c:pt idx="15">
                  <c:v>0.4196854095490038</c:v>
                </c:pt>
                <c:pt idx="16">
                  <c:v>0.37876608211797597</c:v>
                </c:pt>
              </c:numCache>
            </c:numRef>
          </c:val>
          <c:extLst>
            <c:ext xmlns:c16="http://schemas.microsoft.com/office/drawing/2014/chart" uri="{C3380CC4-5D6E-409C-BE32-E72D297353CC}">
              <c16:uniqueId val="{00000000-B4AC-406C-8BE8-67172807ACD4}"/>
            </c:ext>
          </c:extLst>
        </c:ser>
        <c:ser>
          <c:idx val="1"/>
          <c:order val="1"/>
          <c:tx>
            <c:strRef>
              <c:f>PTRA!$C$83</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PTRA!$O$83:$AE$83</c:f>
              <c:numCache>
                <c:formatCode>0.0%</c:formatCode>
                <c:ptCount val="17"/>
                <c:pt idx="0">
                  <c:v>0.01</c:v>
                </c:pt>
                <c:pt idx="1">
                  <c:v>0.01</c:v>
                </c:pt>
                <c:pt idx="2">
                  <c:v>0.01</c:v>
                </c:pt>
                <c:pt idx="3" formatCode="0.00">
                  <c:v>0.01</c:v>
                </c:pt>
                <c:pt idx="4" formatCode="0.00">
                  <c:v>3.0000000000000002E-2</c:v>
                </c:pt>
                <c:pt idx="5" formatCode="0%">
                  <c:v>0.05</c:v>
                </c:pt>
                <c:pt idx="6" formatCode="0%">
                  <c:v>0.1</c:v>
                </c:pt>
                <c:pt idx="7" formatCode="0%">
                  <c:v>0.15</c:v>
                </c:pt>
                <c:pt idx="9" formatCode="0%">
                  <c:v>0.01</c:v>
                </c:pt>
                <c:pt idx="10" formatCode="0%">
                  <c:v>0.01</c:v>
                </c:pt>
                <c:pt idx="11" formatCode="0%">
                  <c:v>0.01</c:v>
                </c:pt>
                <c:pt idx="12" formatCode="0%">
                  <c:v>0.01</c:v>
                </c:pt>
                <c:pt idx="13" formatCode="0%">
                  <c:v>3.0000000000000002E-2</c:v>
                </c:pt>
                <c:pt idx="14" formatCode="0%">
                  <c:v>7.0000000000000007E-2</c:v>
                </c:pt>
                <c:pt idx="15" formatCode="0%">
                  <c:v>0.15</c:v>
                </c:pt>
                <c:pt idx="16" formatCode="0%">
                  <c:v>0.25</c:v>
                </c:pt>
              </c:numCache>
            </c:numRef>
          </c:val>
          <c:extLst>
            <c:ext xmlns:c16="http://schemas.microsoft.com/office/drawing/2014/chart" uri="{C3380CC4-5D6E-409C-BE32-E72D297353CC}">
              <c16:uniqueId val="{00000001-B4AC-406C-8BE8-67172807ACD4}"/>
            </c:ext>
          </c:extLst>
        </c:ser>
        <c:ser>
          <c:idx val="2"/>
          <c:order val="2"/>
          <c:tx>
            <c:strRef>
              <c:f>PTRA!$C$84</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PTRA!$O$84:$AE$84</c:f>
              <c:numCache>
                <c:formatCode>0.00%</c:formatCode>
                <c:ptCount val="17"/>
                <c:pt idx="0">
                  <c:v>2E-3</c:v>
                </c:pt>
                <c:pt idx="1">
                  <c:v>2E-3</c:v>
                </c:pt>
                <c:pt idx="2">
                  <c:v>2E-3</c:v>
                </c:pt>
                <c:pt idx="3" formatCode="0.00">
                  <c:v>2E-3</c:v>
                </c:pt>
                <c:pt idx="4" formatCode="0.00">
                  <c:v>2E-3</c:v>
                </c:pt>
                <c:pt idx="5">
                  <c:v>2E-3</c:v>
                </c:pt>
                <c:pt idx="6">
                  <c:v>2E-3</c:v>
                </c:pt>
                <c:pt idx="7">
                  <c:v>2E-3</c:v>
                </c:pt>
                <c:pt idx="9" formatCode="0%">
                  <c:v>2E-3</c:v>
                </c:pt>
                <c:pt idx="10" formatCode="0%">
                  <c:v>2E-3</c:v>
                </c:pt>
                <c:pt idx="11" formatCode="0%">
                  <c:v>2E-3</c:v>
                </c:pt>
                <c:pt idx="12" formatCode="0%">
                  <c:v>2E-3</c:v>
                </c:pt>
                <c:pt idx="13" formatCode="0%">
                  <c:v>2E-3</c:v>
                </c:pt>
                <c:pt idx="14" formatCode="0.0%">
                  <c:v>0.01</c:v>
                </c:pt>
                <c:pt idx="15" formatCode="0.0%">
                  <c:v>0.02</c:v>
                </c:pt>
                <c:pt idx="16" formatCode="0.0%">
                  <c:v>0.03</c:v>
                </c:pt>
              </c:numCache>
            </c:numRef>
          </c:val>
          <c:extLst>
            <c:ext xmlns:c16="http://schemas.microsoft.com/office/drawing/2014/chart" uri="{C3380CC4-5D6E-409C-BE32-E72D297353CC}">
              <c16:uniqueId val="{00000002-B4AC-406C-8BE8-67172807ACD4}"/>
            </c:ext>
          </c:extLst>
        </c:ser>
        <c:ser>
          <c:idx val="3"/>
          <c:order val="3"/>
          <c:tx>
            <c:strRef>
              <c:f>PTRA!$C$85</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PTRA!$O$85:$AE$85</c:f>
              <c:numCache>
                <c:formatCode>0.0%</c:formatCode>
                <c:ptCount val="17"/>
                <c:pt idx="0">
                  <c:v>0.49849959521912346</c:v>
                </c:pt>
                <c:pt idx="1">
                  <c:v>0.49849959521912346</c:v>
                </c:pt>
                <c:pt idx="2">
                  <c:v>0.49849959521912346</c:v>
                </c:pt>
                <c:pt idx="3">
                  <c:v>0.49849959521912346</c:v>
                </c:pt>
                <c:pt idx="4">
                  <c:v>0.47849959521912344</c:v>
                </c:pt>
                <c:pt idx="5">
                  <c:v>0.45849959521912342</c:v>
                </c:pt>
                <c:pt idx="6">
                  <c:v>0.40849959521912338</c:v>
                </c:pt>
                <c:pt idx="7">
                  <c:v>0.35849959521912345</c:v>
                </c:pt>
                <c:pt idx="9" formatCode="0%">
                  <c:v>0.49849959521912346</c:v>
                </c:pt>
                <c:pt idx="10" formatCode="0%">
                  <c:v>0.49849959521912346</c:v>
                </c:pt>
                <c:pt idx="11" formatCode="0%">
                  <c:v>0.49849959521912346</c:v>
                </c:pt>
                <c:pt idx="12" formatCode="0%">
                  <c:v>0.49849959521912346</c:v>
                </c:pt>
                <c:pt idx="13" formatCode="0%">
                  <c:v>0.47849959521912344</c:v>
                </c:pt>
                <c:pt idx="14">
                  <c:v>0.47822588468525895</c:v>
                </c:pt>
                <c:pt idx="15">
                  <c:v>0.41031459045099616</c:v>
                </c:pt>
                <c:pt idx="16">
                  <c:v>0.34123391788202406</c:v>
                </c:pt>
              </c:numCache>
            </c:numRef>
          </c:val>
          <c:extLst>
            <c:ext xmlns:c16="http://schemas.microsoft.com/office/drawing/2014/chart" uri="{C3380CC4-5D6E-409C-BE32-E72D297353CC}">
              <c16:uniqueId val="{00000003-B4AC-406C-8BE8-67172807ACD4}"/>
            </c:ext>
          </c:extLst>
        </c:ser>
        <c:dLbls>
          <c:showLegendKey val="0"/>
          <c:showVal val="0"/>
          <c:showCatName val="0"/>
          <c:showSerName val="0"/>
          <c:showPercent val="0"/>
          <c:showBubbleSize val="0"/>
        </c:dLbls>
        <c:gapWidth val="60"/>
        <c:overlap val="100"/>
        <c:axId val="467848504"/>
        <c:axId val="467848896"/>
      </c:barChart>
      <c:catAx>
        <c:axId val="467848504"/>
        <c:scaling>
          <c:orientation val="minMax"/>
        </c:scaling>
        <c:delete val="0"/>
        <c:axPos val="b"/>
        <c:numFmt formatCode="General" sourceLinked="1"/>
        <c:majorTickMark val="out"/>
        <c:minorTickMark val="none"/>
        <c:tickLblPos val="nextTo"/>
        <c:crossAx val="467848896"/>
        <c:crosses val="autoZero"/>
        <c:auto val="1"/>
        <c:lblAlgn val="ctr"/>
        <c:lblOffset val="100"/>
        <c:noMultiLvlLbl val="0"/>
      </c:catAx>
      <c:valAx>
        <c:axId val="467848896"/>
        <c:scaling>
          <c:orientation val="minMax"/>
        </c:scaling>
        <c:delete val="0"/>
        <c:axPos val="l"/>
        <c:majorGridlines/>
        <c:numFmt formatCode="0%" sourceLinked="1"/>
        <c:majorTickMark val="out"/>
        <c:minorTickMark val="none"/>
        <c:tickLblPos val="nextTo"/>
        <c:crossAx val="4678485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ZA"/>
              <a:t>High Income</a:t>
            </a:r>
          </a:p>
        </c:rich>
      </c:tx>
      <c:overlay val="0"/>
    </c:title>
    <c:autoTitleDeleted val="0"/>
    <c:plotArea>
      <c:layout/>
      <c:barChart>
        <c:barDir val="col"/>
        <c:grouping val="percentStacked"/>
        <c:varyColors val="0"/>
        <c:ser>
          <c:idx val="0"/>
          <c:order val="0"/>
          <c:tx>
            <c:strRef>
              <c:f>PTRA!$C$87</c:f>
              <c:strCache>
                <c:ptCount val="1"/>
                <c:pt idx="0">
                  <c:v>Priv.veh.</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PTRA!$O$87:$AE$87</c:f>
              <c:numCache>
                <c:formatCode>0%</c:formatCode>
                <c:ptCount val="17"/>
                <c:pt idx="0">
                  <c:v>0.69691003522723105</c:v>
                </c:pt>
                <c:pt idx="1">
                  <c:v>0.69691003522723105</c:v>
                </c:pt>
                <c:pt idx="2">
                  <c:v>0.69691003522723105</c:v>
                </c:pt>
                <c:pt idx="3" formatCode="0.00">
                  <c:v>0.69561638544480764</c:v>
                </c:pt>
                <c:pt idx="4" formatCode="0.00">
                  <c:v>0.71119144186232286</c:v>
                </c:pt>
                <c:pt idx="5">
                  <c:v>0.72641438338744257</c:v>
                </c:pt>
                <c:pt idx="6">
                  <c:v>0.77931760118081295</c:v>
                </c:pt>
                <c:pt idx="7">
                  <c:v>0.82170196023217945</c:v>
                </c:pt>
                <c:pt idx="9">
                  <c:v>0.69691003522723105</c:v>
                </c:pt>
                <c:pt idx="10">
                  <c:v>0.69691003522723105</c:v>
                </c:pt>
                <c:pt idx="11">
                  <c:v>0.69691003522723105</c:v>
                </c:pt>
                <c:pt idx="12">
                  <c:v>0.69561638544480764</c:v>
                </c:pt>
                <c:pt idx="13">
                  <c:v>0.71119144186232286</c:v>
                </c:pt>
                <c:pt idx="14">
                  <c:v>0.66127032641347017</c:v>
                </c:pt>
                <c:pt idx="15">
                  <c:v>0.62862010404680502</c:v>
                </c:pt>
                <c:pt idx="16">
                  <c:v>0.59758198640949389</c:v>
                </c:pt>
              </c:numCache>
            </c:numRef>
          </c:val>
          <c:extLst>
            <c:ext xmlns:c16="http://schemas.microsoft.com/office/drawing/2014/chart" uri="{C3380CC4-5D6E-409C-BE32-E72D297353CC}">
              <c16:uniqueId val="{00000000-59F5-4E80-B340-D566D5EE5CFA}"/>
            </c:ext>
          </c:extLst>
        </c:ser>
        <c:ser>
          <c:idx val="1"/>
          <c:order val="1"/>
          <c:tx>
            <c:strRef>
              <c:f>PTRA!$C$88</c:f>
              <c:strCache>
                <c:ptCount val="1"/>
                <c:pt idx="0">
                  <c:v>BRT</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PTRA!$O$88:$AE$88</c:f>
              <c:numCache>
                <c:formatCode>0%</c:formatCode>
                <c:ptCount val="17"/>
                <c:pt idx="0">
                  <c:v>5.0000000000000001E-3</c:v>
                </c:pt>
                <c:pt idx="1">
                  <c:v>5.0000000000000001E-3</c:v>
                </c:pt>
                <c:pt idx="2">
                  <c:v>5.0000000000000001E-3</c:v>
                </c:pt>
                <c:pt idx="3" formatCode="0.00">
                  <c:v>5.0000000000000001E-3</c:v>
                </c:pt>
                <c:pt idx="4" formatCode="0.00">
                  <c:v>5.0000000000000001E-3</c:v>
                </c:pt>
                <c:pt idx="5">
                  <c:v>0.03</c:v>
                </c:pt>
                <c:pt idx="6">
                  <c:v>3.5000000000000003E-2</c:v>
                </c:pt>
                <c:pt idx="7">
                  <c:v>0.04</c:v>
                </c:pt>
                <c:pt idx="9">
                  <c:v>5.0000000000000001E-3</c:v>
                </c:pt>
                <c:pt idx="10">
                  <c:v>5.0000000000000001E-3</c:v>
                </c:pt>
                <c:pt idx="11">
                  <c:v>5.0000000000000001E-3</c:v>
                </c:pt>
                <c:pt idx="12">
                  <c:v>5.0000000000000001E-3</c:v>
                </c:pt>
                <c:pt idx="13">
                  <c:v>5.0000000000000001E-3</c:v>
                </c:pt>
                <c:pt idx="14">
                  <c:v>0.03</c:v>
                </c:pt>
                <c:pt idx="15">
                  <c:v>0.05</c:v>
                </c:pt>
                <c:pt idx="16">
                  <c:v>0.1</c:v>
                </c:pt>
              </c:numCache>
            </c:numRef>
          </c:val>
          <c:extLst>
            <c:ext xmlns:c16="http://schemas.microsoft.com/office/drawing/2014/chart" uri="{C3380CC4-5D6E-409C-BE32-E72D297353CC}">
              <c16:uniqueId val="{00000001-59F5-4E80-B340-D566D5EE5CFA}"/>
            </c:ext>
          </c:extLst>
        </c:ser>
        <c:ser>
          <c:idx val="2"/>
          <c:order val="2"/>
          <c:tx>
            <c:strRef>
              <c:f>PTRA!$C$89</c:f>
              <c:strCache>
                <c:ptCount val="1"/>
                <c:pt idx="0">
                  <c:v>Gautrain</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PTRA!$O$89:$AE$89</c:f>
              <c:numCache>
                <c:formatCode>0%</c:formatCode>
                <c:ptCount val="17"/>
                <c:pt idx="0">
                  <c:v>5.0000000000000001E-3</c:v>
                </c:pt>
                <c:pt idx="1">
                  <c:v>5.0000000000000001E-3</c:v>
                </c:pt>
                <c:pt idx="2">
                  <c:v>5.0000000000000001E-3</c:v>
                </c:pt>
                <c:pt idx="3" formatCode="0.00">
                  <c:v>5.0000000000000001E-3</c:v>
                </c:pt>
                <c:pt idx="4" formatCode="0.00">
                  <c:v>5.0000000000000001E-3</c:v>
                </c:pt>
                <c:pt idx="5" formatCode="0.0%">
                  <c:v>5.0000000000000001E-3</c:v>
                </c:pt>
                <c:pt idx="6" formatCode="0.0%">
                  <c:v>5.0000000000000001E-3</c:v>
                </c:pt>
                <c:pt idx="7" formatCode="0.0%">
                  <c:v>5.0000000000000001E-3</c:v>
                </c:pt>
                <c:pt idx="9">
                  <c:v>5.0000000000000001E-3</c:v>
                </c:pt>
                <c:pt idx="10">
                  <c:v>5.0000000000000001E-3</c:v>
                </c:pt>
                <c:pt idx="11">
                  <c:v>5.0000000000000001E-3</c:v>
                </c:pt>
                <c:pt idx="12">
                  <c:v>5.0000000000000001E-3</c:v>
                </c:pt>
                <c:pt idx="13">
                  <c:v>5.0000000000000001E-3</c:v>
                </c:pt>
                <c:pt idx="14" formatCode="0.0%">
                  <c:v>0.01</c:v>
                </c:pt>
                <c:pt idx="15" formatCode="0.0%">
                  <c:v>0.03</c:v>
                </c:pt>
                <c:pt idx="16" formatCode="0.0%">
                  <c:v>0.05</c:v>
                </c:pt>
              </c:numCache>
            </c:numRef>
          </c:val>
          <c:extLst>
            <c:ext xmlns:c16="http://schemas.microsoft.com/office/drawing/2014/chart" uri="{C3380CC4-5D6E-409C-BE32-E72D297353CC}">
              <c16:uniqueId val="{00000002-59F5-4E80-B340-D566D5EE5CFA}"/>
            </c:ext>
          </c:extLst>
        </c:ser>
        <c:ser>
          <c:idx val="3"/>
          <c:order val="3"/>
          <c:tx>
            <c:strRef>
              <c:f>PTRA!$C$90</c:f>
              <c:strCache>
                <c:ptCount val="1"/>
                <c:pt idx="0">
                  <c:v>Bus, minibus, metro rail</c:v>
                </c:pt>
              </c:strCache>
            </c:strRef>
          </c:tx>
          <c:invertIfNegative val="0"/>
          <c:cat>
            <c:numRef>
              <c:f>PTRA!$O$76:$AE$76</c:f>
              <c:numCache>
                <c:formatCode>General</c:formatCode>
                <c:ptCount val="17"/>
                <c:pt idx="0">
                  <c:v>2015</c:v>
                </c:pt>
                <c:pt idx="1">
                  <c:v>2017</c:v>
                </c:pt>
                <c:pt idx="2">
                  <c:v>2019</c:v>
                </c:pt>
                <c:pt idx="3">
                  <c:v>2020</c:v>
                </c:pt>
                <c:pt idx="4">
                  <c:v>2021</c:v>
                </c:pt>
                <c:pt idx="5">
                  <c:v>2030</c:v>
                </c:pt>
                <c:pt idx="6">
                  <c:v>2040</c:v>
                </c:pt>
                <c:pt idx="7">
                  <c:v>2050</c:v>
                </c:pt>
                <c:pt idx="9">
                  <c:v>2015</c:v>
                </c:pt>
                <c:pt idx="10">
                  <c:v>2017</c:v>
                </c:pt>
                <c:pt idx="11">
                  <c:v>2019</c:v>
                </c:pt>
                <c:pt idx="12">
                  <c:v>2020</c:v>
                </c:pt>
                <c:pt idx="13">
                  <c:v>2021</c:v>
                </c:pt>
                <c:pt idx="14">
                  <c:v>2030</c:v>
                </c:pt>
                <c:pt idx="15">
                  <c:v>2040</c:v>
                </c:pt>
                <c:pt idx="16">
                  <c:v>2050</c:v>
                </c:pt>
              </c:numCache>
            </c:numRef>
          </c:cat>
          <c:val>
            <c:numRef>
              <c:f>PTRA!$O$90:$AE$90</c:f>
              <c:numCache>
                <c:formatCode>0.0%</c:formatCode>
                <c:ptCount val="17"/>
                <c:pt idx="0">
                  <c:v>0.29308996477276894</c:v>
                </c:pt>
                <c:pt idx="1">
                  <c:v>0.29308996477276894</c:v>
                </c:pt>
                <c:pt idx="2">
                  <c:v>0.29308996477276894</c:v>
                </c:pt>
                <c:pt idx="3">
                  <c:v>0.29438361455519235</c:v>
                </c:pt>
                <c:pt idx="4">
                  <c:v>0.27880855813767713</c:v>
                </c:pt>
                <c:pt idx="5">
                  <c:v>0.23858561661255739</c:v>
                </c:pt>
                <c:pt idx="6">
                  <c:v>0.18068239881918702</c:v>
                </c:pt>
                <c:pt idx="7">
                  <c:v>0.13329803976782051</c:v>
                </c:pt>
                <c:pt idx="9" formatCode="0%">
                  <c:v>0.29308996477276894</c:v>
                </c:pt>
                <c:pt idx="10" formatCode="0%">
                  <c:v>0.29308996477276894</c:v>
                </c:pt>
                <c:pt idx="11" formatCode="0%">
                  <c:v>0.29308996477276894</c:v>
                </c:pt>
                <c:pt idx="12" formatCode="0%">
                  <c:v>0.29438361455519235</c:v>
                </c:pt>
                <c:pt idx="13" formatCode="0%">
                  <c:v>0.27880855813767713</c:v>
                </c:pt>
                <c:pt idx="14">
                  <c:v>0.2987296735865298</c:v>
                </c:pt>
                <c:pt idx="15">
                  <c:v>0.29137989595319491</c:v>
                </c:pt>
                <c:pt idx="16">
                  <c:v>0.25241801359050609</c:v>
                </c:pt>
              </c:numCache>
            </c:numRef>
          </c:val>
          <c:extLst>
            <c:ext xmlns:c16="http://schemas.microsoft.com/office/drawing/2014/chart" uri="{C3380CC4-5D6E-409C-BE32-E72D297353CC}">
              <c16:uniqueId val="{00000003-59F5-4E80-B340-D566D5EE5CFA}"/>
            </c:ext>
          </c:extLst>
        </c:ser>
        <c:dLbls>
          <c:showLegendKey val="0"/>
          <c:showVal val="0"/>
          <c:showCatName val="0"/>
          <c:showSerName val="0"/>
          <c:showPercent val="0"/>
          <c:showBubbleSize val="0"/>
        </c:dLbls>
        <c:gapWidth val="60"/>
        <c:overlap val="100"/>
        <c:axId val="467849680"/>
        <c:axId val="467850072"/>
      </c:barChart>
      <c:catAx>
        <c:axId val="467849680"/>
        <c:scaling>
          <c:orientation val="minMax"/>
        </c:scaling>
        <c:delete val="0"/>
        <c:axPos val="b"/>
        <c:numFmt formatCode="General" sourceLinked="1"/>
        <c:majorTickMark val="out"/>
        <c:minorTickMark val="none"/>
        <c:tickLblPos val="nextTo"/>
        <c:crossAx val="467850072"/>
        <c:crosses val="autoZero"/>
        <c:auto val="1"/>
        <c:lblAlgn val="ctr"/>
        <c:lblOffset val="100"/>
        <c:noMultiLvlLbl val="0"/>
      </c:catAx>
      <c:valAx>
        <c:axId val="467850072"/>
        <c:scaling>
          <c:orientation val="minMax"/>
        </c:scaling>
        <c:delete val="0"/>
        <c:axPos val="l"/>
        <c:majorGridlines/>
        <c:numFmt formatCode="0%" sourceLinked="1"/>
        <c:majorTickMark val="out"/>
        <c:minorTickMark val="none"/>
        <c:tickLblPos val="nextTo"/>
        <c:crossAx val="46784968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PTRA!$D$219</c:f>
              <c:strCache>
                <c:ptCount val="1"/>
                <c:pt idx="0">
                  <c:v>TPPRCAR</c:v>
                </c:pt>
              </c:strCache>
            </c:strRef>
          </c:tx>
          <c:spPr>
            <a:ln w="28575" cap="rnd">
              <a:solidFill>
                <a:schemeClr val="accent1"/>
              </a:solidFill>
              <a:round/>
            </a:ln>
            <a:effectLst/>
          </c:spPr>
          <c:marker>
            <c:symbol val="none"/>
          </c:marker>
          <c:val>
            <c:numRef>
              <c:f>PTRA!$J$219:$AP$219</c:f>
              <c:numCache>
                <c:formatCode>0.00</c:formatCode>
                <c:ptCount val="33"/>
                <c:pt idx="0">
                  <c:v>77.614189675901358</c:v>
                </c:pt>
                <c:pt idx="1">
                  <c:v>78.66974968553842</c:v>
                </c:pt>
                <c:pt idx="2">
                  <c:v>79.725309695175483</c:v>
                </c:pt>
                <c:pt idx="3">
                  <c:v>80.780869704812559</c:v>
                </c:pt>
                <c:pt idx="4">
                  <c:v>80.466711296587334</c:v>
                </c:pt>
                <c:pt idx="5">
                  <c:v>80.152552888362095</c:v>
                </c:pt>
                <c:pt idx="6">
                  <c:v>82.139088284189654</c:v>
                </c:pt>
                <c:pt idx="7">
                  <c:v>84.125623680017213</c:v>
                </c:pt>
                <c:pt idx="8">
                  <c:v>78.575402784147585</c:v>
                </c:pt>
                <c:pt idx="9">
                  <c:v>79.324692031817534</c:v>
                </c:pt>
                <c:pt idx="10">
                  <c:v>81.956575202302233</c:v>
                </c:pt>
                <c:pt idx="11">
                  <c:v>84.588458372786931</c:v>
                </c:pt>
                <c:pt idx="12">
                  <c:v>87.22034154327163</c:v>
                </c:pt>
                <c:pt idx="13">
                  <c:v>89.852224713756328</c:v>
                </c:pt>
                <c:pt idx="14">
                  <c:v>92.484107884241027</c:v>
                </c:pt>
                <c:pt idx="15">
                  <c:v>95.115991054725725</c:v>
                </c:pt>
                <c:pt idx="16">
                  <c:v>97.747874225210424</c:v>
                </c:pt>
                <c:pt idx="17">
                  <c:v>100.37975739569512</c:v>
                </c:pt>
                <c:pt idx="18">
                  <c:v>103.01164056617978</c:v>
                </c:pt>
                <c:pt idx="19">
                  <c:v>106.01576233268294</c:v>
                </c:pt>
                <c:pt idx="20">
                  <c:v>109.0198840991861</c:v>
                </c:pt>
                <c:pt idx="21">
                  <c:v>112.02400586568926</c:v>
                </c:pt>
                <c:pt idx="22">
                  <c:v>115.02812763219242</c:v>
                </c:pt>
                <c:pt idx="23">
                  <c:v>118.03224939869558</c:v>
                </c:pt>
                <c:pt idx="24">
                  <c:v>121.03637116519874</c:v>
                </c:pt>
                <c:pt idx="25">
                  <c:v>124.04049293170191</c:v>
                </c:pt>
                <c:pt idx="26">
                  <c:v>127.04461469820507</c:v>
                </c:pt>
                <c:pt idx="27">
                  <c:v>130.04873646470824</c:v>
                </c:pt>
                <c:pt idx="28">
                  <c:v>133.05285823121142</c:v>
                </c:pt>
                <c:pt idx="29">
                  <c:v>148.2949791530944</c:v>
                </c:pt>
                <c:pt idx="30">
                  <c:v>163.53710007497739</c:v>
                </c:pt>
                <c:pt idx="31">
                  <c:v>163.53710007497739</c:v>
                </c:pt>
                <c:pt idx="32">
                  <c:v>163.53710007497739</c:v>
                </c:pt>
              </c:numCache>
            </c:numRef>
          </c:val>
          <c:smooth val="0"/>
          <c:extLst>
            <c:ext xmlns:c16="http://schemas.microsoft.com/office/drawing/2014/chart" uri="{C3380CC4-5D6E-409C-BE32-E72D297353CC}">
              <c16:uniqueId val="{00000000-5DA7-4BCF-9B88-A448B42D3A15}"/>
            </c:ext>
          </c:extLst>
        </c:ser>
        <c:ser>
          <c:idx val="1"/>
          <c:order val="1"/>
          <c:tx>
            <c:strRef>
              <c:f>PTRA!$D$220</c:f>
              <c:strCache>
                <c:ptCount val="1"/>
                <c:pt idx="0">
                  <c:v>TPPRSUV</c:v>
                </c:pt>
              </c:strCache>
            </c:strRef>
          </c:tx>
          <c:spPr>
            <a:ln w="28575" cap="rnd">
              <a:solidFill>
                <a:schemeClr val="accent2"/>
              </a:solidFill>
              <a:round/>
            </a:ln>
            <a:effectLst/>
          </c:spPr>
          <c:marker>
            <c:symbol val="none"/>
          </c:marker>
          <c:val>
            <c:numRef>
              <c:f>PTRA!$J$220:$AP$220</c:f>
              <c:numCache>
                <c:formatCode>0.00</c:formatCode>
                <c:ptCount val="33"/>
                <c:pt idx="0">
                  <c:v>9.939379683721306</c:v>
                </c:pt>
                <c:pt idx="1">
                  <c:v>11.042214536035432</c:v>
                </c:pt>
                <c:pt idx="2">
                  <c:v>12.145049388349559</c:v>
                </c:pt>
                <c:pt idx="3">
                  <c:v>13.247884240663684</c:v>
                </c:pt>
                <c:pt idx="4">
                  <c:v>15.140150864720315</c:v>
                </c:pt>
                <c:pt idx="5">
                  <c:v>17.032417488776947</c:v>
                </c:pt>
                <c:pt idx="6">
                  <c:v>17.454556260390305</c:v>
                </c:pt>
                <c:pt idx="7">
                  <c:v>17.87669503200366</c:v>
                </c:pt>
                <c:pt idx="8">
                  <c:v>16.697273091631363</c:v>
                </c:pt>
                <c:pt idx="9">
                  <c:v>16.856497056761228</c:v>
                </c:pt>
                <c:pt idx="10">
                  <c:v>17.415772230489225</c:v>
                </c:pt>
                <c:pt idx="11">
                  <c:v>17.975047404217221</c:v>
                </c:pt>
                <c:pt idx="12">
                  <c:v>18.534322577945218</c:v>
                </c:pt>
                <c:pt idx="13">
                  <c:v>19.093597751673215</c:v>
                </c:pt>
                <c:pt idx="14">
                  <c:v>19.652872925401212</c:v>
                </c:pt>
                <c:pt idx="15">
                  <c:v>20.212148099129209</c:v>
                </c:pt>
                <c:pt idx="16">
                  <c:v>20.771423272857206</c:v>
                </c:pt>
                <c:pt idx="17">
                  <c:v>21.330698446585203</c:v>
                </c:pt>
                <c:pt idx="18">
                  <c:v>21.889973620313206</c:v>
                </c:pt>
                <c:pt idx="19">
                  <c:v>22.528349495695128</c:v>
                </c:pt>
                <c:pt idx="20">
                  <c:v>23.16672537107705</c:v>
                </c:pt>
                <c:pt idx="21">
                  <c:v>23.805101246458971</c:v>
                </c:pt>
                <c:pt idx="22">
                  <c:v>24.443477121840893</c:v>
                </c:pt>
                <c:pt idx="23">
                  <c:v>25.081852997222814</c:v>
                </c:pt>
                <c:pt idx="24">
                  <c:v>25.720228872604736</c:v>
                </c:pt>
                <c:pt idx="25">
                  <c:v>26.358604747986657</c:v>
                </c:pt>
                <c:pt idx="26">
                  <c:v>26.996980623368579</c:v>
                </c:pt>
                <c:pt idx="27">
                  <c:v>27.6353564987505</c:v>
                </c:pt>
                <c:pt idx="28">
                  <c:v>28.273732374132432</c:v>
                </c:pt>
                <c:pt idx="29">
                  <c:v>31.512683070032566</c:v>
                </c:pt>
                <c:pt idx="30">
                  <c:v>34.751633765932695</c:v>
                </c:pt>
                <c:pt idx="31">
                  <c:v>34.751633765932695</c:v>
                </c:pt>
                <c:pt idx="32">
                  <c:v>34.751633765932695</c:v>
                </c:pt>
              </c:numCache>
            </c:numRef>
          </c:val>
          <c:smooth val="0"/>
          <c:extLst>
            <c:ext xmlns:c16="http://schemas.microsoft.com/office/drawing/2014/chart" uri="{C3380CC4-5D6E-409C-BE32-E72D297353CC}">
              <c16:uniqueId val="{00000001-5DA7-4BCF-9B88-A448B42D3A15}"/>
            </c:ext>
          </c:extLst>
        </c:ser>
        <c:ser>
          <c:idx val="2"/>
          <c:order val="2"/>
          <c:tx>
            <c:strRef>
              <c:f>PTRA!$D$221</c:f>
              <c:strCache>
                <c:ptCount val="1"/>
                <c:pt idx="0">
                  <c:v>TPPRMOT</c:v>
                </c:pt>
              </c:strCache>
            </c:strRef>
          </c:tx>
          <c:spPr>
            <a:ln w="28575" cap="rnd">
              <a:solidFill>
                <a:schemeClr val="accent3"/>
              </a:solidFill>
              <a:round/>
            </a:ln>
            <a:effectLst/>
          </c:spPr>
          <c:marker>
            <c:symbol val="none"/>
          </c:marker>
          <c:val>
            <c:numRef>
              <c:f>PTRA!$J$221:$AP$221</c:f>
              <c:numCache>
                <c:formatCode>0.00</c:formatCode>
                <c:ptCount val="33"/>
                <c:pt idx="0">
                  <c:v>3.3646857046699763</c:v>
                </c:pt>
                <c:pt idx="1">
                  <c:v>3.1894012488750092</c:v>
                </c:pt>
                <c:pt idx="2">
                  <c:v>3.0141167930800421</c:v>
                </c:pt>
                <c:pt idx="3">
                  <c:v>2.838832337285075</c:v>
                </c:pt>
                <c:pt idx="4">
                  <c:v>2.9222765352993267</c:v>
                </c:pt>
                <c:pt idx="5">
                  <c:v>3.0057207333135785</c:v>
                </c:pt>
                <c:pt idx="6">
                  <c:v>3.080215810657112</c:v>
                </c:pt>
                <c:pt idx="7">
                  <c:v>3.1547108880006456</c:v>
                </c:pt>
                <c:pt idx="8">
                  <c:v>2.9465776044055345</c:v>
                </c:pt>
                <c:pt idx="9">
                  <c:v>2.9746759511931575</c:v>
                </c:pt>
                <c:pt idx="10">
                  <c:v>3.0733715700863335</c:v>
                </c:pt>
                <c:pt idx="11">
                  <c:v>3.1720671889795096</c:v>
                </c:pt>
                <c:pt idx="12">
                  <c:v>3.2707628078726856</c:v>
                </c:pt>
                <c:pt idx="13">
                  <c:v>3.3694584267658616</c:v>
                </c:pt>
                <c:pt idx="14">
                  <c:v>3.4681540456590376</c:v>
                </c:pt>
                <c:pt idx="15">
                  <c:v>3.5668496645522136</c:v>
                </c:pt>
                <c:pt idx="16">
                  <c:v>3.6655452834453897</c:v>
                </c:pt>
                <c:pt idx="17">
                  <c:v>3.7642409023385657</c:v>
                </c:pt>
                <c:pt idx="18">
                  <c:v>3.8629365212317421</c:v>
                </c:pt>
                <c:pt idx="19">
                  <c:v>3.9755910874756109</c:v>
                </c:pt>
                <c:pt idx="20">
                  <c:v>4.0882456537194791</c:v>
                </c:pt>
                <c:pt idx="21">
                  <c:v>4.2009002199633478</c:v>
                </c:pt>
                <c:pt idx="22">
                  <c:v>4.3135547862072166</c:v>
                </c:pt>
                <c:pt idx="23">
                  <c:v>4.4262093524510853</c:v>
                </c:pt>
                <c:pt idx="24">
                  <c:v>4.538863918694954</c:v>
                </c:pt>
                <c:pt idx="25">
                  <c:v>4.6515184849388227</c:v>
                </c:pt>
                <c:pt idx="26">
                  <c:v>4.7641730511826914</c:v>
                </c:pt>
                <c:pt idx="27">
                  <c:v>4.8768276174265601</c:v>
                </c:pt>
                <c:pt idx="28">
                  <c:v>4.9894821836704288</c:v>
                </c:pt>
                <c:pt idx="29">
                  <c:v>5.5610617182410405</c:v>
                </c:pt>
                <c:pt idx="30">
                  <c:v>6.1326412528116521</c:v>
                </c:pt>
                <c:pt idx="31">
                  <c:v>6.1326412528116521</c:v>
                </c:pt>
                <c:pt idx="32">
                  <c:v>6.1326412528116521</c:v>
                </c:pt>
              </c:numCache>
            </c:numRef>
          </c:val>
          <c:smooth val="0"/>
          <c:extLst>
            <c:ext xmlns:c16="http://schemas.microsoft.com/office/drawing/2014/chart" uri="{C3380CC4-5D6E-409C-BE32-E72D297353CC}">
              <c16:uniqueId val="{00000002-5DA7-4BCF-9B88-A448B42D3A15}"/>
            </c:ext>
          </c:extLst>
        </c:ser>
        <c:ser>
          <c:idx val="3"/>
          <c:order val="3"/>
          <c:tx>
            <c:strRef>
              <c:f>PTRA!$D$222</c:f>
              <c:strCache>
                <c:ptCount val="1"/>
                <c:pt idx="0">
                  <c:v>TPPUBUS</c:v>
                </c:pt>
              </c:strCache>
            </c:strRef>
          </c:tx>
          <c:spPr>
            <a:ln w="28575" cap="rnd">
              <a:solidFill>
                <a:schemeClr val="accent4"/>
              </a:solidFill>
              <a:round/>
            </a:ln>
            <a:effectLst/>
          </c:spPr>
          <c:marker>
            <c:symbol val="none"/>
          </c:marker>
          <c:val>
            <c:numRef>
              <c:f>PTRA!$J$222:$AP$222</c:f>
              <c:numCache>
                <c:formatCode>0.00</c:formatCode>
                <c:ptCount val="33"/>
                <c:pt idx="0">
                  <c:v>1.4990333520535337</c:v>
                </c:pt>
                <c:pt idx="1">
                  <c:v>0.78756431075905675</c:v>
                </c:pt>
                <c:pt idx="2">
                  <c:v>0.95713713180052451</c:v>
                </c:pt>
                <c:pt idx="3">
                  <c:v>1.1267099528419922</c:v>
                </c:pt>
                <c:pt idx="4">
                  <c:v>0.93340029034829985</c:v>
                </c:pt>
                <c:pt idx="5">
                  <c:v>0.74009062785460766</c:v>
                </c:pt>
                <c:pt idx="6">
                  <c:v>0.74856468488310512</c:v>
                </c:pt>
                <c:pt idx="7">
                  <c:v>0.7570387419116027</c:v>
                </c:pt>
                <c:pt idx="8">
                  <c:v>0.77061635068181966</c:v>
                </c:pt>
                <c:pt idx="9">
                  <c:v>0.78157163306235522</c:v>
                </c:pt>
                <c:pt idx="10">
                  <c:v>0.78314560012448264</c:v>
                </c:pt>
                <c:pt idx="11">
                  <c:v>0.78471956718661007</c:v>
                </c:pt>
                <c:pt idx="12">
                  <c:v>0.78629353424873749</c:v>
                </c:pt>
                <c:pt idx="13">
                  <c:v>0.78786750131086491</c:v>
                </c:pt>
                <c:pt idx="14">
                  <c:v>0.78944146837299234</c:v>
                </c:pt>
                <c:pt idx="15">
                  <c:v>0.79101543543511976</c:v>
                </c:pt>
                <c:pt idx="16">
                  <c:v>0.79258940249724719</c:v>
                </c:pt>
                <c:pt idx="17">
                  <c:v>0.79416336955937461</c:v>
                </c:pt>
                <c:pt idx="18">
                  <c:v>0.79573733662150214</c:v>
                </c:pt>
                <c:pt idx="19">
                  <c:v>0.79245353975548505</c:v>
                </c:pt>
                <c:pt idx="20">
                  <c:v>0.78916974288946795</c:v>
                </c:pt>
                <c:pt idx="21">
                  <c:v>0.78588594602345085</c:v>
                </c:pt>
                <c:pt idx="22">
                  <c:v>0.78260214915743376</c:v>
                </c:pt>
                <c:pt idx="23">
                  <c:v>0.77931835229141666</c:v>
                </c:pt>
                <c:pt idx="24">
                  <c:v>0.77603455542539956</c:v>
                </c:pt>
                <c:pt idx="25">
                  <c:v>0.77275075855938247</c:v>
                </c:pt>
                <c:pt idx="26">
                  <c:v>0.76946696169336537</c:v>
                </c:pt>
                <c:pt idx="27">
                  <c:v>0.76618316482734827</c:v>
                </c:pt>
                <c:pt idx="28">
                  <c:v>0.76289936796133118</c:v>
                </c:pt>
                <c:pt idx="29">
                  <c:v>0.73651003199220466</c:v>
                </c:pt>
                <c:pt idx="30">
                  <c:v>0.71012069602307804</c:v>
                </c:pt>
                <c:pt idx="31">
                  <c:v>0.71012069602307804</c:v>
                </c:pt>
                <c:pt idx="32">
                  <c:v>0.71012069602307804</c:v>
                </c:pt>
              </c:numCache>
            </c:numRef>
          </c:val>
          <c:smooth val="0"/>
          <c:extLst>
            <c:ext xmlns:c16="http://schemas.microsoft.com/office/drawing/2014/chart" uri="{C3380CC4-5D6E-409C-BE32-E72D297353CC}">
              <c16:uniqueId val="{00000003-5DA7-4BCF-9B88-A448B42D3A15}"/>
            </c:ext>
          </c:extLst>
        </c:ser>
        <c:ser>
          <c:idx val="4"/>
          <c:order val="4"/>
          <c:tx>
            <c:strRef>
              <c:f>PTRA!$D$223</c:f>
              <c:strCache>
                <c:ptCount val="1"/>
                <c:pt idx="0">
                  <c:v>TPPUMBT</c:v>
                </c:pt>
              </c:strCache>
            </c:strRef>
          </c:tx>
          <c:spPr>
            <a:ln w="28575" cap="rnd">
              <a:solidFill>
                <a:schemeClr val="accent5"/>
              </a:solidFill>
              <a:round/>
            </a:ln>
            <a:effectLst/>
          </c:spPr>
          <c:marker>
            <c:symbol val="none"/>
          </c:marker>
          <c:val>
            <c:numRef>
              <c:f>PTRA!$J$223:$AP$223</c:f>
              <c:numCache>
                <c:formatCode>0.00</c:formatCode>
                <c:ptCount val="33"/>
                <c:pt idx="0">
                  <c:v>6.1732186716195621</c:v>
                </c:pt>
                <c:pt idx="1">
                  <c:v>6.1714992841593981</c:v>
                </c:pt>
                <c:pt idx="2">
                  <c:v>6.4731729485818583</c:v>
                </c:pt>
                <c:pt idx="3">
                  <c:v>6.7748466130043186</c:v>
                </c:pt>
                <c:pt idx="4" formatCode="0.000">
                  <c:v>6.8833871193047518</c:v>
                </c:pt>
                <c:pt idx="5" formatCode="0.000">
                  <c:v>6.9919276256051859</c:v>
                </c:pt>
                <c:pt idx="6">
                  <c:v>7.0719853796268266</c:v>
                </c:pt>
                <c:pt idx="7">
                  <c:v>7.1520431336484673</c:v>
                </c:pt>
                <c:pt idx="8">
                  <c:v>7.2803161508670957</c:v>
                </c:pt>
                <c:pt idx="9">
                  <c:v>7.3838150179515463</c:v>
                </c:pt>
                <c:pt idx="10">
                  <c:v>7.3986849046509402</c:v>
                </c:pt>
                <c:pt idx="11">
                  <c:v>7.4135547913503341</c:v>
                </c:pt>
                <c:pt idx="12">
                  <c:v>7.4284246780497281</c:v>
                </c:pt>
                <c:pt idx="13">
                  <c:v>7.443294564749122</c:v>
                </c:pt>
                <c:pt idx="14">
                  <c:v>7.4581644514485159</c:v>
                </c:pt>
                <c:pt idx="15">
                  <c:v>7.4730343381479098</c:v>
                </c:pt>
                <c:pt idx="16">
                  <c:v>7.4879042248473038</c:v>
                </c:pt>
                <c:pt idx="17">
                  <c:v>7.5027741115466977</c:v>
                </c:pt>
                <c:pt idx="18">
                  <c:v>7.5176439982460925</c:v>
                </c:pt>
                <c:pt idx="19">
                  <c:v>7.4866206760200864</c:v>
                </c:pt>
                <c:pt idx="20">
                  <c:v>7.4555973537940803</c:v>
                </c:pt>
                <c:pt idx="21">
                  <c:v>7.4245740315680742</c:v>
                </c:pt>
                <c:pt idx="22">
                  <c:v>7.393550709342068</c:v>
                </c:pt>
                <c:pt idx="23">
                  <c:v>7.3625273871160619</c:v>
                </c:pt>
                <c:pt idx="24">
                  <c:v>7.3315040648900558</c:v>
                </c:pt>
                <c:pt idx="25">
                  <c:v>7.3004807426640497</c:v>
                </c:pt>
                <c:pt idx="26">
                  <c:v>7.2694574204380435</c:v>
                </c:pt>
                <c:pt idx="27">
                  <c:v>7.2384340982120374</c:v>
                </c:pt>
                <c:pt idx="28">
                  <c:v>7.2074107759860322</c:v>
                </c:pt>
                <c:pt idx="29">
                  <c:v>6.9581003263742307</c:v>
                </c:pt>
                <c:pt idx="30">
                  <c:v>6.7087898767624283</c:v>
                </c:pt>
                <c:pt idx="31">
                  <c:v>6.7087898767624283</c:v>
                </c:pt>
                <c:pt idx="32">
                  <c:v>6.7087898767624283</c:v>
                </c:pt>
              </c:numCache>
            </c:numRef>
          </c:val>
          <c:smooth val="0"/>
          <c:extLst>
            <c:ext xmlns:c16="http://schemas.microsoft.com/office/drawing/2014/chart" uri="{C3380CC4-5D6E-409C-BE32-E72D297353CC}">
              <c16:uniqueId val="{00000004-5DA7-4BCF-9B88-A448B42D3A15}"/>
            </c:ext>
          </c:extLst>
        </c:ser>
        <c:ser>
          <c:idx val="5"/>
          <c:order val="5"/>
          <c:tx>
            <c:strRef>
              <c:f>PTRA!$D$224</c:f>
              <c:strCache>
                <c:ptCount val="1"/>
                <c:pt idx="0">
                  <c:v>TPPUBRT</c:v>
                </c:pt>
              </c:strCache>
            </c:strRef>
          </c:tx>
          <c:spPr>
            <a:ln w="28575" cap="rnd">
              <a:solidFill>
                <a:schemeClr val="accent6"/>
              </a:solidFill>
              <a:round/>
            </a:ln>
            <a:effectLst/>
          </c:spPr>
          <c:marker>
            <c:symbol val="none"/>
          </c:marker>
          <c:val>
            <c:numRef>
              <c:f>PTRA!$J$224:$AP$224</c:f>
              <c:numCache>
                <c:formatCode>0.00</c:formatCode>
                <c:ptCount val="33"/>
                <c:pt idx="0">
                  <c:v>0</c:v>
                </c:pt>
                <c:pt idx="1">
                  <c:v>2.4743662039261104E-2</c:v>
                </c:pt>
                <c:pt idx="2">
                  <c:v>2.8399581228355071E-2</c:v>
                </c:pt>
                <c:pt idx="3">
                  <c:v>3.2055500417449041E-2</c:v>
                </c:pt>
                <c:pt idx="4">
                  <c:v>4.7519121895018071E-2</c:v>
                </c:pt>
                <c:pt idx="5">
                  <c:v>6.2982743372587108E-2</c:v>
                </c:pt>
                <c:pt idx="6">
                  <c:v>8.1980795939356782E-2</c:v>
                </c:pt>
                <c:pt idx="7">
                  <c:v>0.10097884850612647</c:v>
                </c:pt>
                <c:pt idx="8">
                  <c:v>0.10238010429217448</c:v>
                </c:pt>
                <c:pt idx="9">
                  <c:v>0.2942392564401286</c:v>
                </c:pt>
                <c:pt idx="10">
                  <c:v>0.32452286213885756</c:v>
                </c:pt>
                <c:pt idx="11">
                  <c:v>0.35480646783758651</c:v>
                </c:pt>
                <c:pt idx="12">
                  <c:v>0.38509007353631547</c:v>
                </c:pt>
                <c:pt idx="13">
                  <c:v>0.41537367923504442</c:v>
                </c:pt>
                <c:pt idx="14">
                  <c:v>0.44565728493377338</c:v>
                </c:pt>
                <c:pt idx="15">
                  <c:v>0.47594089063250233</c:v>
                </c:pt>
                <c:pt idx="16">
                  <c:v>0.50622449633123123</c:v>
                </c:pt>
                <c:pt idx="17">
                  <c:v>0.53650810202996013</c:v>
                </c:pt>
                <c:pt idx="18">
                  <c:v>0.56679170772868903</c:v>
                </c:pt>
                <c:pt idx="19">
                  <c:v>0.61851803835016128</c:v>
                </c:pt>
                <c:pt idx="20">
                  <c:v>0.67024436897163353</c:v>
                </c:pt>
                <c:pt idx="21">
                  <c:v>0.72197069959310578</c:v>
                </c:pt>
                <c:pt idx="22">
                  <c:v>0.77369703021457803</c:v>
                </c:pt>
                <c:pt idx="23">
                  <c:v>0.82542336083605028</c:v>
                </c:pt>
                <c:pt idx="24">
                  <c:v>0.87714969145752253</c:v>
                </c:pt>
                <c:pt idx="25">
                  <c:v>0.92887602207899478</c:v>
                </c:pt>
                <c:pt idx="26">
                  <c:v>0.98060235270046703</c:v>
                </c:pt>
                <c:pt idx="27">
                  <c:v>1.0323286833219392</c:v>
                </c:pt>
                <c:pt idx="28">
                  <c:v>1.0840550139434115</c:v>
                </c:pt>
                <c:pt idx="29">
                  <c:v>1.329819508228592</c:v>
                </c:pt>
                <c:pt idx="30">
                  <c:v>1.5755840025137724</c:v>
                </c:pt>
                <c:pt idx="31">
                  <c:v>1.5755840025137724</c:v>
                </c:pt>
                <c:pt idx="32">
                  <c:v>1.5755840025137724</c:v>
                </c:pt>
              </c:numCache>
            </c:numRef>
          </c:val>
          <c:smooth val="0"/>
          <c:extLst>
            <c:ext xmlns:c16="http://schemas.microsoft.com/office/drawing/2014/chart" uri="{C3380CC4-5D6E-409C-BE32-E72D297353CC}">
              <c16:uniqueId val="{00000005-5DA7-4BCF-9B88-A448B42D3A15}"/>
            </c:ext>
          </c:extLst>
        </c:ser>
        <c:ser>
          <c:idx val="6"/>
          <c:order val="6"/>
          <c:tx>
            <c:strRef>
              <c:f>PTRA!$D$225</c:f>
              <c:strCache>
                <c:ptCount val="1"/>
                <c:pt idx="0">
                  <c:v>TPPUMER</c:v>
                </c:pt>
              </c:strCache>
            </c:strRef>
          </c:tx>
          <c:spPr>
            <a:ln w="28575" cap="rnd">
              <a:solidFill>
                <a:schemeClr val="accent1">
                  <a:lumMod val="60000"/>
                </a:schemeClr>
              </a:solidFill>
              <a:round/>
            </a:ln>
            <a:effectLst/>
          </c:spPr>
          <c:marker>
            <c:symbol val="none"/>
          </c:marker>
          <c:val>
            <c:numRef>
              <c:f>PTRA!$J$225:$AP$225</c:f>
              <c:numCache>
                <c:formatCode>0.00</c:formatCode>
                <c:ptCount val="33"/>
                <c:pt idx="0">
                  <c:v>15.8</c:v>
                </c:pt>
                <c:pt idx="1">
                  <c:v>14.123137325530998</c:v>
                </c:pt>
                <c:pt idx="2">
                  <c:v>13.222791809247783</c:v>
                </c:pt>
                <c:pt idx="3">
                  <c:v>12.322446292964566</c:v>
                </c:pt>
                <c:pt idx="4">
                  <c:v>10.474251298675517</c:v>
                </c:pt>
                <c:pt idx="5">
                  <c:v>8.6260563043864682</c:v>
                </c:pt>
                <c:pt idx="6">
                  <c:v>8.7248248744821311</c:v>
                </c:pt>
                <c:pt idx="7">
                  <c:v>8.8235934445777957</c:v>
                </c:pt>
                <c:pt idx="8">
                  <c:v>8.9818459792306626</c:v>
                </c:pt>
                <c:pt idx="9">
                  <c:v>9.109534236706498</c:v>
                </c:pt>
                <c:pt idx="10">
                  <c:v>9.1278794609103482</c:v>
                </c:pt>
                <c:pt idx="11">
                  <c:v>9.1462246851141984</c:v>
                </c:pt>
                <c:pt idx="12">
                  <c:v>9.1645699093180486</c:v>
                </c:pt>
                <c:pt idx="13">
                  <c:v>9.1829151335218988</c:v>
                </c:pt>
                <c:pt idx="14">
                  <c:v>9.201260357725749</c:v>
                </c:pt>
                <c:pt idx="15">
                  <c:v>9.2196055819295992</c:v>
                </c:pt>
                <c:pt idx="16">
                  <c:v>9.2379508061334494</c:v>
                </c:pt>
                <c:pt idx="17">
                  <c:v>9.2562960303372996</c:v>
                </c:pt>
                <c:pt idx="18">
                  <c:v>9.2746412545411498</c:v>
                </c:pt>
                <c:pt idx="19">
                  <c:v>9.2363672707987217</c:v>
                </c:pt>
                <c:pt idx="20">
                  <c:v>9.1980932870562935</c:v>
                </c:pt>
                <c:pt idx="21">
                  <c:v>9.1598193033138653</c:v>
                </c:pt>
                <c:pt idx="22">
                  <c:v>9.1215453195714371</c:v>
                </c:pt>
                <c:pt idx="23">
                  <c:v>9.0832713358290089</c:v>
                </c:pt>
                <c:pt idx="24">
                  <c:v>9.0449973520865807</c:v>
                </c:pt>
                <c:pt idx="25">
                  <c:v>9.0067233683441525</c:v>
                </c:pt>
                <c:pt idx="26">
                  <c:v>8.9684493846017244</c:v>
                </c:pt>
                <c:pt idx="27">
                  <c:v>8.9301754008592962</c:v>
                </c:pt>
                <c:pt idx="28">
                  <c:v>8.8919014171168609</c:v>
                </c:pt>
                <c:pt idx="29">
                  <c:v>8.5843230080172432</c:v>
                </c:pt>
                <c:pt idx="30">
                  <c:v>8.2767445989176256</c:v>
                </c:pt>
                <c:pt idx="31">
                  <c:v>8.2767445989176256</c:v>
                </c:pt>
                <c:pt idx="32">
                  <c:v>8.2767445989176256</c:v>
                </c:pt>
              </c:numCache>
            </c:numRef>
          </c:val>
          <c:smooth val="0"/>
          <c:extLst>
            <c:ext xmlns:c16="http://schemas.microsoft.com/office/drawing/2014/chart" uri="{C3380CC4-5D6E-409C-BE32-E72D297353CC}">
              <c16:uniqueId val="{00000006-5DA7-4BCF-9B88-A448B42D3A15}"/>
            </c:ext>
          </c:extLst>
        </c:ser>
        <c:ser>
          <c:idx val="7"/>
          <c:order val="7"/>
          <c:tx>
            <c:strRef>
              <c:f>PTRA!$D$226</c:f>
              <c:strCache>
                <c:ptCount val="1"/>
                <c:pt idx="0">
                  <c:v>TPPUGAT</c:v>
                </c:pt>
              </c:strCache>
            </c:strRef>
          </c:tx>
          <c:spPr>
            <a:ln w="28575" cap="rnd">
              <a:solidFill>
                <a:schemeClr val="accent2">
                  <a:lumMod val="60000"/>
                </a:schemeClr>
              </a:solidFill>
              <a:round/>
            </a:ln>
            <a:effectLst/>
          </c:spPr>
          <c:marker>
            <c:symbol val="none"/>
          </c:marker>
          <c:val>
            <c:numRef>
              <c:f>PTRA!$J$226:$AP$226</c:f>
              <c:numCache>
                <c:formatCode>0.00</c:formatCode>
                <c:ptCount val="33"/>
                <c:pt idx="0">
                  <c:v>0</c:v>
                </c:pt>
                <c:pt idx="1">
                  <c:v>0.55947822475115061</c:v>
                </c:pt>
                <c:pt idx="2">
                  <c:v>0.58435796683276764</c:v>
                </c:pt>
                <c:pt idx="3">
                  <c:v>0.60923770891438467</c:v>
                </c:pt>
                <c:pt idx="4">
                  <c:v>0.62888953865325536</c:v>
                </c:pt>
                <c:pt idx="5">
                  <c:v>0.64854136839212595</c:v>
                </c:pt>
                <c:pt idx="6">
                  <c:v>0.67405613843991108</c:v>
                </c:pt>
                <c:pt idx="7">
                  <c:v>0.6995709084876961</c:v>
                </c:pt>
                <c:pt idx="8">
                  <c:v>0.6476760572601008</c:v>
                </c:pt>
                <c:pt idx="9">
                  <c:v>0.64850440608752602</c:v>
                </c:pt>
                <c:pt idx="10">
                  <c:v>0.66993665073337072</c:v>
                </c:pt>
                <c:pt idx="11">
                  <c:v>0.69136889537921542</c:v>
                </c:pt>
                <c:pt idx="12">
                  <c:v>0.71280114002506012</c:v>
                </c:pt>
                <c:pt idx="13">
                  <c:v>0.73423338467090482</c:v>
                </c:pt>
                <c:pt idx="14">
                  <c:v>0.75566562931674952</c:v>
                </c:pt>
                <c:pt idx="15">
                  <c:v>0.77709787396259422</c:v>
                </c:pt>
                <c:pt idx="16">
                  <c:v>0.79853011860843892</c:v>
                </c:pt>
                <c:pt idx="17">
                  <c:v>0.81996236325428362</c:v>
                </c:pt>
                <c:pt idx="18">
                  <c:v>0.84139460790012854</c:v>
                </c:pt>
                <c:pt idx="19">
                  <c:v>0.86187201494465981</c:v>
                </c:pt>
                <c:pt idx="20">
                  <c:v>0.88234942198919109</c:v>
                </c:pt>
                <c:pt idx="21">
                  <c:v>0.90282682903372236</c:v>
                </c:pt>
                <c:pt idx="22">
                  <c:v>0.92330423607825363</c:v>
                </c:pt>
                <c:pt idx="23">
                  <c:v>0.9437816431227849</c:v>
                </c:pt>
                <c:pt idx="24">
                  <c:v>0.96425905016731617</c:v>
                </c:pt>
                <c:pt idx="25">
                  <c:v>0.98473645721184744</c:v>
                </c:pt>
                <c:pt idx="26">
                  <c:v>1.0052138642563788</c:v>
                </c:pt>
                <c:pt idx="27">
                  <c:v>1.0256912713009101</c:v>
                </c:pt>
                <c:pt idx="28">
                  <c:v>1.0461686783454414</c:v>
                </c:pt>
                <c:pt idx="29">
                  <c:v>1.1442712617822297</c:v>
                </c:pt>
                <c:pt idx="30">
                  <c:v>1.2423738452190181</c:v>
                </c:pt>
                <c:pt idx="31">
                  <c:v>1.2423738452190181</c:v>
                </c:pt>
                <c:pt idx="32">
                  <c:v>1.2423738452190181</c:v>
                </c:pt>
              </c:numCache>
            </c:numRef>
          </c:val>
          <c:smooth val="0"/>
          <c:extLst>
            <c:ext xmlns:c16="http://schemas.microsoft.com/office/drawing/2014/chart" uri="{C3380CC4-5D6E-409C-BE32-E72D297353CC}">
              <c16:uniqueId val="{00000007-5DA7-4BCF-9B88-A448B42D3A15}"/>
            </c:ext>
          </c:extLst>
        </c:ser>
        <c:dLbls>
          <c:showLegendKey val="0"/>
          <c:showVal val="0"/>
          <c:showCatName val="0"/>
          <c:showSerName val="0"/>
          <c:showPercent val="0"/>
          <c:showBubbleSize val="0"/>
        </c:dLbls>
        <c:smooth val="0"/>
        <c:axId val="384316688"/>
        <c:axId val="384317080"/>
      </c:lineChart>
      <c:catAx>
        <c:axId val="384316688"/>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7080"/>
        <c:crosses val="autoZero"/>
        <c:auto val="1"/>
        <c:lblAlgn val="ctr"/>
        <c:lblOffset val="100"/>
        <c:noMultiLvlLbl val="0"/>
      </c:catAx>
      <c:valAx>
        <c:axId val="38431708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843166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a:t>Modal</a:t>
            </a:r>
            <a:r>
              <a:rPr lang="en-ZA" baseline="0"/>
              <a:t> Share</a:t>
            </a:r>
            <a:endParaRPr lang="en-ZA"/>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PTRA!$C$181</c:f>
              <c:strCache>
                <c:ptCount val="1"/>
                <c:pt idx="0">
                  <c:v>private</c:v>
                </c:pt>
              </c:strCache>
            </c:strRef>
          </c:tx>
          <c:spPr>
            <a:ln w="28575" cap="rnd">
              <a:solidFill>
                <a:schemeClr val="accent1"/>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PTRA!$G$181:$M$181</c:f>
              <c:numCache>
                <c:formatCode>0.0%</c:formatCode>
                <c:ptCount val="7"/>
                <c:pt idx="0">
                  <c:v>0.52435193740308439</c:v>
                </c:pt>
                <c:pt idx="1">
                  <c:v>0.52895500641929594</c:v>
                </c:pt>
                <c:pt idx="2">
                  <c:v>0.50761962260462834</c:v>
                </c:pt>
                <c:pt idx="3">
                  <c:v>0.49783300692159427</c:v>
                </c:pt>
                <c:pt idx="4">
                  <c:v>0.5467764733787519</c:v>
                </c:pt>
                <c:pt idx="5">
                  <c:v>0.59724923679772546</c:v>
                </c:pt>
                <c:pt idx="6">
                  <c:v>0.64056875369089328</c:v>
                </c:pt>
              </c:numCache>
            </c:numRef>
          </c:val>
          <c:smooth val="0"/>
          <c:extLst>
            <c:ext xmlns:c16="http://schemas.microsoft.com/office/drawing/2014/chart" uri="{C3380CC4-5D6E-409C-BE32-E72D297353CC}">
              <c16:uniqueId val="{00000000-7533-4948-BF29-A8150D1010DB}"/>
            </c:ext>
          </c:extLst>
        </c:ser>
        <c:ser>
          <c:idx val="1"/>
          <c:order val="1"/>
          <c:tx>
            <c:strRef>
              <c:f>PTRA!$C$182</c:f>
              <c:strCache>
                <c:ptCount val="1"/>
                <c:pt idx="0">
                  <c:v>public</c:v>
                </c:pt>
              </c:strCache>
            </c:strRef>
          </c:tx>
          <c:spPr>
            <a:ln w="28575" cap="rnd">
              <a:solidFill>
                <a:schemeClr val="accent2"/>
              </a:solidFill>
              <a:round/>
            </a:ln>
            <a:effectLst/>
          </c:spPr>
          <c:marker>
            <c:symbol val="none"/>
          </c:marker>
          <c:cat>
            <c:numRef>
              <c:f>PTRA!$G$171:$M$171</c:f>
              <c:numCache>
                <c:formatCode>General</c:formatCode>
                <c:ptCount val="7"/>
                <c:pt idx="0">
                  <c:v>2017</c:v>
                </c:pt>
                <c:pt idx="1">
                  <c:v>2019</c:v>
                </c:pt>
                <c:pt idx="2">
                  <c:v>2020</c:v>
                </c:pt>
                <c:pt idx="3">
                  <c:v>2021</c:v>
                </c:pt>
                <c:pt idx="4">
                  <c:v>2030</c:v>
                </c:pt>
                <c:pt idx="5">
                  <c:v>2040</c:v>
                </c:pt>
                <c:pt idx="6">
                  <c:v>2050</c:v>
                </c:pt>
              </c:numCache>
            </c:numRef>
          </c:cat>
          <c:val>
            <c:numRef>
              <c:f>PTRA!$G$182:$M$182</c:f>
              <c:numCache>
                <c:formatCode>0.0%</c:formatCode>
                <c:ptCount val="7"/>
                <c:pt idx="0">
                  <c:v>0.47564806259691561</c:v>
                </c:pt>
                <c:pt idx="1">
                  <c:v>0.47104499358070406</c:v>
                </c:pt>
                <c:pt idx="2">
                  <c:v>0.49238037739537166</c:v>
                </c:pt>
                <c:pt idx="3">
                  <c:v>0.50216699307840573</c:v>
                </c:pt>
                <c:pt idx="4">
                  <c:v>0.4532235266212481</c:v>
                </c:pt>
                <c:pt idx="5">
                  <c:v>0.40275076320227454</c:v>
                </c:pt>
                <c:pt idx="6">
                  <c:v>0.35943124630910672</c:v>
                </c:pt>
              </c:numCache>
            </c:numRef>
          </c:val>
          <c:smooth val="0"/>
          <c:extLst>
            <c:ext xmlns:c16="http://schemas.microsoft.com/office/drawing/2014/chart" uri="{C3380CC4-5D6E-409C-BE32-E72D297353CC}">
              <c16:uniqueId val="{00000001-7533-4948-BF29-A8150D1010DB}"/>
            </c:ext>
          </c:extLst>
        </c:ser>
        <c:dLbls>
          <c:showLegendKey val="0"/>
          <c:showVal val="0"/>
          <c:showCatName val="0"/>
          <c:showSerName val="0"/>
          <c:showPercent val="0"/>
          <c:showBubbleSize val="0"/>
        </c:dLbls>
        <c:smooth val="0"/>
        <c:axId val="800402255"/>
        <c:axId val="642790255"/>
      </c:lineChart>
      <c:catAx>
        <c:axId val="8004022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42790255"/>
        <c:crosses val="autoZero"/>
        <c:auto val="1"/>
        <c:lblAlgn val="ctr"/>
        <c:lblOffset val="100"/>
        <c:noMultiLvlLbl val="0"/>
      </c:catAx>
      <c:valAx>
        <c:axId val="642790255"/>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0402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PTRA!$C$148</c:f>
          <c:strCache>
            <c:ptCount val="1"/>
            <c:pt idx="0">
              <c:v>Passenger Transport Demand - Veh.km</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PTRA!$P$149:$V$149</c:f>
              <c:numCache>
                <c:formatCode>0.0</c:formatCode>
                <c:ptCount val="7"/>
                <c:pt idx="0">
                  <c:v>80.152552888362095</c:v>
                </c:pt>
                <c:pt idx="1">
                  <c:v>84.125623680017213</c:v>
                </c:pt>
                <c:pt idx="2">
                  <c:v>78.575402784147585</c:v>
                </c:pt>
                <c:pt idx="3">
                  <c:v>79.324692031817534</c:v>
                </c:pt>
                <c:pt idx="4">
                  <c:v>103.01164056617978</c:v>
                </c:pt>
                <c:pt idx="5">
                  <c:v>133.05285823121142</c:v>
                </c:pt>
                <c:pt idx="6">
                  <c:v>163.53710007497739</c:v>
                </c:pt>
              </c:numCache>
            </c:numRef>
          </c:val>
          <c:smooth val="0"/>
          <c:extLst>
            <c:ext xmlns:c16="http://schemas.microsoft.com/office/drawing/2014/chart" uri="{C3380CC4-5D6E-409C-BE32-E72D297353CC}">
              <c16:uniqueId val="{00000004-22DB-40D9-B7BA-6341975BE98D}"/>
            </c:ext>
          </c:extLst>
        </c:ser>
        <c:ser>
          <c:idx val="0"/>
          <c:order val="1"/>
          <c:spPr>
            <a:ln w="28575" cap="rnd">
              <a:solidFill>
                <a:schemeClr val="accent1"/>
              </a:solidFill>
              <a:round/>
            </a:ln>
            <a:effectLst/>
          </c:spPr>
          <c:marker>
            <c:symbol val="none"/>
          </c:marker>
          <c:val>
            <c:numRef>
              <c:f>PTRA!$Y$149:$AE$149</c:f>
              <c:numCache>
                <c:formatCode>0.0</c:formatCode>
                <c:ptCount val="7"/>
                <c:pt idx="0">
                  <c:v>80.152552888362095</c:v>
                </c:pt>
                <c:pt idx="1">
                  <c:v>84.125623680017213</c:v>
                </c:pt>
                <c:pt idx="2">
                  <c:v>78.575402784147585</c:v>
                </c:pt>
                <c:pt idx="3">
                  <c:v>79.324692031817534</c:v>
                </c:pt>
                <c:pt idx="4">
                  <c:v>#N/A</c:v>
                </c:pt>
                <c:pt idx="5">
                  <c:v>#N/A</c:v>
                </c:pt>
                <c:pt idx="6">
                  <c:v>#N/A</c:v>
                </c:pt>
              </c:numCache>
            </c:numRef>
          </c:val>
          <c:smooth val="0"/>
          <c:extLst>
            <c:ext xmlns:c16="http://schemas.microsoft.com/office/drawing/2014/chart" uri="{C3380CC4-5D6E-409C-BE32-E72D297353CC}">
              <c16:uniqueId val="{00000003-22DB-40D9-B7BA-6341975BE98D}"/>
            </c:ext>
          </c:extLst>
        </c:ser>
        <c:dLbls>
          <c:showLegendKey val="0"/>
          <c:showVal val="0"/>
          <c:showCatName val="0"/>
          <c:showSerName val="0"/>
          <c:showPercent val="0"/>
          <c:showBubbleSize val="0"/>
        </c:dLbls>
        <c:smooth val="0"/>
        <c:axId val="1954772160"/>
        <c:axId val="1954274096"/>
      </c:lineChart>
      <c:catAx>
        <c:axId val="1954772160"/>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274096"/>
        <c:crosses val="autoZero"/>
        <c:auto val="1"/>
        <c:lblAlgn val="ctr"/>
        <c:lblOffset val="100"/>
        <c:noMultiLvlLbl val="0"/>
      </c:catAx>
      <c:valAx>
        <c:axId val="1954274096"/>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477216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_rels/drawing2.xml.rels><?xml version="1.0" encoding="UTF-8" standalone="yes"?>
<Relationships xmlns="http://schemas.openxmlformats.org/package/2006/relationships"><Relationship Id="rId3" Type="http://schemas.openxmlformats.org/officeDocument/2006/relationships/image" Target="../media/image7.emf"/><Relationship Id="rId2" Type="http://schemas.openxmlformats.org/officeDocument/2006/relationships/image" Target="../media/image6.emf"/><Relationship Id="rId1" Type="http://schemas.openxmlformats.org/officeDocument/2006/relationships/image" Target="../media/image5.emf"/><Relationship Id="rId4" Type="http://schemas.openxmlformats.org/officeDocument/2006/relationships/image" Target="../media/image8.emf"/></Relationships>
</file>

<file path=xl/drawings/_rels/drawing3.x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4" Type="http://schemas.openxmlformats.org/officeDocument/2006/relationships/image" Target="../media/image12.emf"/></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5.xml.rels><?xml version="1.0" encoding="UTF-8" standalone="yes"?>
<Relationships xmlns="http://schemas.openxmlformats.org/package/2006/relationships"><Relationship Id="rId3" Type="http://schemas.openxmlformats.org/officeDocument/2006/relationships/image" Target="../media/image15.emf"/><Relationship Id="rId2" Type="http://schemas.openxmlformats.org/officeDocument/2006/relationships/image" Target="../media/image14.emf"/><Relationship Id="rId1" Type="http://schemas.openxmlformats.org/officeDocument/2006/relationships/image" Target="../media/image13.emf"/><Relationship Id="rId4" Type="http://schemas.openxmlformats.org/officeDocument/2006/relationships/image" Target="../media/image16.emf"/></Relationships>
</file>

<file path=xl/drawings/_rels/drawing6.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4"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 Id="rId6" Type="http://schemas.openxmlformats.org/officeDocument/2006/relationships/image" Target="../media/image18.png"/><Relationship Id="rId5" Type="http://schemas.openxmlformats.org/officeDocument/2006/relationships/image" Target="../media/image17.emf"/><Relationship Id="rId4"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8" Type="http://schemas.openxmlformats.org/officeDocument/2006/relationships/chart" Target="../charts/chart22.xml"/><Relationship Id="rId13" Type="http://schemas.openxmlformats.org/officeDocument/2006/relationships/chart" Target="../charts/chart27.xml"/><Relationship Id="rId18" Type="http://schemas.openxmlformats.org/officeDocument/2006/relationships/chart" Target="../charts/chart31.xml"/><Relationship Id="rId3" Type="http://schemas.openxmlformats.org/officeDocument/2006/relationships/chart" Target="../charts/chart17.xml"/><Relationship Id="rId7" Type="http://schemas.openxmlformats.org/officeDocument/2006/relationships/chart" Target="../charts/chart21.xml"/><Relationship Id="rId12" Type="http://schemas.openxmlformats.org/officeDocument/2006/relationships/chart" Target="../charts/chart26.xml"/><Relationship Id="rId17" Type="http://schemas.openxmlformats.org/officeDocument/2006/relationships/chart" Target="../charts/chart30.xml"/><Relationship Id="rId2" Type="http://schemas.openxmlformats.org/officeDocument/2006/relationships/chart" Target="../charts/chart16.xml"/><Relationship Id="rId16" Type="http://schemas.openxmlformats.org/officeDocument/2006/relationships/image" Target="../media/image19.emf"/><Relationship Id="rId1" Type="http://schemas.openxmlformats.org/officeDocument/2006/relationships/chart" Target="../charts/chart15.xml"/><Relationship Id="rId6" Type="http://schemas.openxmlformats.org/officeDocument/2006/relationships/chart" Target="../charts/chart20.xml"/><Relationship Id="rId11" Type="http://schemas.openxmlformats.org/officeDocument/2006/relationships/chart" Target="../charts/chart25.xml"/><Relationship Id="rId5" Type="http://schemas.openxmlformats.org/officeDocument/2006/relationships/chart" Target="../charts/chart19.xml"/><Relationship Id="rId15" Type="http://schemas.openxmlformats.org/officeDocument/2006/relationships/chart" Target="../charts/chart29.xml"/><Relationship Id="rId10" Type="http://schemas.openxmlformats.org/officeDocument/2006/relationships/chart" Target="../charts/chart24.xml"/><Relationship Id="rId4" Type="http://schemas.openxmlformats.org/officeDocument/2006/relationships/chart" Target="../charts/chart18.xml"/><Relationship Id="rId9" Type="http://schemas.openxmlformats.org/officeDocument/2006/relationships/chart" Target="../charts/chart23.xml"/><Relationship Id="rId14"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0</xdr:col>
      <xdr:colOff>838200</xdr:colOff>
      <xdr:row>3</xdr:row>
      <xdr:rowOff>0</xdr:rowOff>
    </xdr:to>
    <xdr:sp macro="" textlink="">
      <xdr:nvSpPr>
        <xdr:cNvPr id="21505" name="cmdCheckItemsSheet" hidden="1">
          <a:extLst>
            <a:ext uri="{63B3BB69-23CF-44E3-9099-C40C66FF867C}">
              <a14:compatExt xmlns:a14="http://schemas.microsoft.com/office/drawing/2010/main" spid="_x0000_s21505"/>
            </a:ext>
            <a:ext uri="{FF2B5EF4-FFF2-40B4-BE49-F238E27FC236}">
              <a16:creationId xmlns:a16="http://schemas.microsoft.com/office/drawing/2014/main" id="{00000000-0008-0000-0A00-0000015400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2</xdr:col>
      <xdr:colOff>127000</xdr:colOff>
      <xdr:row>4</xdr:row>
      <xdr:rowOff>114300</xdr:rowOff>
    </xdr:to>
    <xdr:sp macro="" textlink="">
      <xdr:nvSpPr>
        <xdr:cNvPr id="21506" name="cmdSpecifyComponent" hidden="1">
          <a:extLst>
            <a:ext uri="{63B3BB69-23CF-44E3-9099-C40C66FF867C}">
              <a14:compatExt xmlns:a14="http://schemas.microsoft.com/office/drawing/2010/main" spid="_x0000_s21506"/>
            </a:ext>
            <a:ext uri="{FF2B5EF4-FFF2-40B4-BE49-F238E27FC236}">
              <a16:creationId xmlns:a16="http://schemas.microsoft.com/office/drawing/2014/main" id="{00000000-0008-0000-0A00-0000025400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4</xdr:col>
      <xdr:colOff>685800</xdr:colOff>
      <xdr:row>4</xdr:row>
      <xdr:rowOff>114300</xdr:rowOff>
    </xdr:to>
    <xdr:sp macro="" textlink="">
      <xdr:nvSpPr>
        <xdr:cNvPr id="21507" name="cmdSpecifyUnits" hidden="1">
          <a:extLst>
            <a:ext uri="{63B3BB69-23CF-44E3-9099-C40C66FF867C}">
              <a14:compatExt xmlns:a14="http://schemas.microsoft.com/office/drawing/2010/main" spid="_x0000_s21507"/>
            </a:ext>
            <a:ext uri="{FF2B5EF4-FFF2-40B4-BE49-F238E27FC236}">
              <a16:creationId xmlns:a16="http://schemas.microsoft.com/office/drawing/2014/main" id="{00000000-0008-0000-0A00-0000035400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1508" name="cmdSpecifySets" hidden="1">
          <a:extLst>
            <a:ext uri="{63B3BB69-23CF-44E3-9099-C40C66FF867C}">
              <a14:compatExt xmlns:a14="http://schemas.microsoft.com/office/drawing/2010/main" spid="_x0000_s21508"/>
            </a:ext>
            <a:ext uri="{FF2B5EF4-FFF2-40B4-BE49-F238E27FC236}">
              <a16:creationId xmlns:a16="http://schemas.microsoft.com/office/drawing/2014/main" id="{00000000-0008-0000-0A00-0000045400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0</xdr:col>
      <xdr:colOff>838200</xdr:colOff>
      <xdr:row>3</xdr:row>
      <xdr:rowOff>0</xdr:rowOff>
    </xdr:to>
    <xdr:pic>
      <xdr:nvPicPr>
        <xdr:cNvPr id="2" name="cmdCheckItemsSheet">
          <a:extLst>
            <a:ext uri="{FF2B5EF4-FFF2-40B4-BE49-F238E27FC236}">
              <a16:creationId xmlns:a16="http://schemas.microsoft.com/office/drawing/2014/main" id="{00000000-0008-0000-0A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2</xdr:col>
      <xdr:colOff>127000</xdr:colOff>
      <xdr:row>4</xdr:row>
      <xdr:rowOff>114300</xdr:rowOff>
    </xdr:to>
    <xdr:pic>
      <xdr:nvPicPr>
        <xdr:cNvPr id="3" name="cmdSpecifyComponent">
          <a:extLst>
            <a:ext uri="{FF2B5EF4-FFF2-40B4-BE49-F238E27FC236}">
              <a16:creationId xmlns:a16="http://schemas.microsoft.com/office/drawing/2014/main" id="{00000000-0008-0000-0A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8128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4</xdr:col>
      <xdr:colOff>685800</xdr:colOff>
      <xdr:row>4</xdr:row>
      <xdr:rowOff>114300</xdr:rowOff>
    </xdr:to>
    <xdr:pic>
      <xdr:nvPicPr>
        <xdr:cNvPr id="4" name="cmdSpecifyUnits">
          <a:extLst>
            <a:ext uri="{FF2B5EF4-FFF2-40B4-BE49-F238E27FC236}">
              <a16:creationId xmlns:a16="http://schemas.microsoft.com/office/drawing/2014/main" id="{00000000-0008-0000-0A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5974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0A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53721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7620</xdr:colOff>
      <xdr:row>2</xdr:row>
      <xdr:rowOff>0</xdr:rowOff>
    </xdr:from>
    <xdr:to>
      <xdr:col>1</xdr:col>
      <xdr:colOff>0</xdr:colOff>
      <xdr:row>3</xdr:row>
      <xdr:rowOff>0</xdr:rowOff>
    </xdr:to>
    <xdr:sp macro="" textlink="">
      <xdr:nvSpPr>
        <xdr:cNvPr id="1928729" name="cmdCheckItemsSheet" hidden="1">
          <a:extLst>
            <a:ext uri="{FF2B5EF4-FFF2-40B4-BE49-F238E27FC236}">
              <a16:creationId xmlns:a16="http://schemas.microsoft.com/office/drawing/2014/main" id="{00000000-0008-0000-0C00-0000196E1D00}"/>
            </a:ext>
          </a:extLst>
        </xdr:cNvPr>
        <xdr:cNvSpPr>
          <a:spLocks noChangeArrowheads="1"/>
        </xdr:cNvSpPr>
      </xdr:nvSpPr>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xdr:col>
      <xdr:colOff>7620</xdr:colOff>
      <xdr:row>3</xdr:row>
      <xdr:rowOff>0</xdr:rowOff>
    </xdr:from>
    <xdr:to>
      <xdr:col>2</xdr:col>
      <xdr:colOff>182880</xdr:colOff>
      <xdr:row>4</xdr:row>
      <xdr:rowOff>76200</xdr:rowOff>
    </xdr:to>
    <xdr:sp macro="" textlink="">
      <xdr:nvSpPr>
        <xdr:cNvPr id="1928730" name="cmdSpecifyComponent" hidden="1">
          <a:extLst>
            <a:ext uri="{FF2B5EF4-FFF2-40B4-BE49-F238E27FC236}">
              <a16:creationId xmlns:a16="http://schemas.microsoft.com/office/drawing/2014/main" id="{00000000-0008-0000-0C00-00001A6E1D00}"/>
            </a:ext>
          </a:extLst>
        </xdr:cNvPr>
        <xdr:cNvSpPr>
          <a:spLocks noChangeArrowheads="1"/>
        </xdr:cNvSpPr>
      </xdr:nvSpPr>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4</xdr:col>
      <xdr:colOff>7620</xdr:colOff>
      <xdr:row>3</xdr:row>
      <xdr:rowOff>0</xdr:rowOff>
    </xdr:from>
    <xdr:to>
      <xdr:col>5</xdr:col>
      <xdr:colOff>0</xdr:colOff>
      <xdr:row>4</xdr:row>
      <xdr:rowOff>76200</xdr:rowOff>
    </xdr:to>
    <xdr:sp macro="" textlink="">
      <xdr:nvSpPr>
        <xdr:cNvPr id="1928731" name="cmdSpecifyUnits" hidden="1">
          <a:extLst>
            <a:ext uri="{FF2B5EF4-FFF2-40B4-BE49-F238E27FC236}">
              <a16:creationId xmlns:a16="http://schemas.microsoft.com/office/drawing/2014/main" id="{00000000-0008-0000-0C00-00001B6E1D00}"/>
            </a:ext>
          </a:extLst>
        </xdr:cNvPr>
        <xdr:cNvSpPr>
          <a:spLocks noChangeArrowheads="1"/>
        </xdr:cNvSpPr>
      </xdr:nvSpPr>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5</xdr:col>
      <xdr:colOff>7620</xdr:colOff>
      <xdr:row>3</xdr:row>
      <xdr:rowOff>0</xdr:rowOff>
    </xdr:from>
    <xdr:to>
      <xdr:col>6</xdr:col>
      <xdr:colOff>0</xdr:colOff>
      <xdr:row>4</xdr:row>
      <xdr:rowOff>76200</xdr:rowOff>
    </xdr:to>
    <xdr:sp macro="" textlink="">
      <xdr:nvSpPr>
        <xdr:cNvPr id="1928732" name="cmdSpecifySets" hidden="1">
          <a:extLst>
            <a:ext uri="{FF2B5EF4-FFF2-40B4-BE49-F238E27FC236}">
              <a16:creationId xmlns:a16="http://schemas.microsoft.com/office/drawing/2014/main" id="{00000000-0008-0000-0C00-00001C6E1D00}"/>
            </a:ext>
          </a:extLst>
        </xdr:cNvPr>
        <xdr:cNvSpPr>
          <a:spLocks noChangeArrowheads="1"/>
        </xdr:cNvSpPr>
      </xdr:nvSpPr>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0</xdr:col>
      <xdr:colOff>7620</xdr:colOff>
      <xdr:row>2</xdr:row>
      <xdr:rowOff>0</xdr:rowOff>
    </xdr:from>
    <xdr:to>
      <xdr:col>1</xdr:col>
      <xdr:colOff>0</xdr:colOff>
      <xdr:row>3</xdr:row>
      <xdr:rowOff>0</xdr:rowOff>
    </xdr:to>
    <xdr:pic>
      <xdr:nvPicPr>
        <xdr:cNvPr id="1928733" name="cmdCheckItemsSheet">
          <a:extLst>
            <a:ext uri="{FF2B5EF4-FFF2-40B4-BE49-F238E27FC236}">
              <a16:creationId xmlns:a16="http://schemas.microsoft.com/office/drawing/2014/main" id="{00000000-0008-0000-0C00-00001D6E1D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620" y="259080"/>
          <a:ext cx="838200" cy="236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7620</xdr:colOff>
      <xdr:row>3</xdr:row>
      <xdr:rowOff>0</xdr:rowOff>
    </xdr:from>
    <xdr:to>
      <xdr:col>2</xdr:col>
      <xdr:colOff>182880</xdr:colOff>
      <xdr:row>4</xdr:row>
      <xdr:rowOff>76200</xdr:rowOff>
    </xdr:to>
    <xdr:pic>
      <xdr:nvPicPr>
        <xdr:cNvPr id="1928734" name="cmdSpecifyComponent">
          <a:extLst>
            <a:ext uri="{FF2B5EF4-FFF2-40B4-BE49-F238E27FC236}">
              <a16:creationId xmlns:a16="http://schemas.microsoft.com/office/drawing/2014/main" id="{00000000-0008-0000-0C00-00001E6E1D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53440" y="495300"/>
          <a:ext cx="7924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7620</xdr:colOff>
      <xdr:row>3</xdr:row>
      <xdr:rowOff>0</xdr:rowOff>
    </xdr:from>
    <xdr:to>
      <xdr:col>5</xdr:col>
      <xdr:colOff>0</xdr:colOff>
      <xdr:row>4</xdr:row>
      <xdr:rowOff>76200</xdr:rowOff>
    </xdr:to>
    <xdr:pic>
      <xdr:nvPicPr>
        <xdr:cNvPr id="1928735" name="cmdSpecifyUnits">
          <a:extLst>
            <a:ext uri="{FF2B5EF4-FFF2-40B4-BE49-F238E27FC236}">
              <a16:creationId xmlns:a16="http://schemas.microsoft.com/office/drawing/2014/main" id="{00000000-0008-0000-0C00-00001F6E1D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4053840" y="495300"/>
          <a:ext cx="67818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5</xdr:col>
      <xdr:colOff>7620</xdr:colOff>
      <xdr:row>3</xdr:row>
      <xdr:rowOff>0</xdr:rowOff>
    </xdr:from>
    <xdr:to>
      <xdr:col>6</xdr:col>
      <xdr:colOff>0</xdr:colOff>
      <xdr:row>4</xdr:row>
      <xdr:rowOff>76200</xdr:rowOff>
    </xdr:to>
    <xdr:pic>
      <xdr:nvPicPr>
        <xdr:cNvPr id="1928736" name="cmdSpecifySets">
          <a:extLst>
            <a:ext uri="{FF2B5EF4-FFF2-40B4-BE49-F238E27FC236}">
              <a16:creationId xmlns:a16="http://schemas.microsoft.com/office/drawing/2014/main" id="{00000000-0008-0000-0C00-0000206E1D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739640" y="495300"/>
          <a:ext cx="1920240" cy="2057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oneCellAnchor>
    <xdr:from>
      <xdr:col>0</xdr:col>
      <xdr:colOff>12700</xdr:colOff>
      <xdr:row>2</xdr:row>
      <xdr:rowOff>0</xdr:rowOff>
    </xdr:from>
    <xdr:ext cx="815975" cy="238125"/>
    <xdr:sp macro="" textlink="">
      <xdr:nvSpPr>
        <xdr:cNvPr id="2" name="cmdCheckItemsSheet" hidden="1">
          <a:extLst>
            <a:ext uri="{63B3BB69-23CF-44E3-9099-C40C66FF867C}">
              <a14:compatExt xmlns:a14="http://schemas.microsoft.com/office/drawing/2010/main" spid="_x0000_s14337"/>
            </a:ext>
            <a:ext uri="{FF2B5EF4-FFF2-40B4-BE49-F238E27FC236}">
              <a16:creationId xmlns:a16="http://schemas.microsoft.com/office/drawing/2014/main" id="{7272036A-846A-4C3B-9948-794F86B61682}"/>
            </a:ext>
          </a:extLst>
        </xdr:cNvPr>
        <xdr:cNvSpPr/>
      </xdr:nvSpPr>
      <xdr:spPr>
        <a:xfrm>
          <a:off x="12700" y="381000"/>
          <a:ext cx="815975" cy="238125"/>
        </a:xfrm>
        <a:prstGeom prst="rect">
          <a:avLst/>
        </a:prstGeom>
      </xdr:spPr>
    </xdr:sp>
    <xdr:clientData/>
  </xdr:oneCellAnchor>
  <xdr:oneCellAnchor>
    <xdr:from>
      <xdr:col>1</xdr:col>
      <xdr:colOff>12700</xdr:colOff>
      <xdr:row>3</xdr:row>
      <xdr:rowOff>0</xdr:rowOff>
    </xdr:from>
    <xdr:ext cx="723900" cy="257175"/>
    <xdr:sp macro="" textlink="">
      <xdr:nvSpPr>
        <xdr:cNvPr id="3" name="cmdSpecifyComponent" hidden="1">
          <a:extLst>
            <a:ext uri="{63B3BB69-23CF-44E3-9099-C40C66FF867C}">
              <a14:compatExt xmlns:a14="http://schemas.microsoft.com/office/drawing/2010/main" spid="_x0000_s14338"/>
            </a:ext>
            <a:ext uri="{FF2B5EF4-FFF2-40B4-BE49-F238E27FC236}">
              <a16:creationId xmlns:a16="http://schemas.microsoft.com/office/drawing/2014/main" id="{AA606C91-3399-45F0-8C3D-66B4486FD9EE}"/>
            </a:ext>
          </a:extLst>
        </xdr:cNvPr>
        <xdr:cNvSpPr/>
      </xdr:nvSpPr>
      <xdr:spPr>
        <a:xfrm>
          <a:off x="622300" y="571500"/>
          <a:ext cx="723900" cy="257175"/>
        </a:xfrm>
        <a:prstGeom prst="rect">
          <a:avLst/>
        </a:prstGeom>
      </xdr:spPr>
    </xdr:sp>
    <xdr:clientData/>
  </xdr:oneCellAnchor>
  <xdr:oneCellAnchor>
    <xdr:from>
      <xdr:col>4</xdr:col>
      <xdr:colOff>12700</xdr:colOff>
      <xdr:row>3</xdr:row>
      <xdr:rowOff>0</xdr:rowOff>
    </xdr:from>
    <xdr:ext cx="663575" cy="257175"/>
    <xdr:sp macro="" textlink="">
      <xdr:nvSpPr>
        <xdr:cNvPr id="4" name="cmdSpecifyUnits" hidden="1">
          <a:extLst>
            <a:ext uri="{63B3BB69-23CF-44E3-9099-C40C66FF867C}">
              <a14:compatExt xmlns:a14="http://schemas.microsoft.com/office/drawing/2010/main" spid="_x0000_s14339"/>
            </a:ext>
            <a:ext uri="{FF2B5EF4-FFF2-40B4-BE49-F238E27FC236}">
              <a16:creationId xmlns:a16="http://schemas.microsoft.com/office/drawing/2014/main" id="{8705E5CF-41D9-4A5C-99DD-09590C17AC92}"/>
            </a:ext>
          </a:extLst>
        </xdr:cNvPr>
        <xdr:cNvSpPr/>
      </xdr:nvSpPr>
      <xdr:spPr>
        <a:xfrm>
          <a:off x="2451100" y="571500"/>
          <a:ext cx="663575" cy="257175"/>
        </a:xfrm>
        <a:prstGeom prst="rect">
          <a:avLst/>
        </a:prstGeom>
      </xdr:spPr>
    </xdr:sp>
    <xdr:clientData/>
  </xdr:oneCellAnchor>
  <xdr:oneCellAnchor>
    <xdr:from>
      <xdr:col>5</xdr:col>
      <xdr:colOff>12700</xdr:colOff>
      <xdr:row>3</xdr:row>
      <xdr:rowOff>0</xdr:rowOff>
    </xdr:from>
    <xdr:ext cx="1905000" cy="257175"/>
    <xdr:sp macro="" textlink="">
      <xdr:nvSpPr>
        <xdr:cNvPr id="5" name="cmdSpecifySets" hidden="1">
          <a:extLst>
            <a:ext uri="{63B3BB69-23CF-44E3-9099-C40C66FF867C}">
              <a14:compatExt xmlns:a14="http://schemas.microsoft.com/office/drawing/2010/main" spid="_x0000_s14340"/>
            </a:ext>
            <a:ext uri="{FF2B5EF4-FFF2-40B4-BE49-F238E27FC236}">
              <a16:creationId xmlns:a16="http://schemas.microsoft.com/office/drawing/2014/main" id="{6554E129-9869-4E0F-A8D0-AE972D8FB6EF}"/>
            </a:ext>
          </a:extLst>
        </xdr:cNvPr>
        <xdr:cNvSpPr/>
      </xdr:nvSpPr>
      <xdr:spPr>
        <a:xfrm>
          <a:off x="3060700" y="571500"/>
          <a:ext cx="1905000" cy="257175"/>
        </a:xfrm>
        <a:prstGeom prst="rect">
          <a:avLst/>
        </a:prstGeom>
      </xdr:spPr>
    </xdr:sp>
    <xdr:clientData/>
  </xdr:oneCellAnchor>
  <xdr:oneCellAnchor>
    <xdr:from>
      <xdr:col>0</xdr:col>
      <xdr:colOff>12700</xdr:colOff>
      <xdr:row>2</xdr:row>
      <xdr:rowOff>0</xdr:rowOff>
    </xdr:from>
    <xdr:ext cx="815975" cy="238125"/>
    <xdr:pic>
      <xdr:nvPicPr>
        <xdr:cNvPr id="6" name="cmdCheckItemsSheet">
          <a:extLst>
            <a:ext uri="{FF2B5EF4-FFF2-40B4-BE49-F238E27FC236}">
              <a16:creationId xmlns:a16="http://schemas.microsoft.com/office/drawing/2014/main" id="{DE22A8CF-9EC4-40CF-99A4-43A70E7A7E8A}"/>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381000"/>
          <a:ext cx="815975" cy="23812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1</xdr:col>
      <xdr:colOff>12700</xdr:colOff>
      <xdr:row>3</xdr:row>
      <xdr:rowOff>0</xdr:rowOff>
    </xdr:from>
    <xdr:ext cx="723900" cy="257175"/>
    <xdr:pic>
      <xdr:nvPicPr>
        <xdr:cNvPr id="7" name="cmdSpecifyComponent">
          <a:extLst>
            <a:ext uri="{FF2B5EF4-FFF2-40B4-BE49-F238E27FC236}">
              <a16:creationId xmlns:a16="http://schemas.microsoft.com/office/drawing/2014/main" id="{1D6FAC2F-5993-4FEB-B10E-79BF807AEA9E}"/>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22300" y="571500"/>
          <a:ext cx="7239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4</xdr:col>
      <xdr:colOff>12700</xdr:colOff>
      <xdr:row>3</xdr:row>
      <xdr:rowOff>0</xdr:rowOff>
    </xdr:from>
    <xdr:ext cx="663575" cy="257175"/>
    <xdr:pic>
      <xdr:nvPicPr>
        <xdr:cNvPr id="8" name="cmdSpecifyUnits">
          <a:extLst>
            <a:ext uri="{FF2B5EF4-FFF2-40B4-BE49-F238E27FC236}">
              <a16:creationId xmlns:a16="http://schemas.microsoft.com/office/drawing/2014/main" id="{513C924D-D4AA-43F9-BF58-7AF3F42EF8AB}"/>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451100" y="571500"/>
          <a:ext cx="663575"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oneCellAnchor>
    <xdr:from>
      <xdr:col>5</xdr:col>
      <xdr:colOff>12700</xdr:colOff>
      <xdr:row>3</xdr:row>
      <xdr:rowOff>0</xdr:rowOff>
    </xdr:from>
    <xdr:ext cx="1905000" cy="257175"/>
    <xdr:pic>
      <xdr:nvPicPr>
        <xdr:cNvPr id="9" name="cmdSpecifySets">
          <a:extLst>
            <a:ext uri="{FF2B5EF4-FFF2-40B4-BE49-F238E27FC236}">
              <a16:creationId xmlns:a16="http://schemas.microsoft.com/office/drawing/2014/main" id="{ADCD6B55-BA84-43E5-9C25-D4B9F3192038}"/>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060700" y="571500"/>
          <a:ext cx="1905000" cy="257175"/>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oneCellAnchor>
</xdr:wsDr>
</file>

<file path=xl/drawings/drawing4.xml><?xml version="1.0" encoding="utf-8"?>
<xdr:wsDr xmlns:xdr="http://schemas.openxmlformats.org/drawingml/2006/spreadsheetDrawing" xmlns:a="http://schemas.openxmlformats.org/drawingml/2006/main">
  <xdr:twoCellAnchor>
    <xdr:from>
      <xdr:col>10</xdr:col>
      <xdr:colOff>784225</xdr:colOff>
      <xdr:row>45</xdr:row>
      <xdr:rowOff>153987</xdr:rowOff>
    </xdr:from>
    <xdr:to>
      <xdr:col>20</xdr:col>
      <xdr:colOff>47625</xdr:colOff>
      <xdr:row>60</xdr:row>
      <xdr:rowOff>114300</xdr:rowOff>
    </xdr:to>
    <xdr:graphicFrame macro="">
      <xdr:nvGraphicFramePr>
        <xdr:cNvPr id="2" name="Chart 1">
          <a:extLst>
            <a:ext uri="{FF2B5EF4-FFF2-40B4-BE49-F238E27FC236}">
              <a16:creationId xmlns:a16="http://schemas.microsoft.com/office/drawing/2014/main" id="{6833E26B-F257-4264-A71E-5E9DAEA031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0</xdr:colOff>
      <xdr:row>46</xdr:row>
      <xdr:rowOff>0</xdr:rowOff>
    </xdr:from>
    <xdr:to>
      <xdr:col>31</xdr:col>
      <xdr:colOff>101600</xdr:colOff>
      <xdr:row>60</xdr:row>
      <xdr:rowOff>144463</xdr:rowOff>
    </xdr:to>
    <xdr:graphicFrame macro="">
      <xdr:nvGraphicFramePr>
        <xdr:cNvPr id="3" name="Chart 2">
          <a:extLst>
            <a:ext uri="{FF2B5EF4-FFF2-40B4-BE49-F238E27FC236}">
              <a16:creationId xmlns:a16="http://schemas.microsoft.com/office/drawing/2014/main" id="{FC0A3C38-190A-406D-A564-BAC2510FE82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869245</xdr:colOff>
      <xdr:row>96</xdr:row>
      <xdr:rowOff>270272</xdr:rowOff>
    </xdr:from>
    <xdr:to>
      <xdr:col>9</xdr:col>
      <xdr:colOff>4233</xdr:colOff>
      <xdr:row>112</xdr:row>
      <xdr:rowOff>101599</xdr:rowOff>
    </xdr:to>
    <xdr:graphicFrame macro="">
      <xdr:nvGraphicFramePr>
        <xdr:cNvPr id="4" name="Chart 3">
          <a:extLst>
            <a:ext uri="{FF2B5EF4-FFF2-40B4-BE49-F238E27FC236}">
              <a16:creationId xmlns:a16="http://schemas.microsoft.com/office/drawing/2014/main" id="{1B7F8BC8-2326-4E30-936C-12E2FBEA8C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1919113</xdr:colOff>
      <xdr:row>107</xdr:row>
      <xdr:rowOff>187457</xdr:rowOff>
    </xdr:from>
    <xdr:to>
      <xdr:col>2</xdr:col>
      <xdr:colOff>2684287</xdr:colOff>
      <xdr:row>118</xdr:row>
      <xdr:rowOff>103012</xdr:rowOff>
    </xdr:to>
    <xdr:graphicFrame macro="">
      <xdr:nvGraphicFramePr>
        <xdr:cNvPr id="5" name="Chart 4">
          <a:extLst>
            <a:ext uri="{FF2B5EF4-FFF2-40B4-BE49-F238E27FC236}">
              <a16:creationId xmlns:a16="http://schemas.microsoft.com/office/drawing/2014/main" id="{2B93B0BA-108C-4C56-8196-8DE25F3943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419806</xdr:colOff>
      <xdr:row>110</xdr:row>
      <xdr:rowOff>46347</xdr:rowOff>
    </xdr:from>
    <xdr:to>
      <xdr:col>8</xdr:col>
      <xdr:colOff>1083027</xdr:colOff>
      <xdr:row>118</xdr:row>
      <xdr:rowOff>7056</xdr:rowOff>
    </xdr:to>
    <xdr:graphicFrame macro="">
      <xdr:nvGraphicFramePr>
        <xdr:cNvPr id="6" name="Chart 5">
          <a:extLst>
            <a:ext uri="{FF2B5EF4-FFF2-40B4-BE49-F238E27FC236}">
              <a16:creationId xmlns:a16="http://schemas.microsoft.com/office/drawing/2014/main" id="{F1B5C554-C500-43C9-A530-0872C9BE2F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622914</xdr:colOff>
      <xdr:row>39</xdr:row>
      <xdr:rowOff>14394</xdr:rowOff>
    </xdr:from>
    <xdr:to>
      <xdr:col>18</xdr:col>
      <xdr:colOff>9200</xdr:colOff>
      <xdr:row>52</xdr:row>
      <xdr:rowOff>179350</xdr:rowOff>
    </xdr:to>
    <xdr:graphicFrame macro="">
      <xdr:nvGraphicFramePr>
        <xdr:cNvPr id="7" name="Chart 6">
          <a:extLst>
            <a:ext uri="{FF2B5EF4-FFF2-40B4-BE49-F238E27FC236}">
              <a16:creationId xmlns:a16="http://schemas.microsoft.com/office/drawing/2014/main" id="{2256E3B5-359E-411A-B53C-32EE63F039A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12700</xdr:colOff>
      <xdr:row>2</xdr:row>
      <xdr:rowOff>0</xdr:rowOff>
    </xdr:from>
    <xdr:to>
      <xdr:col>1</xdr:col>
      <xdr:colOff>0</xdr:colOff>
      <xdr:row>3</xdr:row>
      <xdr:rowOff>0</xdr:rowOff>
    </xdr:to>
    <xdr:sp macro="" textlink="">
      <xdr:nvSpPr>
        <xdr:cNvPr id="2667521" name="cmdCheckItemsSheet" hidden="1">
          <a:extLst>
            <a:ext uri="{63B3BB69-23CF-44E3-9099-C40C66FF867C}">
              <a14:compatExt xmlns:a14="http://schemas.microsoft.com/office/drawing/2010/main" spid="_x0000_s2667521"/>
            </a:ext>
            <a:ext uri="{FF2B5EF4-FFF2-40B4-BE49-F238E27FC236}">
              <a16:creationId xmlns:a16="http://schemas.microsoft.com/office/drawing/2014/main" id="{00000000-0008-0000-1000-000001B42800}"/>
            </a:ext>
          </a:extLst>
        </xdr:cNvPr>
        <xdr:cNvSpPr/>
      </xdr:nvSpPr>
      <xdr:spPr>
        <a:xfrm>
          <a:off x="0" y="0"/>
          <a:ext cx="0" cy="0"/>
        </a:xfrm>
        <a:prstGeom prst="rect">
          <a:avLst/>
        </a:prstGeom>
      </xdr:spPr>
    </xdr:sp>
    <xdr:clientData/>
  </xdr:twoCellAnchor>
  <xdr:twoCellAnchor editAs="oneCell">
    <xdr:from>
      <xdr:col>1</xdr:col>
      <xdr:colOff>12700</xdr:colOff>
      <xdr:row>3</xdr:row>
      <xdr:rowOff>0</xdr:rowOff>
    </xdr:from>
    <xdr:to>
      <xdr:col>1</xdr:col>
      <xdr:colOff>762000</xdr:colOff>
      <xdr:row>4</xdr:row>
      <xdr:rowOff>114300</xdr:rowOff>
    </xdr:to>
    <xdr:sp macro="" textlink="">
      <xdr:nvSpPr>
        <xdr:cNvPr id="2667522" name="cmdSpecifyComponent" hidden="1">
          <a:extLst>
            <a:ext uri="{63B3BB69-23CF-44E3-9099-C40C66FF867C}">
              <a14:compatExt xmlns:a14="http://schemas.microsoft.com/office/drawing/2010/main" spid="_x0000_s2667522"/>
            </a:ext>
            <a:ext uri="{FF2B5EF4-FFF2-40B4-BE49-F238E27FC236}">
              <a16:creationId xmlns:a16="http://schemas.microsoft.com/office/drawing/2014/main" id="{00000000-0008-0000-1000-000002B42800}"/>
            </a:ext>
          </a:extLst>
        </xdr:cNvPr>
        <xdr:cNvSpPr/>
      </xdr:nvSpPr>
      <xdr:spPr>
        <a:xfrm>
          <a:off x="0" y="0"/>
          <a:ext cx="0" cy="0"/>
        </a:xfrm>
        <a:prstGeom prst="rect">
          <a:avLst/>
        </a:prstGeom>
      </xdr:spPr>
    </xdr:sp>
    <xdr:clientData/>
  </xdr:twoCellAnchor>
  <xdr:twoCellAnchor editAs="oneCell">
    <xdr:from>
      <xdr:col>4</xdr:col>
      <xdr:colOff>12700</xdr:colOff>
      <xdr:row>3</xdr:row>
      <xdr:rowOff>0</xdr:rowOff>
    </xdr:from>
    <xdr:to>
      <xdr:col>5</xdr:col>
      <xdr:colOff>0</xdr:colOff>
      <xdr:row>4</xdr:row>
      <xdr:rowOff>114300</xdr:rowOff>
    </xdr:to>
    <xdr:sp macro="" textlink="">
      <xdr:nvSpPr>
        <xdr:cNvPr id="2667523" name="cmdSpecifyUnits" hidden="1">
          <a:extLst>
            <a:ext uri="{63B3BB69-23CF-44E3-9099-C40C66FF867C}">
              <a14:compatExt xmlns:a14="http://schemas.microsoft.com/office/drawing/2010/main" spid="_x0000_s2667523"/>
            </a:ext>
            <a:ext uri="{FF2B5EF4-FFF2-40B4-BE49-F238E27FC236}">
              <a16:creationId xmlns:a16="http://schemas.microsoft.com/office/drawing/2014/main" id="{00000000-0008-0000-1000-000003B42800}"/>
            </a:ext>
          </a:extLst>
        </xdr:cNvPr>
        <xdr:cNvSpPr/>
      </xdr:nvSpPr>
      <xdr:spPr>
        <a:xfrm>
          <a:off x="0" y="0"/>
          <a:ext cx="0" cy="0"/>
        </a:xfrm>
        <a:prstGeom prst="rect">
          <a:avLst/>
        </a:prstGeom>
      </xdr:spPr>
    </xdr:sp>
    <xdr:clientData/>
  </xdr:twoCellAnchor>
  <xdr:twoCellAnchor editAs="oneCell">
    <xdr:from>
      <xdr:col>5</xdr:col>
      <xdr:colOff>12700</xdr:colOff>
      <xdr:row>3</xdr:row>
      <xdr:rowOff>0</xdr:rowOff>
    </xdr:from>
    <xdr:to>
      <xdr:col>5</xdr:col>
      <xdr:colOff>1917700</xdr:colOff>
      <xdr:row>4</xdr:row>
      <xdr:rowOff>114300</xdr:rowOff>
    </xdr:to>
    <xdr:sp macro="" textlink="">
      <xdr:nvSpPr>
        <xdr:cNvPr id="2667524" name="cmdSpecifySets" hidden="1">
          <a:extLst>
            <a:ext uri="{63B3BB69-23CF-44E3-9099-C40C66FF867C}">
              <a14:compatExt xmlns:a14="http://schemas.microsoft.com/office/drawing/2010/main" spid="_x0000_s2667524"/>
            </a:ext>
            <a:ext uri="{FF2B5EF4-FFF2-40B4-BE49-F238E27FC236}">
              <a16:creationId xmlns:a16="http://schemas.microsoft.com/office/drawing/2014/main" id="{00000000-0008-0000-1000-000004B42800}"/>
            </a:ext>
          </a:extLst>
        </xdr:cNvPr>
        <xdr:cNvSpPr/>
      </xdr:nvSpPr>
      <xdr:spPr>
        <a:xfrm>
          <a:off x="0" y="0"/>
          <a:ext cx="0" cy="0"/>
        </a:xfrm>
        <a:prstGeom prst="rect">
          <a:avLst/>
        </a:prstGeom>
      </xdr:spPr>
    </xdr:sp>
    <xdr:clientData/>
  </xdr:twoCellAnchor>
  <xdr:twoCellAnchor editAs="oneCell">
    <xdr:from>
      <xdr:col>0</xdr:col>
      <xdr:colOff>12700</xdr:colOff>
      <xdr:row>2</xdr:row>
      <xdr:rowOff>0</xdr:rowOff>
    </xdr:from>
    <xdr:to>
      <xdr:col>1</xdr:col>
      <xdr:colOff>0</xdr:colOff>
      <xdr:row>3</xdr:row>
      <xdr:rowOff>0</xdr:rowOff>
    </xdr:to>
    <xdr:pic>
      <xdr:nvPicPr>
        <xdr:cNvPr id="2" name="cmdCheckItemsSheet">
          <a:extLst>
            <a:ext uri="{FF2B5EF4-FFF2-40B4-BE49-F238E27FC236}">
              <a16:creationId xmlns:a16="http://schemas.microsoft.com/office/drawing/2014/main" id="{00000000-0008-0000-1000-000002000000}"/>
            </a:ext>
          </a:extLst>
        </xdr:cNvPr>
        <xdr:cNvPicPr preferRelativeResize="0">
          <a:picLocks noChangeArrowheads="1" noChangeShapeType="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254000"/>
          <a:ext cx="825500" cy="2286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1</xdr:col>
      <xdr:colOff>12700</xdr:colOff>
      <xdr:row>3</xdr:row>
      <xdr:rowOff>0</xdr:rowOff>
    </xdr:from>
    <xdr:to>
      <xdr:col>1</xdr:col>
      <xdr:colOff>762000</xdr:colOff>
      <xdr:row>4</xdr:row>
      <xdr:rowOff>114300</xdr:rowOff>
    </xdr:to>
    <xdr:pic>
      <xdr:nvPicPr>
        <xdr:cNvPr id="3" name="cmdSpecifyComponent">
          <a:extLst>
            <a:ext uri="{FF2B5EF4-FFF2-40B4-BE49-F238E27FC236}">
              <a16:creationId xmlns:a16="http://schemas.microsoft.com/office/drawing/2014/main" id="{00000000-0008-0000-1000-000003000000}"/>
            </a:ext>
          </a:extLst>
        </xdr:cNvPr>
        <xdr:cNvPicPr preferRelativeResize="0">
          <a:picLocks noChangeArrowheads="1" noChangeShapeType="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65200" y="482600"/>
          <a:ext cx="7493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4</xdr:col>
      <xdr:colOff>12700</xdr:colOff>
      <xdr:row>3</xdr:row>
      <xdr:rowOff>0</xdr:rowOff>
    </xdr:from>
    <xdr:to>
      <xdr:col>5</xdr:col>
      <xdr:colOff>0</xdr:colOff>
      <xdr:row>4</xdr:row>
      <xdr:rowOff>114300</xdr:rowOff>
    </xdr:to>
    <xdr:pic>
      <xdr:nvPicPr>
        <xdr:cNvPr id="4" name="cmdSpecifyUnits">
          <a:extLst>
            <a:ext uri="{FF2B5EF4-FFF2-40B4-BE49-F238E27FC236}">
              <a16:creationId xmlns:a16="http://schemas.microsoft.com/office/drawing/2014/main" id="{00000000-0008-0000-1000-000004000000}"/>
            </a:ext>
          </a:extLst>
        </xdr:cNvPr>
        <xdr:cNvPicPr preferRelativeResize="0">
          <a:picLocks noChangeArrowheads="1" noChangeShapeType="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918200" y="482600"/>
          <a:ext cx="6731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twoCellAnchor editAs="oneCell">
    <xdr:from>
      <xdr:col>5</xdr:col>
      <xdr:colOff>12700</xdr:colOff>
      <xdr:row>3</xdr:row>
      <xdr:rowOff>0</xdr:rowOff>
    </xdr:from>
    <xdr:to>
      <xdr:col>5</xdr:col>
      <xdr:colOff>1917700</xdr:colOff>
      <xdr:row>4</xdr:row>
      <xdr:rowOff>114300</xdr:rowOff>
    </xdr:to>
    <xdr:pic>
      <xdr:nvPicPr>
        <xdr:cNvPr id="5" name="cmdSpecifySets">
          <a:extLst>
            <a:ext uri="{FF2B5EF4-FFF2-40B4-BE49-F238E27FC236}">
              <a16:creationId xmlns:a16="http://schemas.microsoft.com/office/drawing/2014/main" id="{00000000-0008-0000-1000-000005000000}"/>
            </a:ext>
          </a:extLst>
        </xdr:cNvPr>
        <xdr:cNvPicPr preferRelativeResize="0">
          <a:picLocks noChangeArrowheads="1" noChangeShapeType="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692900" y="482600"/>
          <a:ext cx="1905000" cy="241300"/>
        </a:xfrm>
        <a:prstGeom prst="rect">
          <a:avLst/>
        </a:prstGeom>
        <a:noFill/>
        <a:ln>
          <a:noFill/>
        </a:ln>
        <a:extLst>
          <a:ext uri="{91240B29-F687-4F45-9708-019B960494DF}">
            <a14:hiddenLine xmlns:a14="http://schemas.microsoft.com/office/drawing/2010/main" w="9525">
              <a:noFill/>
              <a:miter lim="800000"/>
              <a:headEnd/>
              <a:tailEnd/>
            </a14:hiddenLine>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27</xdr:col>
      <xdr:colOff>291833</xdr:colOff>
      <xdr:row>41</xdr:row>
      <xdr:rowOff>140076</xdr:rowOff>
    </xdr:from>
    <xdr:to>
      <xdr:col>37</xdr:col>
      <xdr:colOff>291832</xdr:colOff>
      <xdr:row>56</xdr:row>
      <xdr:rowOff>182498</xdr:rowOff>
    </xdr:to>
    <xdr:graphicFrame macro="">
      <xdr:nvGraphicFramePr>
        <xdr:cNvPr id="2" name="Chart 1">
          <a:extLst>
            <a:ext uri="{FF2B5EF4-FFF2-40B4-BE49-F238E27FC236}">
              <a16:creationId xmlns:a16="http://schemas.microsoft.com/office/drawing/2014/main" id="{D528E921-05B9-4324-9566-6CB7F28BBC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46</xdr:col>
      <xdr:colOff>95249</xdr:colOff>
      <xdr:row>250</xdr:row>
      <xdr:rowOff>104775</xdr:rowOff>
    </xdr:from>
    <xdr:to>
      <xdr:col>52</xdr:col>
      <xdr:colOff>482600</xdr:colOff>
      <xdr:row>262</xdr:row>
      <xdr:rowOff>47625</xdr:rowOff>
    </xdr:to>
    <xdr:graphicFrame macro="">
      <xdr:nvGraphicFramePr>
        <xdr:cNvPr id="3" name="Chart 2">
          <a:extLst>
            <a:ext uri="{FF2B5EF4-FFF2-40B4-BE49-F238E27FC236}">
              <a16:creationId xmlns:a16="http://schemas.microsoft.com/office/drawing/2014/main" id="{789F70A0-C50C-4643-ABF0-C11157C0E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41</xdr:col>
      <xdr:colOff>64770</xdr:colOff>
      <xdr:row>12</xdr:row>
      <xdr:rowOff>64770</xdr:rowOff>
    </xdr:from>
    <xdr:to>
      <xdr:col>48</xdr:col>
      <xdr:colOff>1123950</xdr:colOff>
      <xdr:row>36</xdr:row>
      <xdr:rowOff>15240</xdr:rowOff>
    </xdr:to>
    <xdr:graphicFrame macro="">
      <xdr:nvGraphicFramePr>
        <xdr:cNvPr id="4" name="Chart 3">
          <a:extLst>
            <a:ext uri="{FF2B5EF4-FFF2-40B4-BE49-F238E27FC236}">
              <a16:creationId xmlns:a16="http://schemas.microsoft.com/office/drawing/2014/main" id="{FE8B06A7-3499-49C8-8C37-B9FB8EDC5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46</xdr:col>
      <xdr:colOff>11430</xdr:colOff>
      <xdr:row>262</xdr:row>
      <xdr:rowOff>50800</xdr:rowOff>
    </xdr:from>
    <xdr:to>
      <xdr:col>54</xdr:col>
      <xdr:colOff>175260</xdr:colOff>
      <xdr:row>298</xdr:row>
      <xdr:rowOff>33020</xdr:rowOff>
    </xdr:to>
    <xdr:graphicFrame macro="">
      <xdr:nvGraphicFramePr>
        <xdr:cNvPr id="5" name="Chart 4">
          <a:extLst>
            <a:ext uri="{FF2B5EF4-FFF2-40B4-BE49-F238E27FC236}">
              <a16:creationId xmlns:a16="http://schemas.microsoft.com/office/drawing/2014/main" id="{02233390-E13A-45FC-8F47-8A445AAFEC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15</xdr:col>
      <xdr:colOff>186690</xdr:colOff>
      <xdr:row>190</xdr:row>
      <xdr:rowOff>133350</xdr:rowOff>
    </xdr:from>
    <xdr:to>
      <xdr:col>27</xdr:col>
      <xdr:colOff>118110</xdr:colOff>
      <xdr:row>214</xdr:row>
      <xdr:rowOff>179070</xdr:rowOff>
    </xdr:to>
    <xdr:graphicFrame macro="">
      <xdr:nvGraphicFramePr>
        <xdr:cNvPr id="2" name="Chart 2">
          <a:extLst>
            <a:ext uri="{FF2B5EF4-FFF2-40B4-BE49-F238E27FC236}">
              <a16:creationId xmlns:a16="http://schemas.microsoft.com/office/drawing/2014/main" id="{8799BC25-0285-4D8A-8C3E-AAF31356F3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33</xdr:col>
      <xdr:colOff>380599</xdr:colOff>
      <xdr:row>85</xdr:row>
      <xdr:rowOff>134690</xdr:rowOff>
    </xdr:from>
    <xdr:to>
      <xdr:col>41</xdr:col>
      <xdr:colOff>111659</xdr:colOff>
      <xdr:row>100</xdr:row>
      <xdr:rowOff>9184</xdr:rowOff>
    </xdr:to>
    <xdr:graphicFrame macro="">
      <xdr:nvGraphicFramePr>
        <xdr:cNvPr id="3" name="Chart 2">
          <a:extLst>
            <a:ext uri="{FF2B5EF4-FFF2-40B4-BE49-F238E27FC236}">
              <a16:creationId xmlns:a16="http://schemas.microsoft.com/office/drawing/2014/main" id="{C347A7F2-3B72-4CBD-833D-EB5F30CABE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144198</xdr:colOff>
      <xdr:row>136</xdr:row>
      <xdr:rowOff>164042</xdr:rowOff>
    </xdr:from>
    <xdr:to>
      <xdr:col>2</xdr:col>
      <xdr:colOff>4726781</xdr:colOff>
      <xdr:row>150</xdr:row>
      <xdr:rowOff>58208</xdr:rowOff>
    </xdr:to>
    <xdr:graphicFrame macro="">
      <xdr:nvGraphicFramePr>
        <xdr:cNvPr id="4" name="Chart 3">
          <a:extLst>
            <a:ext uri="{FF2B5EF4-FFF2-40B4-BE49-F238E27FC236}">
              <a16:creationId xmlns:a16="http://schemas.microsoft.com/office/drawing/2014/main" id="{EA14D3E9-821D-4596-86BA-A5F1B24288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84667</xdr:colOff>
      <xdr:row>110</xdr:row>
      <xdr:rowOff>21167</xdr:rowOff>
    </xdr:from>
    <xdr:to>
      <xdr:col>2</xdr:col>
      <xdr:colOff>4667250</xdr:colOff>
      <xdr:row>123</xdr:row>
      <xdr:rowOff>105833</xdr:rowOff>
    </xdr:to>
    <xdr:graphicFrame macro="">
      <xdr:nvGraphicFramePr>
        <xdr:cNvPr id="5" name="Chart 4">
          <a:extLst>
            <a:ext uri="{FF2B5EF4-FFF2-40B4-BE49-F238E27FC236}">
              <a16:creationId xmlns:a16="http://schemas.microsoft.com/office/drawing/2014/main" id="{3F1E5E28-D998-4C68-94AE-7FF5E5E8E3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0</xdr:colOff>
      <xdr:row>191</xdr:row>
      <xdr:rowOff>0</xdr:rowOff>
    </xdr:from>
    <xdr:to>
      <xdr:col>41</xdr:col>
      <xdr:colOff>302013</xdr:colOff>
      <xdr:row>216</xdr:row>
      <xdr:rowOff>89647</xdr:rowOff>
    </xdr:to>
    <xdr:pic>
      <xdr:nvPicPr>
        <xdr:cNvPr id="6" name="Picture 5">
          <a:extLst>
            <a:ext uri="{FF2B5EF4-FFF2-40B4-BE49-F238E27FC236}">
              <a16:creationId xmlns:a16="http://schemas.microsoft.com/office/drawing/2014/main" id="{A81C9102-634A-40B3-87F7-DCF3C0A43BB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93200" y="35852100"/>
          <a:ext cx="8226813" cy="48521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32</xdr:col>
      <xdr:colOff>374125</xdr:colOff>
      <xdr:row>3</xdr:row>
      <xdr:rowOff>76540</xdr:rowOff>
    </xdr:from>
    <xdr:to>
      <xdr:col>58</xdr:col>
      <xdr:colOff>555393</xdr:colOff>
      <xdr:row>46</xdr:row>
      <xdr:rowOff>13607</xdr:rowOff>
    </xdr:to>
    <xdr:pic>
      <xdr:nvPicPr>
        <xdr:cNvPr id="7" name="Picture 6">
          <a:extLst>
            <a:ext uri="{FF2B5EF4-FFF2-40B4-BE49-F238E27FC236}">
              <a16:creationId xmlns:a16="http://schemas.microsoft.com/office/drawing/2014/main" id="{81276923-61DB-48B0-9D6F-0325A351F99A}"/>
            </a:ext>
          </a:extLst>
        </xdr:cNvPr>
        <xdr:cNvPicPr>
          <a:picLocks noChangeAspect="1"/>
        </xdr:cNvPicPr>
      </xdr:nvPicPr>
      <xdr:blipFill>
        <a:blip xmlns:r="http://schemas.openxmlformats.org/officeDocument/2006/relationships" r:embed="rId6"/>
        <a:stretch>
          <a:fillRect/>
        </a:stretch>
      </xdr:blipFill>
      <xdr:spPr>
        <a:xfrm>
          <a:off x="24676482" y="661647"/>
          <a:ext cx="16550661" cy="8223817"/>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28</xdr:col>
      <xdr:colOff>320040</xdr:colOff>
      <xdr:row>256</xdr:row>
      <xdr:rowOff>60960</xdr:rowOff>
    </xdr:from>
    <xdr:to>
      <xdr:col>42</xdr:col>
      <xdr:colOff>160020</xdr:colOff>
      <xdr:row>273</xdr:row>
      <xdr:rowOff>83820</xdr:rowOff>
    </xdr:to>
    <xdr:graphicFrame macro="">
      <xdr:nvGraphicFramePr>
        <xdr:cNvPr id="2" name="Chart 3">
          <a:extLst>
            <a:ext uri="{FF2B5EF4-FFF2-40B4-BE49-F238E27FC236}">
              <a16:creationId xmlns:a16="http://schemas.microsoft.com/office/drawing/2014/main" id="{ABF028E6-6021-4783-99F2-EA83F86A3A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507207</xdr:colOff>
      <xdr:row>244</xdr:row>
      <xdr:rowOff>55721</xdr:rowOff>
    </xdr:from>
    <xdr:to>
      <xdr:col>37</xdr:col>
      <xdr:colOff>393859</xdr:colOff>
      <xdr:row>273</xdr:row>
      <xdr:rowOff>63341</xdr:rowOff>
    </xdr:to>
    <xdr:graphicFrame macro="">
      <xdr:nvGraphicFramePr>
        <xdr:cNvPr id="3" name="Chart 4">
          <a:extLst>
            <a:ext uri="{FF2B5EF4-FFF2-40B4-BE49-F238E27FC236}">
              <a16:creationId xmlns:a16="http://schemas.microsoft.com/office/drawing/2014/main" id="{AE3F6B17-843D-4BC1-B1D3-A24A201F83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207287</xdr:colOff>
      <xdr:row>248</xdr:row>
      <xdr:rowOff>91633</xdr:rowOff>
    </xdr:from>
    <xdr:to>
      <xdr:col>35</xdr:col>
      <xdr:colOff>439862</xdr:colOff>
      <xdr:row>270</xdr:row>
      <xdr:rowOff>144311</xdr:rowOff>
    </xdr:to>
    <xdr:graphicFrame macro="">
      <xdr:nvGraphicFramePr>
        <xdr:cNvPr id="4" name="Chart 1">
          <a:extLst>
            <a:ext uri="{FF2B5EF4-FFF2-40B4-BE49-F238E27FC236}">
              <a16:creationId xmlns:a16="http://schemas.microsoft.com/office/drawing/2014/main" id="{5BB3060C-F21F-4DEC-8941-699A971060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51</xdr:col>
      <xdr:colOff>243575</xdr:colOff>
      <xdr:row>124</xdr:row>
      <xdr:rowOff>64876</xdr:rowOff>
    </xdr:from>
    <xdr:to>
      <xdr:col>64</xdr:col>
      <xdr:colOff>362162</xdr:colOff>
      <xdr:row>145</xdr:row>
      <xdr:rowOff>11536</xdr:rowOff>
    </xdr:to>
    <xdr:graphicFrame macro="">
      <xdr:nvGraphicFramePr>
        <xdr:cNvPr id="5" name="Chart 2">
          <a:extLst>
            <a:ext uri="{FF2B5EF4-FFF2-40B4-BE49-F238E27FC236}">
              <a16:creationId xmlns:a16="http://schemas.microsoft.com/office/drawing/2014/main" id="{1154ABB6-9E24-4B77-9364-6675D8C676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52</xdr:col>
      <xdr:colOff>130968</xdr:colOff>
      <xdr:row>145</xdr:row>
      <xdr:rowOff>190499</xdr:rowOff>
    </xdr:from>
    <xdr:to>
      <xdr:col>63</xdr:col>
      <xdr:colOff>130492</xdr:colOff>
      <xdr:row>164</xdr:row>
      <xdr:rowOff>113348</xdr:rowOff>
    </xdr:to>
    <xdr:graphicFrame macro="">
      <xdr:nvGraphicFramePr>
        <xdr:cNvPr id="6" name="Chart 2">
          <a:extLst>
            <a:ext uri="{FF2B5EF4-FFF2-40B4-BE49-F238E27FC236}">
              <a16:creationId xmlns:a16="http://schemas.microsoft.com/office/drawing/2014/main" id="{2C1F5F80-DCB1-42BA-9B1C-D60CDCE46B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331107</xdr:colOff>
      <xdr:row>13</xdr:row>
      <xdr:rowOff>36285</xdr:rowOff>
    </xdr:from>
    <xdr:to>
      <xdr:col>42</xdr:col>
      <xdr:colOff>367393</xdr:colOff>
      <xdr:row>28</xdr:row>
      <xdr:rowOff>83458</xdr:rowOff>
    </xdr:to>
    <xdr:graphicFrame macro="">
      <xdr:nvGraphicFramePr>
        <xdr:cNvPr id="7" name="Chart 6">
          <a:extLst>
            <a:ext uri="{FF2B5EF4-FFF2-40B4-BE49-F238E27FC236}">
              <a16:creationId xmlns:a16="http://schemas.microsoft.com/office/drawing/2014/main" id="{E5365466-85C5-47D3-AD03-95C8899B18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421822</xdr:colOff>
      <xdr:row>13</xdr:row>
      <xdr:rowOff>16329</xdr:rowOff>
    </xdr:from>
    <xdr:to>
      <xdr:col>47</xdr:col>
      <xdr:colOff>77107</xdr:colOff>
      <xdr:row>28</xdr:row>
      <xdr:rowOff>19958</xdr:rowOff>
    </xdr:to>
    <xdr:graphicFrame macro="">
      <xdr:nvGraphicFramePr>
        <xdr:cNvPr id="8" name="Chart 7">
          <a:extLst>
            <a:ext uri="{FF2B5EF4-FFF2-40B4-BE49-F238E27FC236}">
              <a16:creationId xmlns:a16="http://schemas.microsoft.com/office/drawing/2014/main" id="{D6F2A51E-60C3-4870-A45F-11C8BC81A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32</xdr:col>
      <xdr:colOff>340178</xdr:colOff>
      <xdr:row>28</xdr:row>
      <xdr:rowOff>116115</xdr:rowOff>
    </xdr:from>
    <xdr:to>
      <xdr:col>42</xdr:col>
      <xdr:colOff>376464</xdr:colOff>
      <xdr:row>43</xdr:row>
      <xdr:rowOff>110672</xdr:rowOff>
    </xdr:to>
    <xdr:graphicFrame macro="">
      <xdr:nvGraphicFramePr>
        <xdr:cNvPr id="9" name="Chart 8">
          <a:extLst>
            <a:ext uri="{FF2B5EF4-FFF2-40B4-BE49-F238E27FC236}">
              <a16:creationId xmlns:a16="http://schemas.microsoft.com/office/drawing/2014/main" id="{E131C8A2-AFF9-44C6-8E7D-6D79DF0DF2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37</xdr:col>
      <xdr:colOff>439965</xdr:colOff>
      <xdr:row>28</xdr:row>
      <xdr:rowOff>97972</xdr:rowOff>
    </xdr:from>
    <xdr:to>
      <xdr:col>47</xdr:col>
      <xdr:colOff>95250</xdr:colOff>
      <xdr:row>43</xdr:row>
      <xdr:rowOff>92529</xdr:rowOff>
    </xdr:to>
    <xdr:graphicFrame macro="">
      <xdr:nvGraphicFramePr>
        <xdr:cNvPr id="10" name="Chart 9">
          <a:extLst>
            <a:ext uri="{FF2B5EF4-FFF2-40B4-BE49-F238E27FC236}">
              <a16:creationId xmlns:a16="http://schemas.microsoft.com/office/drawing/2014/main" id="{C5698A9E-11C2-4929-8D7B-7CCAF36951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34</xdr:col>
      <xdr:colOff>56748</xdr:colOff>
      <xdr:row>23</xdr:row>
      <xdr:rowOff>47625</xdr:rowOff>
    </xdr:from>
    <xdr:to>
      <xdr:col>43</xdr:col>
      <xdr:colOff>605117</xdr:colOff>
      <xdr:row>38</xdr:row>
      <xdr:rowOff>67830</xdr:rowOff>
    </xdr:to>
    <xdr:graphicFrame macro="">
      <xdr:nvGraphicFramePr>
        <xdr:cNvPr id="11" name="Chart 10">
          <a:extLst>
            <a:ext uri="{FF2B5EF4-FFF2-40B4-BE49-F238E27FC236}">
              <a16:creationId xmlns:a16="http://schemas.microsoft.com/office/drawing/2014/main" id="{073573F7-7929-4775-AC01-CA7EA71281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32</xdr:col>
      <xdr:colOff>340178</xdr:colOff>
      <xdr:row>44</xdr:row>
      <xdr:rowOff>120650</xdr:rowOff>
    </xdr:from>
    <xdr:to>
      <xdr:col>45</xdr:col>
      <xdr:colOff>308428</xdr:colOff>
      <xdr:row>67</xdr:row>
      <xdr:rowOff>172357</xdr:rowOff>
    </xdr:to>
    <xdr:graphicFrame macro="">
      <xdr:nvGraphicFramePr>
        <xdr:cNvPr id="12" name="Chart 11">
          <a:extLst>
            <a:ext uri="{FF2B5EF4-FFF2-40B4-BE49-F238E27FC236}">
              <a16:creationId xmlns:a16="http://schemas.microsoft.com/office/drawing/2014/main" id="{578775EE-809C-4F90-8716-FEC3553B6F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33</xdr:col>
      <xdr:colOff>95249</xdr:colOff>
      <xdr:row>70</xdr:row>
      <xdr:rowOff>126699</xdr:rowOff>
    </xdr:from>
    <xdr:to>
      <xdr:col>43</xdr:col>
      <xdr:colOff>36286</xdr:colOff>
      <xdr:row>85</xdr:row>
      <xdr:rowOff>139399</xdr:rowOff>
    </xdr:to>
    <xdr:graphicFrame macro="">
      <xdr:nvGraphicFramePr>
        <xdr:cNvPr id="13" name="Chart 12">
          <a:extLst>
            <a:ext uri="{FF2B5EF4-FFF2-40B4-BE49-F238E27FC236}">
              <a16:creationId xmlns:a16="http://schemas.microsoft.com/office/drawing/2014/main" id="{A7BFBB3D-843E-4FB3-87F1-A217EBB197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37</xdr:col>
      <xdr:colOff>237672</xdr:colOff>
      <xdr:row>70</xdr:row>
      <xdr:rowOff>112032</xdr:rowOff>
    </xdr:from>
    <xdr:to>
      <xdr:col>47</xdr:col>
      <xdr:colOff>273958</xdr:colOff>
      <xdr:row>85</xdr:row>
      <xdr:rowOff>124732</xdr:rowOff>
    </xdr:to>
    <xdr:graphicFrame macro="">
      <xdr:nvGraphicFramePr>
        <xdr:cNvPr id="14" name="Chart 13">
          <a:extLst>
            <a:ext uri="{FF2B5EF4-FFF2-40B4-BE49-F238E27FC236}">
              <a16:creationId xmlns:a16="http://schemas.microsoft.com/office/drawing/2014/main" id="{B84EDC28-609C-4EC2-A6EC-83F2142D2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40</xdr:col>
      <xdr:colOff>290286</xdr:colOff>
      <xdr:row>71</xdr:row>
      <xdr:rowOff>142119</xdr:rowOff>
    </xdr:from>
    <xdr:to>
      <xdr:col>48</xdr:col>
      <xdr:colOff>566965</xdr:colOff>
      <xdr:row>86</xdr:row>
      <xdr:rowOff>154819</xdr:rowOff>
    </xdr:to>
    <xdr:graphicFrame macro="">
      <xdr:nvGraphicFramePr>
        <xdr:cNvPr id="15" name="Chart 14">
          <a:extLst>
            <a:ext uri="{FF2B5EF4-FFF2-40B4-BE49-F238E27FC236}">
              <a16:creationId xmlns:a16="http://schemas.microsoft.com/office/drawing/2014/main" id="{1037C970-E5EE-408A-87EA-FF889F96B3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xdr:col>
      <xdr:colOff>309562</xdr:colOff>
      <xdr:row>231</xdr:row>
      <xdr:rowOff>140493</xdr:rowOff>
    </xdr:from>
    <xdr:to>
      <xdr:col>4</xdr:col>
      <xdr:colOff>226219</xdr:colOff>
      <xdr:row>246</xdr:row>
      <xdr:rowOff>26193</xdr:rowOff>
    </xdr:to>
    <xdr:graphicFrame macro="">
      <xdr:nvGraphicFramePr>
        <xdr:cNvPr id="16" name="Chart 15">
          <a:extLst>
            <a:ext uri="{FF2B5EF4-FFF2-40B4-BE49-F238E27FC236}">
              <a16:creationId xmlns:a16="http://schemas.microsoft.com/office/drawing/2014/main" id="{C27AC5D3-8206-4029-ACCB-1E6FA45298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51</xdr:col>
      <xdr:colOff>595312</xdr:colOff>
      <xdr:row>164</xdr:row>
      <xdr:rowOff>30616</xdr:rowOff>
    </xdr:from>
    <xdr:to>
      <xdr:col>61</xdr:col>
      <xdr:colOff>300941</xdr:colOff>
      <xdr:row>186</xdr:row>
      <xdr:rowOff>61234</xdr:rowOff>
    </xdr:to>
    <xdr:pic>
      <xdr:nvPicPr>
        <xdr:cNvPr id="17" name="Picture 16">
          <a:extLst>
            <a:ext uri="{FF2B5EF4-FFF2-40B4-BE49-F238E27FC236}">
              <a16:creationId xmlns:a16="http://schemas.microsoft.com/office/drawing/2014/main" id="{D3518472-23E8-4AC7-8F79-D759068055BF}"/>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31682531" y="31522647"/>
          <a:ext cx="7083535" cy="4257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382809</xdr:colOff>
      <xdr:row>182</xdr:row>
      <xdr:rowOff>4790</xdr:rowOff>
    </xdr:from>
    <xdr:to>
      <xdr:col>4</xdr:col>
      <xdr:colOff>668309</xdr:colOff>
      <xdr:row>196</xdr:row>
      <xdr:rowOff>46844</xdr:rowOff>
    </xdr:to>
    <xdr:graphicFrame macro="">
      <xdr:nvGraphicFramePr>
        <xdr:cNvPr id="18" name="Chart 17">
          <a:extLst>
            <a:ext uri="{FF2B5EF4-FFF2-40B4-BE49-F238E27FC236}">
              <a16:creationId xmlns:a16="http://schemas.microsoft.com/office/drawing/2014/main" id="{D2A75C22-E2A5-4E88-B69C-C1FED333F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35</xdr:col>
      <xdr:colOff>486834</xdr:colOff>
      <xdr:row>141</xdr:row>
      <xdr:rowOff>184152</xdr:rowOff>
    </xdr:from>
    <xdr:to>
      <xdr:col>44</xdr:col>
      <xdr:colOff>201084</xdr:colOff>
      <xdr:row>156</xdr:row>
      <xdr:rowOff>59268</xdr:rowOff>
    </xdr:to>
    <xdr:graphicFrame macro="">
      <xdr:nvGraphicFramePr>
        <xdr:cNvPr id="19" name="Chart 18">
          <a:extLst>
            <a:ext uri="{FF2B5EF4-FFF2-40B4-BE49-F238E27FC236}">
              <a16:creationId xmlns:a16="http://schemas.microsoft.com/office/drawing/2014/main" id="{77DFF00D-A106-47DE-9FAF-AB1C8DDFA4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Downloads/Country_projection_by_population_group_sex_and_age_(2002-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CH_TRA.xlsm"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CH_AGR.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TCH_IN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TCH_RES.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TCH_COM.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odels/SATIMGE_04/SATIM/DataSpreadsheets/DMD_PRJ_fa202007021116.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3"/>
      <sheetName val="Sheet1"/>
      <sheetName val="Sheet2"/>
    </sheetNames>
    <sheetDataSet>
      <sheetData sheetId="0"/>
      <sheetData sheetId="1">
        <row r="6">
          <cell r="D6">
            <v>1962336.5887251624</v>
          </cell>
          <cell r="E6">
            <v>1968312.4431159555</v>
          </cell>
          <cell r="F6">
            <v>2001571.5117243936</v>
          </cell>
          <cell r="G6">
            <v>2050962.5321337604</v>
          </cell>
          <cell r="H6">
            <v>2127778.3573893029</v>
          </cell>
          <cell r="I6">
            <v>2220230.685768743</v>
          </cell>
          <cell r="J6">
            <v>2317959.1641389597</v>
          </cell>
          <cell r="K6">
            <v>2389112.8530898737</v>
          </cell>
          <cell r="L6">
            <v>2439719.0414962345</v>
          </cell>
          <cell r="M6">
            <v>2472682.3436292592</v>
          </cell>
          <cell r="N6">
            <v>2491811.6685234909</v>
          </cell>
          <cell r="O6">
            <v>2504503.084423562</v>
          </cell>
          <cell r="P6">
            <v>2515719.5699440003</v>
          </cell>
          <cell r="Q6">
            <v>2525277.9740177928</v>
          </cell>
          <cell r="R6">
            <v>2531774.4100010162</v>
          </cell>
          <cell r="S6">
            <v>2532777.370491758</v>
          </cell>
        </row>
        <row r="7">
          <cell r="D7">
            <v>2067295.5754668394</v>
          </cell>
          <cell r="E7">
            <v>2030563.6708413807</v>
          </cell>
          <cell r="F7">
            <v>1999539.5110793237</v>
          </cell>
          <cell r="G7">
            <v>1977328.9262510163</v>
          </cell>
          <cell r="H7">
            <v>1951892.3432880195</v>
          </cell>
          <cell r="I7">
            <v>1940827.9869327885</v>
          </cell>
          <cell r="J7">
            <v>1939478.3077418208</v>
          </cell>
          <cell r="K7">
            <v>1966495.648240177</v>
          </cell>
          <cell r="L7">
            <v>2010391.4394233881</v>
          </cell>
          <cell r="M7">
            <v>2082491.4450783604</v>
          </cell>
          <cell r="N7">
            <v>2173073.0300498144</v>
          </cell>
          <cell r="O7">
            <v>2271105.4534960235</v>
          </cell>
          <cell r="P7">
            <v>2347789.3098551575</v>
          </cell>
          <cell r="Q7">
            <v>2406543.1632741648</v>
          </cell>
          <cell r="R7">
            <v>2447499.293125757</v>
          </cell>
          <cell r="S7">
            <v>2475453.5371544822</v>
          </cell>
        </row>
        <row r="8">
          <cell r="D8">
            <v>2197192.7647990952</v>
          </cell>
          <cell r="E8">
            <v>2184063.006945943</v>
          </cell>
          <cell r="F8">
            <v>2161537.8879948347</v>
          </cell>
          <cell r="G8">
            <v>2136827.3158607753</v>
          </cell>
          <cell r="H8">
            <v>2111064.2890314823</v>
          </cell>
          <cell r="I8">
            <v>2070576.116530237</v>
          </cell>
          <cell r="J8">
            <v>2024344.6435033884</v>
          </cell>
          <cell r="K8">
            <v>1986820.2882936939</v>
          </cell>
          <cell r="L8">
            <v>1959259.363755933</v>
          </cell>
          <cell r="M8">
            <v>1929932.6653675321</v>
          </cell>
          <cell r="N8">
            <v>1917743.6543141506</v>
          </cell>
          <cell r="O8">
            <v>1916836.5231303002</v>
          </cell>
          <cell r="P8">
            <v>1944315.001653417</v>
          </cell>
          <cell r="Q8">
            <v>1990582.2021954858</v>
          </cell>
          <cell r="R8">
            <v>2066293.2905219404</v>
          </cell>
          <cell r="S8">
            <v>2161893.4822556162</v>
          </cell>
        </row>
        <row r="9">
          <cell r="D9">
            <v>2070512.8527197537</v>
          </cell>
          <cell r="E9">
            <v>2127114.3155202284</v>
          </cell>
          <cell r="F9">
            <v>2174736.2256849702</v>
          </cell>
          <cell r="G9">
            <v>2208088.2403176236</v>
          </cell>
          <cell r="H9">
            <v>2214458.1273832666</v>
          </cell>
          <cell r="I9">
            <v>2205011.7668142817</v>
          </cell>
          <cell r="J9">
            <v>2182136.859113893</v>
          </cell>
          <cell r="K9">
            <v>2152597.2543435371</v>
          </cell>
          <cell r="L9">
            <v>2121807.0011804062</v>
          </cell>
          <cell r="M9">
            <v>2091175.7793833548</v>
          </cell>
          <cell r="N9">
            <v>2049164.4162177988</v>
          </cell>
          <cell r="O9">
            <v>2003420.8453152343</v>
          </cell>
          <cell r="P9">
            <v>1966818.8008683831</v>
          </cell>
          <cell r="Q9">
            <v>1942314.8448447417</v>
          </cell>
          <cell r="R9">
            <v>1917721.5789228135</v>
          </cell>
          <cell r="S9">
            <v>1911064.4884621664</v>
          </cell>
        </row>
        <row r="10">
          <cell r="D10">
            <v>1733356.9817096689</v>
          </cell>
          <cell r="E10">
            <v>1822648.5920817372</v>
          </cell>
          <cell r="F10">
            <v>1912939.8561466236</v>
          </cell>
          <cell r="G10">
            <v>1989814.7929559459</v>
          </cell>
          <cell r="H10">
            <v>2056917.8416057108</v>
          </cell>
          <cell r="I10">
            <v>2110570.1855370449</v>
          </cell>
          <cell r="J10">
            <v>2161827.0102115357</v>
          </cell>
          <cell r="K10">
            <v>2205765.084582346</v>
          </cell>
          <cell r="L10">
            <v>2235562.3028959916</v>
          </cell>
          <cell r="M10">
            <v>2239413.6077421051</v>
          </cell>
          <cell r="N10">
            <v>2230613.0806288151</v>
          </cell>
          <cell r="O10">
            <v>2210634.1028415025</v>
          </cell>
          <cell r="P10">
            <v>2184430.4790474707</v>
          </cell>
          <cell r="Q10">
            <v>2158947.3053513533</v>
          </cell>
          <cell r="R10">
            <v>2135037.1315456666</v>
          </cell>
          <cell r="S10">
            <v>2100858.884970651</v>
          </cell>
        </row>
        <row r="11">
          <cell r="D11">
            <v>1513720.3397352169</v>
          </cell>
          <cell r="E11">
            <v>1541221.1244223362</v>
          </cell>
          <cell r="F11">
            <v>1573080.8799540624</v>
          </cell>
          <cell r="G11">
            <v>1620925.4846888401</v>
          </cell>
          <cell r="H11">
            <v>1694072.7431160875</v>
          </cell>
          <cell r="I11">
            <v>1781211.0365955392</v>
          </cell>
          <cell r="J11">
            <v>1872313.8782017864</v>
          </cell>
          <cell r="K11">
            <v>1963590.6792256408</v>
          </cell>
          <cell r="L11">
            <v>2041040.9192008486</v>
          </cell>
          <cell r="M11">
            <v>2109267.8057600227</v>
          </cell>
          <cell r="N11">
            <v>2166487.1752933343</v>
          </cell>
          <cell r="O11">
            <v>2222869.9699219363</v>
          </cell>
          <cell r="P11">
            <v>2272134.8655855912</v>
          </cell>
          <cell r="Q11">
            <v>2309553.1339899548</v>
          </cell>
          <cell r="R11">
            <v>2323615.01167406</v>
          </cell>
          <cell r="S11">
            <v>2326453.4807539815</v>
          </cell>
        </row>
        <row r="12">
          <cell r="D12">
            <v>1258010.0904887107</v>
          </cell>
          <cell r="E12">
            <v>1317108.9859216888</v>
          </cell>
          <cell r="F12">
            <v>1369788.2205253474</v>
          </cell>
          <cell r="G12">
            <v>1419260.8073084345</v>
          </cell>
          <cell r="H12">
            <v>1455041.1825890595</v>
          </cell>
          <cell r="I12">
            <v>1484201.3789504541</v>
          </cell>
          <cell r="J12">
            <v>1516879.8389898795</v>
          </cell>
          <cell r="K12">
            <v>1555796.5250667366</v>
          </cell>
          <cell r="L12">
            <v>1610841.6095969218</v>
          </cell>
          <cell r="M12">
            <v>1690419.412223611</v>
          </cell>
          <cell r="N12">
            <v>1783515.7902530492</v>
          </cell>
          <cell r="O12">
            <v>1880540.2368915386</v>
          </cell>
          <cell r="P12">
            <v>1977799.6671192758</v>
          </cell>
          <cell r="Q12">
            <v>2062631.2218812159</v>
          </cell>
          <cell r="R12">
            <v>2140150.061241175</v>
          </cell>
          <cell r="S12">
            <v>2208498.110684826</v>
          </cell>
        </row>
        <row r="13">
          <cell r="D13">
            <v>1052256.2479666357</v>
          </cell>
          <cell r="E13">
            <v>1053476.1435270312</v>
          </cell>
          <cell r="F13">
            <v>1059443.6212536152</v>
          </cell>
          <cell r="G13">
            <v>1075111.9749657102</v>
          </cell>
          <cell r="H13">
            <v>1109438.0724212418</v>
          </cell>
          <cell r="I13">
            <v>1159966.4382904519</v>
          </cell>
          <cell r="J13">
            <v>1214719.1501302756</v>
          </cell>
          <cell r="K13">
            <v>1267835.3856719134</v>
          </cell>
          <cell r="L13">
            <v>1323322.9027108613</v>
          </cell>
          <cell r="M13">
            <v>1370399.2684216644</v>
          </cell>
          <cell r="N13">
            <v>1412480.3850147603</v>
          </cell>
          <cell r="O13">
            <v>1457442.9200006276</v>
          </cell>
          <cell r="P13">
            <v>1506994.6501770304</v>
          </cell>
          <cell r="Q13">
            <v>1570586.5922923794</v>
          </cell>
          <cell r="R13">
            <v>1657875.4740504408</v>
          </cell>
          <cell r="S13">
            <v>1759030.4488934111</v>
          </cell>
        </row>
        <row r="14">
          <cell r="D14">
            <v>900064.95768288197</v>
          </cell>
          <cell r="E14">
            <v>916753.78446420725</v>
          </cell>
          <cell r="F14">
            <v>928051.42731409555</v>
          </cell>
          <cell r="G14">
            <v>934025.55247068615</v>
          </cell>
          <cell r="H14">
            <v>934501.90659492707</v>
          </cell>
          <cell r="I14">
            <v>933475.21074423729</v>
          </cell>
          <cell r="J14">
            <v>933817.20712039561</v>
          </cell>
          <cell r="K14">
            <v>942277.00938400149</v>
          </cell>
          <cell r="L14">
            <v>963817.96019777318</v>
          </cell>
          <cell r="M14">
            <v>1005551.1486098052</v>
          </cell>
          <cell r="N14">
            <v>1062916.0354885224</v>
          </cell>
          <cell r="O14">
            <v>1125044.0809801978</v>
          </cell>
          <cell r="P14">
            <v>1186127.29375502</v>
          </cell>
          <cell r="Q14">
            <v>1247837.7529359874</v>
          </cell>
          <cell r="R14">
            <v>1301675.7077985972</v>
          </cell>
          <cell r="S14">
            <v>1351247.4699242583</v>
          </cell>
        </row>
        <row r="15">
          <cell r="D15">
            <v>735636.46931155585</v>
          </cell>
          <cell r="E15">
            <v>749621.82151593466</v>
          </cell>
          <cell r="F15">
            <v>760673.38719854236</v>
          </cell>
          <cell r="G15">
            <v>770051.7702014331</v>
          </cell>
          <cell r="H15">
            <v>778891.89188259724</v>
          </cell>
          <cell r="I15">
            <v>788710.72823285556</v>
          </cell>
          <cell r="J15">
            <v>801356.67939600872</v>
          </cell>
          <cell r="K15">
            <v>812503.80734951096</v>
          </cell>
          <cell r="L15">
            <v>822523.38257868588</v>
          </cell>
          <cell r="M15">
            <v>830719.81956348289</v>
          </cell>
          <cell r="N15">
            <v>837923.52177620481</v>
          </cell>
          <cell r="O15">
            <v>846371.62996873399</v>
          </cell>
          <cell r="P15">
            <v>862017.57532639254</v>
          </cell>
          <cell r="Q15">
            <v>888109.14571901527</v>
          </cell>
          <cell r="R15">
            <v>932126.18236530479</v>
          </cell>
          <cell r="S15">
            <v>990750.91335471044</v>
          </cell>
        </row>
        <row r="16">
          <cell r="D16">
            <v>550597.96310852899</v>
          </cell>
          <cell r="E16">
            <v>572460.64080101985</v>
          </cell>
          <cell r="F16">
            <v>591896.24799086538</v>
          </cell>
          <cell r="G16">
            <v>608121.61135010514</v>
          </cell>
          <cell r="H16">
            <v>621048.91840368311</v>
          </cell>
          <cell r="I16">
            <v>632261.54431833955</v>
          </cell>
          <cell r="J16">
            <v>642800.46966942365</v>
          </cell>
          <cell r="K16">
            <v>653540.9411040158</v>
          </cell>
          <cell r="L16">
            <v>665509.7211877607</v>
          </cell>
          <cell r="M16">
            <v>679079.38092794991</v>
          </cell>
          <cell r="N16">
            <v>693593.11375670123</v>
          </cell>
          <cell r="O16">
            <v>710450.62634227821</v>
          </cell>
          <cell r="P16">
            <v>725958.83031807293</v>
          </cell>
          <cell r="Q16">
            <v>739603.38037605165</v>
          </cell>
          <cell r="R16">
            <v>751083.35705876246</v>
          </cell>
          <cell r="S16">
            <v>761669.14194045204</v>
          </cell>
        </row>
        <row r="17">
          <cell r="D17">
            <v>389273.33208066615</v>
          </cell>
          <cell r="E17">
            <v>402837.36937866383</v>
          </cell>
          <cell r="F17">
            <v>417587.83411789086</v>
          </cell>
          <cell r="G17">
            <v>433416.25924813905</v>
          </cell>
          <cell r="H17">
            <v>450469.62100600771</v>
          </cell>
          <cell r="I17">
            <v>468866.07567736768</v>
          </cell>
          <cell r="J17">
            <v>486297.49412980583</v>
          </cell>
          <cell r="K17">
            <v>503284.86746354046</v>
          </cell>
          <cell r="L17">
            <v>519205.60946439323</v>
          </cell>
          <cell r="M17">
            <v>533665.27457739611</v>
          </cell>
          <cell r="N17">
            <v>546773.10346469888</v>
          </cell>
          <cell r="O17">
            <v>559135.98275525717</v>
          </cell>
          <cell r="P17">
            <v>571603.32608541637</v>
          </cell>
          <cell r="Q17">
            <v>584803.44251951459</v>
          </cell>
          <cell r="R17">
            <v>599313.55806185678</v>
          </cell>
          <cell r="S17">
            <v>614892.93704926618</v>
          </cell>
        </row>
        <row r="18">
          <cell r="D18">
            <v>300036.16760889639</v>
          </cell>
          <cell r="E18">
            <v>301160.90575619688</v>
          </cell>
          <cell r="F18">
            <v>302989.91691691778</v>
          </cell>
          <cell r="G18">
            <v>306667.8008527545</v>
          </cell>
          <cell r="H18">
            <v>312293.1949112927</v>
          </cell>
          <cell r="I18">
            <v>319616.63851991849</v>
          </cell>
          <cell r="J18">
            <v>330111.49487239181</v>
          </cell>
          <cell r="K18">
            <v>342457.70895243174</v>
          </cell>
          <cell r="L18">
            <v>356563.81547732936</v>
          </cell>
          <cell r="M18">
            <v>372364.57481757796</v>
          </cell>
          <cell r="N18">
            <v>389448.382693352</v>
          </cell>
          <cell r="O18">
            <v>405787.89433905575</v>
          </cell>
          <cell r="P18">
            <v>421759.02149911807</v>
          </cell>
          <cell r="Q18">
            <v>436811.15970155899</v>
          </cell>
          <cell r="R18">
            <v>450783.9529425751</v>
          </cell>
          <cell r="S18">
            <v>463878.58052152686</v>
          </cell>
        </row>
        <row r="19">
          <cell r="D19">
            <v>206221.69964856101</v>
          </cell>
          <cell r="E19">
            <v>212380.74666039558</v>
          </cell>
          <cell r="F19">
            <v>219263.75713778666</v>
          </cell>
          <cell r="G19">
            <v>224186.30395072885</v>
          </cell>
          <cell r="H19">
            <v>227039.21648029177</v>
          </cell>
          <cell r="I19">
            <v>228568.80186138122</v>
          </cell>
          <cell r="J19">
            <v>229137.27784691195</v>
          </cell>
          <cell r="K19">
            <v>230809.11980926243</v>
          </cell>
          <cell r="L19">
            <v>234394.15686185035</v>
          </cell>
          <cell r="M19">
            <v>239801.18186389803</v>
          </cell>
          <cell r="N19">
            <v>246626.8550794883</v>
          </cell>
          <cell r="O19">
            <v>255973.6957001737</v>
          </cell>
          <cell r="P19">
            <v>266776.12523731735</v>
          </cell>
          <cell r="Q19">
            <v>279021.59019063012</v>
          </cell>
          <cell r="R19">
            <v>292794.42535136867</v>
          </cell>
          <cell r="S19">
            <v>307810.92750733643</v>
          </cell>
        </row>
        <row r="20">
          <cell r="D20">
            <v>137512.52610969232</v>
          </cell>
          <cell r="E20">
            <v>136892.98271698062</v>
          </cell>
          <cell r="F20">
            <v>135601.70153524005</v>
          </cell>
          <cell r="G20">
            <v>136053.77060840908</v>
          </cell>
          <cell r="H20">
            <v>138132.60262280126</v>
          </cell>
          <cell r="I20">
            <v>141734.13526187115</v>
          </cell>
          <cell r="J20">
            <v>145985.86504803653</v>
          </cell>
          <cell r="K20">
            <v>150904.21442269889</v>
          </cell>
          <cell r="L20">
            <v>154753.90388875196</v>
          </cell>
          <cell r="M20">
            <v>157382.84861570832</v>
          </cell>
          <cell r="N20">
            <v>159215.6089750746</v>
          </cell>
          <cell r="O20">
            <v>160467.15663863829</v>
          </cell>
          <cell r="P20">
            <v>162519.63122950372</v>
          </cell>
          <cell r="Q20">
            <v>165972.19435768595</v>
          </cell>
          <cell r="R20">
            <v>170845.03690208931</v>
          </cell>
          <cell r="S20">
            <v>176873.39813132273</v>
          </cell>
        </row>
        <row r="21">
          <cell r="D21">
            <v>81844.616802183751</v>
          </cell>
          <cell r="E21">
            <v>82186.773603037524</v>
          </cell>
          <cell r="F21">
            <v>82609.933085269571</v>
          </cell>
          <cell r="G21">
            <v>82777.954735832303</v>
          </cell>
          <cell r="H21">
            <v>82468.640088200671</v>
          </cell>
          <cell r="I21">
            <v>82007.690900088259</v>
          </cell>
          <cell r="J21">
            <v>81709.780284621724</v>
          </cell>
          <cell r="K21">
            <v>81147.428795364714</v>
          </cell>
          <cell r="L21">
            <v>81833.189688917089</v>
          </cell>
          <cell r="M21">
            <v>83625.613319672731</v>
          </cell>
          <cell r="N21">
            <v>86376.095685848457</v>
          </cell>
          <cell r="O21">
            <v>89554.036616472004</v>
          </cell>
          <cell r="P21">
            <v>93068.839344114924</v>
          </cell>
          <cell r="Q21">
            <v>95942.003427504635</v>
          </cell>
          <cell r="R21">
            <v>98163.237477587259</v>
          </cell>
          <cell r="S21">
            <v>100014.16226586988</v>
          </cell>
        </row>
        <row r="22">
          <cell r="D22">
            <v>61088.773372617339</v>
          </cell>
          <cell r="E22">
            <v>61359.516009059422</v>
          </cell>
          <cell r="F22">
            <v>61426.04654059829</v>
          </cell>
          <cell r="G22">
            <v>61373.902886079231</v>
          </cell>
          <cell r="H22">
            <v>61750.329378070404</v>
          </cell>
          <cell r="I22">
            <v>62034.068552122262</v>
          </cell>
          <cell r="J22">
            <v>62308.190344733128</v>
          </cell>
          <cell r="K22">
            <v>62629.26563252115</v>
          </cell>
          <cell r="L22">
            <v>62865.198289626482</v>
          </cell>
          <cell r="M22">
            <v>63145.293981510171</v>
          </cell>
          <cell r="N22">
            <v>63345.762761021724</v>
          </cell>
          <cell r="O22">
            <v>63684.434843062394</v>
          </cell>
          <cell r="P22">
            <v>63889.588939054935</v>
          </cell>
          <cell r="Q22">
            <v>64750.948719943655</v>
          </cell>
          <cell r="R22">
            <v>66269.584065194023</v>
          </cell>
          <cell r="S22">
            <v>68279.660858595278</v>
          </cell>
        </row>
        <row r="23">
          <cell r="D23">
            <v>1963652.4888454671</v>
          </cell>
          <cell r="E23">
            <v>1968529.9169954571</v>
          </cell>
          <cell r="F23">
            <v>2001301.9725229861</v>
          </cell>
          <cell r="G23">
            <v>2051124.9914771959</v>
          </cell>
          <cell r="H23">
            <v>2129120.5461107558</v>
          </cell>
          <cell r="I23">
            <v>2222321.8220856246</v>
          </cell>
          <cell r="J23">
            <v>2320293.7576223775</v>
          </cell>
          <cell r="K23">
            <v>2391271.9168171487</v>
          </cell>
          <cell r="L23">
            <v>2440461.5519684777</v>
          </cell>
          <cell r="M23">
            <v>2470900.6982332533</v>
          </cell>
          <cell r="N23">
            <v>2487526.6602400439</v>
          </cell>
          <cell r="O23">
            <v>2497826.9633559794</v>
          </cell>
          <cell r="P23">
            <v>2506655.0586479115</v>
          </cell>
          <cell r="Q23">
            <v>2514110.5841998495</v>
          </cell>
          <cell r="R23">
            <v>2518381.673190325</v>
          </cell>
          <cell r="S23">
            <v>2517269.9095583926</v>
          </cell>
        </row>
        <row r="24">
          <cell r="D24">
            <v>2081445.8058570365</v>
          </cell>
          <cell r="E24">
            <v>2040296.9529476753</v>
          </cell>
          <cell r="F24">
            <v>2007327.0727748487</v>
          </cell>
          <cell r="G24">
            <v>1986424.7677334871</v>
          </cell>
          <cell r="H24">
            <v>1962716.0212978346</v>
          </cell>
          <cell r="I24">
            <v>1952883.0488732166</v>
          </cell>
          <cell r="J24">
            <v>1951295.1168230474</v>
          </cell>
          <cell r="K24">
            <v>1977863.5890716612</v>
          </cell>
          <cell r="L24">
            <v>2020649.1128180851</v>
          </cell>
          <cell r="M24">
            <v>2090803.3456859265</v>
          </cell>
          <cell r="N24">
            <v>2179598.096550779</v>
          </cell>
          <cell r="O24">
            <v>2276242.9818982552</v>
          </cell>
          <cell r="P24">
            <v>2351063.5465169945</v>
          </cell>
          <cell r="Q24">
            <v>2407636.7088512774</v>
          </cell>
          <cell r="R24">
            <v>2446464.6471234653</v>
          </cell>
          <cell r="S24">
            <v>2472426.6896823826</v>
          </cell>
        </row>
        <row r="25">
          <cell r="D25">
            <v>2236247.2648856519</v>
          </cell>
          <cell r="E25">
            <v>2221394.8335053567</v>
          </cell>
          <cell r="F25">
            <v>2196258.6266746675</v>
          </cell>
          <cell r="G25">
            <v>2167394.8405356975</v>
          </cell>
          <cell r="H25">
            <v>2138455.4012083495</v>
          </cell>
          <cell r="I25">
            <v>2094647.10467021</v>
          </cell>
          <cell r="J25">
            <v>2044834.0124821758</v>
          </cell>
          <cell r="K25">
            <v>2005273.5028648544</v>
          </cell>
          <cell r="L25">
            <v>1977404.4656625923</v>
          </cell>
          <cell r="M25">
            <v>1946606.8198135095</v>
          </cell>
          <cell r="N25">
            <v>1933039.4626946242</v>
          </cell>
          <cell r="O25">
            <v>1930590.5878884778</v>
          </cell>
          <cell r="P25">
            <v>1956598.4286422809</v>
          </cell>
          <cell r="Q25">
            <v>2001396.2917786257</v>
          </cell>
          <cell r="R25">
            <v>2075742.7086640343</v>
          </cell>
          <cell r="S25">
            <v>2170234.1643919777</v>
          </cell>
        </row>
        <row r="26">
          <cell r="D26">
            <v>2110878.182880966</v>
          </cell>
          <cell r="E26">
            <v>2170233.9290318494</v>
          </cell>
          <cell r="F26">
            <v>2220889.3771037385</v>
          </cell>
          <cell r="G26">
            <v>2254710.88638609</v>
          </cell>
          <cell r="H26">
            <v>2265208.0498579978</v>
          </cell>
          <cell r="I26">
            <v>2257855.6040614415</v>
          </cell>
          <cell r="J26">
            <v>2234579.2588679008</v>
          </cell>
          <cell r="K26">
            <v>2202724.2765633799</v>
          </cell>
          <cell r="L26">
            <v>2166375.6439484539</v>
          </cell>
          <cell r="M26">
            <v>2129528.972828968</v>
          </cell>
          <cell r="N26">
            <v>2081810.6992057795</v>
          </cell>
          <cell r="O26">
            <v>2031524.740793925</v>
          </cell>
          <cell r="P26">
            <v>1992117.2331027794</v>
          </cell>
          <cell r="Q26">
            <v>1967217.0380415122</v>
          </cell>
          <cell r="R26">
            <v>1941963.4693916203</v>
          </cell>
          <cell r="S26">
            <v>1934787.9029641876</v>
          </cell>
        </row>
        <row r="27">
          <cell r="D27">
            <v>1771349.9124660592</v>
          </cell>
          <cell r="E27">
            <v>1855553.7134938806</v>
          </cell>
          <cell r="F27">
            <v>1937772.7282578505</v>
          </cell>
          <cell r="G27">
            <v>2018545.4902566543</v>
          </cell>
          <cell r="H27">
            <v>2088668.1247202738</v>
          </cell>
          <cell r="I27">
            <v>2148068.0132884835</v>
          </cell>
          <cell r="J27">
            <v>2203502.0622226726</v>
          </cell>
          <cell r="K27">
            <v>2251229.1509625372</v>
          </cell>
          <cell r="L27">
            <v>2280597.5262032566</v>
          </cell>
          <cell r="M27">
            <v>2285876.4291142132</v>
          </cell>
          <cell r="N27">
            <v>2277111.6629282581</v>
          </cell>
          <cell r="O27">
            <v>2255858.3194363886</v>
          </cell>
          <cell r="P27">
            <v>2226671.177358076</v>
          </cell>
          <cell r="Q27">
            <v>2195978.5681990949</v>
          </cell>
          <cell r="R27">
            <v>2167323.1138192713</v>
          </cell>
          <cell r="S27">
            <v>2128984.2296055416</v>
          </cell>
        </row>
        <row r="28">
          <cell r="D28">
            <v>1511880.2187458328</v>
          </cell>
          <cell r="E28">
            <v>1538397.1715051127</v>
          </cell>
          <cell r="F28">
            <v>1571678.62204833</v>
          </cell>
          <cell r="G28">
            <v>1619151.1903198618</v>
          </cell>
          <cell r="H28">
            <v>1693173.8950622696</v>
          </cell>
          <cell r="I28">
            <v>1780554.2604788574</v>
          </cell>
          <cell r="J28">
            <v>1869697.6870031923</v>
          </cell>
          <cell r="K28">
            <v>1956176.6016043944</v>
          </cell>
          <cell r="L28">
            <v>2039690.9053729493</v>
          </cell>
          <cell r="M28">
            <v>2111979.8000346813</v>
          </cell>
          <cell r="N28">
            <v>2175604.4718784057</v>
          </cell>
          <cell r="O28">
            <v>2237182.948974411</v>
          </cell>
          <cell r="P28">
            <v>2290670.9635089389</v>
          </cell>
          <cell r="Q28">
            <v>2328582.083913222</v>
          </cell>
          <cell r="R28">
            <v>2345896.1419517682</v>
          </cell>
          <cell r="S28">
            <v>2350758.2806840031</v>
          </cell>
        </row>
        <row r="29">
          <cell r="D29">
            <v>1363863.0883185791</v>
          </cell>
          <cell r="E29">
            <v>1372263.5253290723</v>
          </cell>
          <cell r="F29">
            <v>1383970.0766587981</v>
          </cell>
          <cell r="G29">
            <v>1397026.7006893007</v>
          </cell>
          <cell r="H29">
            <v>1413986.8579999197</v>
          </cell>
          <cell r="I29">
            <v>1437023.3746943891</v>
          </cell>
          <cell r="J29">
            <v>1469836.0323355796</v>
          </cell>
          <cell r="K29">
            <v>1512493.2806828297</v>
          </cell>
          <cell r="L29">
            <v>1571063.3780738127</v>
          </cell>
          <cell r="M29">
            <v>1656385.2150196692</v>
          </cell>
          <cell r="N29">
            <v>1754100.668469588</v>
          </cell>
          <cell r="O29">
            <v>1853106.7755560076</v>
          </cell>
          <cell r="P29">
            <v>1949145.1752894856</v>
          </cell>
          <cell r="Q29">
            <v>2042242.7784754643</v>
          </cell>
          <cell r="R29">
            <v>2125688.7103764452</v>
          </cell>
          <cell r="S29">
            <v>2202073.5025318605</v>
          </cell>
        </row>
        <row r="30">
          <cell r="D30">
            <v>1250589.912571752</v>
          </cell>
          <cell r="E30">
            <v>1250907.0203969167</v>
          </cell>
          <cell r="F30">
            <v>1245458.9353162188</v>
          </cell>
          <cell r="G30">
            <v>1237325.1112008088</v>
          </cell>
          <cell r="H30">
            <v>1226869.7808964709</v>
          </cell>
          <cell r="I30">
            <v>1224040.4238633136</v>
          </cell>
          <cell r="J30">
            <v>1232083.837631271</v>
          </cell>
          <cell r="K30">
            <v>1248989.667118541</v>
          </cell>
          <cell r="L30">
            <v>1274686.4254497329</v>
          </cell>
          <cell r="M30">
            <v>1309689.2943765169</v>
          </cell>
          <cell r="N30">
            <v>1350063.5886856255</v>
          </cell>
          <cell r="O30">
            <v>1398005.479025539</v>
          </cell>
          <cell r="P30">
            <v>1454096.8621407202</v>
          </cell>
          <cell r="Q30">
            <v>1523003.9767358545</v>
          </cell>
          <cell r="R30">
            <v>1616879.9281479341</v>
          </cell>
          <cell r="S30">
            <v>1723388.2272946094</v>
          </cell>
        </row>
        <row r="31">
          <cell r="D31">
            <v>1034221.0831562027</v>
          </cell>
          <cell r="E31">
            <v>1056501.9805742546</v>
          </cell>
          <cell r="F31">
            <v>1074737.0787115796</v>
          </cell>
          <cell r="G31">
            <v>1088545.1473161769</v>
          </cell>
          <cell r="H31">
            <v>1098386.4198320385</v>
          </cell>
          <cell r="I31">
            <v>1099901.2566001513</v>
          </cell>
          <cell r="J31">
            <v>1096899.325598785</v>
          </cell>
          <cell r="K31">
            <v>1093124.3893023417</v>
          </cell>
          <cell r="L31">
            <v>1094169.9020516288</v>
          </cell>
          <cell r="M31">
            <v>1099514.7075896214</v>
          </cell>
          <cell r="N31">
            <v>1112388.5647195827</v>
          </cell>
          <cell r="O31">
            <v>1134808.2672581407</v>
          </cell>
          <cell r="P31">
            <v>1165286.8672187815</v>
          </cell>
          <cell r="Q31">
            <v>1200888.9516871413</v>
          </cell>
          <cell r="R31">
            <v>1243363.3446709164</v>
          </cell>
          <cell r="S31">
            <v>1291225.1438153128</v>
          </cell>
        </row>
        <row r="32">
          <cell r="D32">
            <v>860342.81664050533</v>
          </cell>
          <cell r="E32">
            <v>880945.91225292406</v>
          </cell>
          <cell r="F32">
            <v>892394.05671037431</v>
          </cell>
          <cell r="G32">
            <v>900929.51491791429</v>
          </cell>
          <cell r="H32">
            <v>906985.59618247102</v>
          </cell>
          <cell r="I32">
            <v>919848.36391538335</v>
          </cell>
          <cell r="J32">
            <v>937001.01826510788</v>
          </cell>
          <cell r="K32">
            <v>953650.91978381702</v>
          </cell>
          <cell r="L32">
            <v>970659.13929567742</v>
          </cell>
          <cell r="M32">
            <v>988406.97013043566</v>
          </cell>
          <cell r="N32">
            <v>999110.74440295459</v>
          </cell>
          <cell r="O32">
            <v>1005228.3853491754</v>
          </cell>
          <cell r="P32">
            <v>1011643.8980419165</v>
          </cell>
          <cell r="Q32">
            <v>1020321.1173916491</v>
          </cell>
          <cell r="R32">
            <v>1031345.2520133331</v>
          </cell>
          <cell r="S32">
            <v>1049410.4034833752</v>
          </cell>
        </row>
        <row r="33">
          <cell r="D33">
            <v>657939.90638765029</v>
          </cell>
          <cell r="E33">
            <v>679444.13354334712</v>
          </cell>
          <cell r="F33">
            <v>703778.85158836422</v>
          </cell>
          <cell r="G33">
            <v>725200.70393830375</v>
          </cell>
          <cell r="H33">
            <v>743719.99676173134</v>
          </cell>
          <cell r="I33">
            <v>760981.82277328218</v>
          </cell>
          <cell r="J33">
            <v>777963.58083683543</v>
          </cell>
          <cell r="K33">
            <v>789825.82531931752</v>
          </cell>
          <cell r="L33">
            <v>802310.55438708887</v>
          </cell>
          <cell r="M33">
            <v>815337.20080984733</v>
          </cell>
          <cell r="N33">
            <v>834311.67882661032</v>
          </cell>
          <cell r="O33">
            <v>856512.82094953675</v>
          </cell>
          <cell r="P33">
            <v>878505.03093995503</v>
          </cell>
          <cell r="Q33">
            <v>899737.99064206716</v>
          </cell>
          <cell r="R33">
            <v>920666.91727200057</v>
          </cell>
          <cell r="S33">
            <v>935189.37583027105</v>
          </cell>
        </row>
        <row r="34">
          <cell r="D34">
            <v>485536.44916894194</v>
          </cell>
          <cell r="E34">
            <v>506075.48692022241</v>
          </cell>
          <cell r="F34">
            <v>526725.88414940692</v>
          </cell>
          <cell r="G34">
            <v>546420.96284026245</v>
          </cell>
          <cell r="H34">
            <v>565002.42268988723</v>
          </cell>
          <cell r="I34">
            <v>583311.87637993263</v>
          </cell>
          <cell r="J34">
            <v>601532.84640152822</v>
          </cell>
          <cell r="K34">
            <v>624016.9759268926</v>
          </cell>
          <cell r="L34">
            <v>645891.70510436525</v>
          </cell>
          <cell r="M34">
            <v>667022.83106329048</v>
          </cell>
          <cell r="N34">
            <v>687114.71398265939</v>
          </cell>
          <cell r="O34">
            <v>706521.68077260244</v>
          </cell>
          <cell r="P34">
            <v>721253.83790632046</v>
          </cell>
          <cell r="Q34">
            <v>736100.23857320508</v>
          </cell>
          <cell r="R34">
            <v>751095.23391907953</v>
          </cell>
          <cell r="S34">
            <v>771843.13872602792</v>
          </cell>
        </row>
        <row r="35">
          <cell r="D35">
            <v>383219.88177922927</v>
          </cell>
          <cell r="E35">
            <v>386046.91204730771</v>
          </cell>
          <cell r="F35">
            <v>390977.10860521055</v>
          </cell>
          <cell r="G35">
            <v>399255.5271479704</v>
          </cell>
          <cell r="H35">
            <v>411141.15573749616</v>
          </cell>
          <cell r="I35">
            <v>426137.96302986547</v>
          </cell>
          <cell r="J35">
            <v>443571.49635501159</v>
          </cell>
          <cell r="K35">
            <v>462150.83945371927</v>
          </cell>
          <cell r="L35">
            <v>480910.95808617986</v>
          </cell>
          <cell r="M35">
            <v>499628.98090888053</v>
          </cell>
          <cell r="N35">
            <v>518276.89803142956</v>
          </cell>
          <cell r="O35">
            <v>536751.44418044074</v>
          </cell>
          <cell r="P35">
            <v>559077.70000453526</v>
          </cell>
          <cell r="Q35">
            <v>580878.08407047985</v>
          </cell>
          <cell r="R35">
            <v>602079.42292300321</v>
          </cell>
          <cell r="S35">
            <v>622644.88859057217</v>
          </cell>
        </row>
        <row r="36">
          <cell r="D36">
            <v>321161.59441067401</v>
          </cell>
          <cell r="E36">
            <v>322319.68263868371</v>
          </cell>
          <cell r="F36">
            <v>323804.68429759669</v>
          </cell>
          <cell r="G36">
            <v>324966.51794378983</v>
          </cell>
          <cell r="H36">
            <v>325508.7408181263</v>
          </cell>
          <cell r="I36">
            <v>326819.16631663957</v>
          </cell>
          <cell r="J36">
            <v>328782.97900442133</v>
          </cell>
          <cell r="K36">
            <v>333180.93899628258</v>
          </cell>
          <cell r="L36">
            <v>340937.38702640502</v>
          </cell>
          <cell r="M36">
            <v>352228.88768682664</v>
          </cell>
          <cell r="N36">
            <v>366373.52753223467</v>
          </cell>
          <cell r="O36">
            <v>382652.27487630572</v>
          </cell>
          <cell r="P36">
            <v>399926.95828704</v>
          </cell>
          <cell r="Q36">
            <v>417559.42128547025</v>
          </cell>
          <cell r="R36">
            <v>435383.89082223183</v>
          </cell>
          <cell r="S36">
            <v>453434.47542293573</v>
          </cell>
        </row>
        <row r="37">
          <cell r="D37">
            <v>255918.00712991998</v>
          </cell>
          <cell r="E37">
            <v>256574.24717265851</v>
          </cell>
          <cell r="F37">
            <v>257417.96283682834</v>
          </cell>
          <cell r="G37">
            <v>258321.40392091879</v>
          </cell>
          <cell r="H37">
            <v>258975.34402666969</v>
          </cell>
          <cell r="I37">
            <v>259021.80486584231</v>
          </cell>
          <cell r="J37">
            <v>259738.52237251072</v>
          </cell>
          <cell r="K37">
            <v>261043.55081252317</v>
          </cell>
          <cell r="L37">
            <v>262299.5065848403</v>
          </cell>
          <cell r="M37">
            <v>263271.53018798685</v>
          </cell>
          <cell r="N37">
            <v>265021.19968873274</v>
          </cell>
          <cell r="O37">
            <v>267418.78452834382</v>
          </cell>
          <cell r="P37">
            <v>271803.87959587481</v>
          </cell>
          <cell r="Q37">
            <v>279161.32573295175</v>
          </cell>
          <cell r="R37">
            <v>289617.12210143195</v>
          </cell>
          <cell r="S37">
            <v>302588.83600768389</v>
          </cell>
        </row>
        <row r="38">
          <cell r="D38">
            <v>186081.20708401455</v>
          </cell>
          <cell r="E38">
            <v>186665.48786122748</v>
          </cell>
          <cell r="F38">
            <v>187030.35977435991</v>
          </cell>
          <cell r="G38">
            <v>187209.67021006672</v>
          </cell>
          <cell r="H38">
            <v>188144.72000521678</v>
          </cell>
          <cell r="I38">
            <v>188602.0623287952</v>
          </cell>
          <cell r="J38">
            <v>189236.17427820197</v>
          </cell>
          <cell r="K38">
            <v>190111.91367089335</v>
          </cell>
          <cell r="L38">
            <v>191090.25570924775</v>
          </cell>
          <cell r="M38">
            <v>192002.18387579359</v>
          </cell>
          <cell r="N38">
            <v>192566.75638386875</v>
          </cell>
          <cell r="O38">
            <v>193725.89748108436</v>
          </cell>
          <cell r="P38">
            <v>195271.76741575744</v>
          </cell>
          <cell r="Q38">
            <v>196952.50832128915</v>
          </cell>
          <cell r="R38">
            <v>198581.78988983625</v>
          </cell>
          <cell r="S38">
            <v>200882.66915421889</v>
          </cell>
        </row>
        <row r="39">
          <cell r="D39">
            <v>188654.14723926401</v>
          </cell>
          <cell r="E39">
            <v>191181.68822587212</v>
          </cell>
          <cell r="F39">
            <v>193456.58200592786</v>
          </cell>
          <cell r="G39">
            <v>195721.41313042748</v>
          </cell>
          <cell r="H39">
            <v>197525.20203285842</v>
          </cell>
          <cell r="I39">
            <v>199294.74346940924</v>
          </cell>
          <cell r="J39">
            <v>201015.19231080654</v>
          </cell>
          <cell r="K39">
            <v>202549.64378670848</v>
          </cell>
          <cell r="L39">
            <v>204019.20594497208</v>
          </cell>
          <cell r="M39">
            <v>205789.35045339592</v>
          </cell>
          <cell r="N39">
            <v>207439.77769839219</v>
          </cell>
          <cell r="O39">
            <v>209260.91699174105</v>
          </cell>
          <cell r="P39">
            <v>211038.73599157564</v>
          </cell>
          <cell r="Q39">
            <v>213120.03852133325</v>
          </cell>
          <cell r="R39">
            <v>215565.65151694781</v>
          </cell>
          <cell r="S39">
            <v>217811.96269928577</v>
          </cell>
        </row>
        <row r="40">
          <cell r="D40">
            <v>211107.61547333992</v>
          </cell>
          <cell r="E40">
            <v>209471.69220609835</v>
          </cell>
          <cell r="F40">
            <v>209680.36384660951</v>
          </cell>
          <cell r="G40">
            <v>210780.20023025412</v>
          </cell>
          <cell r="H40">
            <v>214125.85222056686</v>
          </cell>
          <cell r="I40">
            <v>218999.56483354516</v>
          </cell>
          <cell r="J40">
            <v>223564.45355587787</v>
          </cell>
          <cell r="K40">
            <v>227918.18442236559</v>
          </cell>
          <cell r="L40">
            <v>232075.05506786611</v>
          </cell>
          <cell r="M40">
            <v>235522.58526664856</v>
          </cell>
          <cell r="N40">
            <v>237763.0099775875</v>
          </cell>
          <cell r="O40">
            <v>239696.9859889246</v>
          </cell>
          <cell r="P40">
            <v>241119.42044843532</v>
          </cell>
          <cell r="Q40">
            <v>242143.78325868337</v>
          </cell>
          <cell r="R40">
            <v>243100.8201017238</v>
          </cell>
          <cell r="S40">
            <v>244218.02336361675</v>
          </cell>
        </row>
        <row r="41">
          <cell r="D41">
            <v>220083.50748823126</v>
          </cell>
          <cell r="E41">
            <v>218474.4320376114</v>
          </cell>
          <cell r="F41">
            <v>216403.77871128035</v>
          </cell>
          <cell r="G41">
            <v>214613.56995741031</v>
          </cell>
          <cell r="H41">
            <v>211983.80146048646</v>
          </cell>
          <cell r="I41">
            <v>208726.01628200381</v>
          </cell>
          <cell r="J41">
            <v>206910.10683006106</v>
          </cell>
          <cell r="K41">
            <v>206928.26462319071</v>
          </cell>
          <cell r="L41">
            <v>207792.69416979695</v>
          </cell>
          <cell r="M41">
            <v>210931.15501373808</v>
          </cell>
          <cell r="N41">
            <v>215698.1036573195</v>
          </cell>
          <cell r="O41">
            <v>220190.52929204199</v>
          </cell>
          <cell r="P41">
            <v>224563.42727467607</v>
          </cell>
          <cell r="Q41">
            <v>228863.20902537194</v>
          </cell>
          <cell r="R41">
            <v>232472.30123994366</v>
          </cell>
          <cell r="S41">
            <v>234934.57021827184</v>
          </cell>
        </row>
        <row r="42">
          <cell r="D42">
            <v>223657.65003787188</v>
          </cell>
          <cell r="E42">
            <v>224093.00701311347</v>
          </cell>
          <cell r="F42">
            <v>223772.48108308206</v>
          </cell>
          <cell r="G42">
            <v>222636.17924779493</v>
          </cell>
          <cell r="H42">
            <v>220954.14043469963</v>
          </cell>
          <cell r="I42">
            <v>219327.47604646406</v>
          </cell>
          <cell r="J42">
            <v>217530.11013288898</v>
          </cell>
          <cell r="K42">
            <v>215258.90206878647</v>
          </cell>
          <cell r="L42">
            <v>213218.03076197294</v>
          </cell>
          <cell r="M42">
            <v>210358.00514451222</v>
          </cell>
          <cell r="N42">
            <v>207015.68197127039</v>
          </cell>
          <cell r="O42">
            <v>205137.92534806018</v>
          </cell>
          <cell r="P42">
            <v>205143.79725184734</v>
          </cell>
          <cell r="Q42">
            <v>206079.83676407847</v>
          </cell>
          <cell r="R42">
            <v>209318.70259367902</v>
          </cell>
          <cell r="S42">
            <v>214174.40824461821</v>
          </cell>
        </row>
        <row r="43">
          <cell r="D43">
            <v>207096.08835517705</v>
          </cell>
          <cell r="E43">
            <v>211548.86234855669</v>
          </cell>
          <cell r="F43">
            <v>215904.78309241208</v>
          </cell>
          <cell r="G43">
            <v>220302.47508335466</v>
          </cell>
          <cell r="H43">
            <v>221823.59643141765</v>
          </cell>
          <cell r="I43">
            <v>222713.88634012488</v>
          </cell>
          <cell r="J43">
            <v>222953.90111450883</v>
          </cell>
          <cell r="K43">
            <v>222419.20218740896</v>
          </cell>
          <cell r="L43">
            <v>221026.1503564333</v>
          </cell>
          <cell r="M43">
            <v>219097.2903232667</v>
          </cell>
          <cell r="N43">
            <v>217370.41444257856</v>
          </cell>
          <cell r="O43">
            <v>215505.94319401446</v>
          </cell>
          <cell r="P43">
            <v>213243.62751681727</v>
          </cell>
          <cell r="Q43">
            <v>211303.08371710323</v>
          </cell>
          <cell r="R43">
            <v>208591.7872873428</v>
          </cell>
          <cell r="S43">
            <v>205394.40697195361</v>
          </cell>
        </row>
        <row r="44">
          <cell r="D44">
            <v>174765.66196523278</v>
          </cell>
          <cell r="E44">
            <v>181407.86165555578</v>
          </cell>
          <cell r="F44">
            <v>187991.08841282933</v>
          </cell>
          <cell r="G44">
            <v>194168.59726249659</v>
          </cell>
          <cell r="H44">
            <v>199861.55914407631</v>
          </cell>
          <cell r="I44">
            <v>205483.00446983351</v>
          </cell>
          <cell r="J44">
            <v>209745.31586814258</v>
          </cell>
          <cell r="K44">
            <v>213880.14850550288</v>
          </cell>
          <cell r="L44">
            <v>217995.61079848593</v>
          </cell>
          <cell r="M44">
            <v>219268.33504863779</v>
          </cell>
          <cell r="N44">
            <v>220054.30832089329</v>
          </cell>
          <cell r="O44">
            <v>220226.48773543836</v>
          </cell>
          <cell r="P44">
            <v>219707.52163831392</v>
          </cell>
          <cell r="Q44">
            <v>218432.67614897259</v>
          </cell>
          <cell r="R44">
            <v>216675.60400677723</v>
          </cell>
          <cell r="S44">
            <v>215111.52658188454</v>
          </cell>
        </row>
        <row r="45">
          <cell r="D45">
            <v>166680.55316769797</v>
          </cell>
          <cell r="E45">
            <v>165275.24031769703</v>
          </cell>
          <cell r="F45">
            <v>164536.29032755137</v>
          </cell>
          <cell r="G45">
            <v>164857.95462329176</v>
          </cell>
          <cell r="H45">
            <v>168714.57667341258</v>
          </cell>
          <cell r="I45">
            <v>172321.85492850392</v>
          </cell>
          <cell r="J45">
            <v>178780.58236383379</v>
          </cell>
          <cell r="K45">
            <v>185159.7899412605</v>
          </cell>
          <cell r="L45">
            <v>191103.2014605196</v>
          </cell>
          <cell r="M45">
            <v>196595.40645222852</v>
          </cell>
          <cell r="N45">
            <v>202120.69935596042</v>
          </cell>
          <cell r="O45">
            <v>206328.54936274007</v>
          </cell>
          <cell r="P45">
            <v>210461.83738145421</v>
          </cell>
          <cell r="Q45">
            <v>214653.90237929006</v>
          </cell>
          <cell r="R45">
            <v>216100.25403180331</v>
          </cell>
          <cell r="S45">
            <v>217061.53027091964</v>
          </cell>
        </row>
        <row r="46">
          <cell r="D46">
            <v>162588.95564797497</v>
          </cell>
          <cell r="E46">
            <v>163393.36823588447</v>
          </cell>
          <cell r="F46">
            <v>163685.5929773121</v>
          </cell>
          <cell r="G46">
            <v>163502.64189548968</v>
          </cell>
          <cell r="H46">
            <v>162886.11271386794</v>
          </cell>
          <cell r="I46">
            <v>162703.1260162165</v>
          </cell>
          <cell r="J46">
            <v>161274.06884792884</v>
          </cell>
          <cell r="K46">
            <v>160523.58800779132</v>
          </cell>
          <cell r="L46">
            <v>160835.8503155362</v>
          </cell>
          <cell r="M46">
            <v>164660.05588543278</v>
          </cell>
          <cell r="N46">
            <v>168339.62165851289</v>
          </cell>
          <cell r="O46">
            <v>174815.96795406839</v>
          </cell>
          <cell r="P46">
            <v>181250.54563350472</v>
          </cell>
          <cell r="Q46">
            <v>187292.70730145139</v>
          </cell>
          <cell r="R46">
            <v>192929.7039997942</v>
          </cell>
          <cell r="S46">
            <v>198595.31435476587</v>
          </cell>
        </row>
        <row r="47">
          <cell r="D47">
            <v>151176.92166561645</v>
          </cell>
          <cell r="E47">
            <v>152774.16137933393</v>
          </cell>
          <cell r="F47">
            <v>153961.19040478891</v>
          </cell>
          <cell r="G47">
            <v>154950.73887708769</v>
          </cell>
          <cell r="H47">
            <v>155836.19846135608</v>
          </cell>
          <cell r="I47">
            <v>156635.26439734126</v>
          </cell>
          <cell r="J47">
            <v>157337.0582777216</v>
          </cell>
          <cell r="K47">
            <v>157605.76069944698</v>
          </cell>
          <cell r="L47">
            <v>157507.96346696763</v>
          </cell>
          <cell r="M47">
            <v>157111.08195341262</v>
          </cell>
          <cell r="N47">
            <v>157250.19198029174</v>
          </cell>
          <cell r="O47">
            <v>156188.49542909712</v>
          </cell>
          <cell r="P47">
            <v>155788.23262557088</v>
          </cell>
          <cell r="Q47">
            <v>156403.12710656752</v>
          </cell>
          <cell r="R47">
            <v>160440.87751001838</v>
          </cell>
          <cell r="S47">
            <v>164324.69737405528</v>
          </cell>
        </row>
        <row r="48">
          <cell r="D48">
            <v>134037.85221166915</v>
          </cell>
          <cell r="E48">
            <v>137328.58860354192</v>
          </cell>
          <cell r="F48">
            <v>140107.54898616907</v>
          </cell>
          <cell r="G48">
            <v>142042.18710496687</v>
          </cell>
          <cell r="H48">
            <v>143031.02704025735</v>
          </cell>
          <cell r="I48">
            <v>143848.73266667227</v>
          </cell>
          <cell r="J48">
            <v>145264.36123508459</v>
          </cell>
          <cell r="K48">
            <v>146361.30395005131</v>
          </cell>
          <cell r="L48">
            <v>147385.14038457393</v>
          </cell>
          <cell r="M48">
            <v>148457.81926811961</v>
          </cell>
          <cell r="N48">
            <v>149577.35421122512</v>
          </cell>
          <cell r="O48">
            <v>150648.89745475582</v>
          </cell>
          <cell r="P48">
            <v>151329.58298988134</v>
          </cell>
          <cell r="Q48">
            <v>151619.80603327614</v>
          </cell>
          <cell r="R48">
            <v>151580.28846735225</v>
          </cell>
          <cell r="S48">
            <v>152024.52073023381</v>
          </cell>
        </row>
        <row r="49">
          <cell r="D49">
            <v>103817.28090283449</v>
          </cell>
          <cell r="E49">
            <v>107623.25281505853</v>
          </cell>
          <cell r="F49">
            <v>111736.94265557441</v>
          </cell>
          <cell r="G49">
            <v>116296.25752793971</v>
          </cell>
          <cell r="H49">
            <v>121359.81125124152</v>
          </cell>
          <cell r="I49">
            <v>126177.62748607079</v>
          </cell>
          <cell r="J49">
            <v>129190.49047569254</v>
          </cell>
          <cell r="K49">
            <v>131780.18341741845</v>
          </cell>
          <cell r="L49">
            <v>133678.13110546677</v>
          </cell>
          <cell r="M49">
            <v>134815.25196206121</v>
          </cell>
          <cell r="N49">
            <v>135897.99193013116</v>
          </cell>
          <cell r="O49">
            <v>137576.00558887434</v>
          </cell>
          <cell r="P49">
            <v>138985.70118003743</v>
          </cell>
          <cell r="Q49">
            <v>140303.43601129125</v>
          </cell>
          <cell r="R49">
            <v>141642.78785974358</v>
          </cell>
          <cell r="S49">
            <v>143000.27052923915</v>
          </cell>
        </row>
        <row r="50">
          <cell r="D50">
            <v>81884.997035493492</v>
          </cell>
          <cell r="E50">
            <v>84668.219225306704</v>
          </cell>
          <cell r="F50">
            <v>87462.509196332117</v>
          </cell>
          <cell r="G50">
            <v>90279.666385449105</v>
          </cell>
          <cell r="H50">
            <v>93045.831307369561</v>
          </cell>
          <cell r="I50">
            <v>95793.193995421374</v>
          </cell>
          <cell r="J50">
            <v>99273.420848609763</v>
          </cell>
          <cell r="K50">
            <v>103085.87688271487</v>
          </cell>
          <cell r="L50">
            <v>107378.41401008543</v>
          </cell>
          <cell r="M50">
            <v>112237.34821308032</v>
          </cell>
          <cell r="N50">
            <v>116951.80028410599</v>
          </cell>
          <cell r="O50">
            <v>120029.28405709408</v>
          </cell>
          <cell r="P50">
            <v>122757.09486110383</v>
          </cell>
          <cell r="Q50">
            <v>124828.22020107864</v>
          </cell>
          <cell r="R50">
            <v>126172.15551707364</v>
          </cell>
          <cell r="S50">
            <v>127447.09693382184</v>
          </cell>
        </row>
        <row r="51">
          <cell r="D51">
            <v>59155.011792609635</v>
          </cell>
          <cell r="E51">
            <v>61940.532608716909</v>
          </cell>
          <cell r="F51">
            <v>64793.278511039549</v>
          </cell>
          <cell r="G51">
            <v>67679.425669252509</v>
          </cell>
          <cell r="H51">
            <v>70591.403138380498</v>
          </cell>
          <cell r="I51">
            <v>73557.404285135548</v>
          </cell>
          <cell r="J51">
            <v>76050.371994960573</v>
          </cell>
          <cell r="K51">
            <v>78580.937098075723</v>
          </cell>
          <cell r="L51">
            <v>81165.798646300202</v>
          </cell>
          <cell r="M51">
            <v>83762.902615781029</v>
          </cell>
          <cell r="N51">
            <v>86397.392768855847</v>
          </cell>
          <cell r="O51">
            <v>89730.300113049962</v>
          </cell>
          <cell r="P51">
            <v>93396.083514910904</v>
          </cell>
          <cell r="Q51">
            <v>97511.915519131144</v>
          </cell>
          <cell r="R51">
            <v>102145.06193480005</v>
          </cell>
          <cell r="S51">
            <v>106634.09743689682</v>
          </cell>
        </row>
        <row r="52">
          <cell r="D52">
            <v>41340.348325498679</v>
          </cell>
          <cell r="E52">
            <v>42977.591684268344</v>
          </cell>
          <cell r="F52">
            <v>44734.255832075971</v>
          </cell>
          <cell r="G52">
            <v>46628.973027894659</v>
          </cell>
          <cell r="H52">
            <v>48674.493324917239</v>
          </cell>
          <cell r="I52">
            <v>50618.661179571012</v>
          </cell>
          <cell r="J52">
            <v>53025.82787594368</v>
          </cell>
          <cell r="K52">
            <v>55500.84292898111</v>
          </cell>
          <cell r="L52">
            <v>58018.763766966527</v>
          </cell>
          <cell r="M52">
            <v>60590.843504984849</v>
          </cell>
          <cell r="N52">
            <v>63239.936724566243</v>
          </cell>
          <cell r="O52">
            <v>65518.281559491945</v>
          </cell>
          <cell r="P52">
            <v>67853.920054580565</v>
          </cell>
          <cell r="Q52">
            <v>70255.464698371856</v>
          </cell>
          <cell r="R52">
            <v>72675.576388214991</v>
          </cell>
          <cell r="S52">
            <v>75131.967288727348</v>
          </cell>
        </row>
        <row r="53">
          <cell r="D53">
            <v>29252.72032997651</v>
          </cell>
          <cell r="E53">
            <v>29751.406100225471</v>
          </cell>
          <cell r="F53">
            <v>30258.372888722817</v>
          </cell>
          <cell r="G53">
            <v>30864.440515013408</v>
          </cell>
          <cell r="H53">
            <v>31570.177892364991</v>
          </cell>
          <cell r="I53">
            <v>32631.678225056861</v>
          </cell>
          <cell r="J53">
            <v>33954.335113770969</v>
          </cell>
          <cell r="K53">
            <v>35379.658114811231</v>
          </cell>
          <cell r="L53">
            <v>36924.126011449196</v>
          </cell>
          <cell r="M53">
            <v>38607.095117819234</v>
          </cell>
          <cell r="N53">
            <v>40235.417649878931</v>
          </cell>
          <cell r="O53">
            <v>42268.151366786915</v>
          </cell>
          <cell r="P53">
            <v>44366.907612805138</v>
          </cell>
          <cell r="Q53">
            <v>46512.4355293607</v>
          </cell>
          <cell r="R53">
            <v>48710.305506891804</v>
          </cell>
          <cell r="S53">
            <v>50973.255940881187</v>
          </cell>
        </row>
        <row r="54">
          <cell r="D54">
            <v>18364.146597817395</v>
          </cell>
          <cell r="E54">
            <v>19054.0800194166</v>
          </cell>
          <cell r="F54">
            <v>19677.26097055231</v>
          </cell>
          <cell r="G54">
            <v>20138.22292072183</v>
          </cell>
          <cell r="H54">
            <v>20427.703175486004</v>
          </cell>
          <cell r="I54">
            <v>20763.699005194288</v>
          </cell>
          <cell r="J54">
            <v>21136.744041680449</v>
          </cell>
          <cell r="K54">
            <v>21531.000412672794</v>
          </cell>
          <cell r="L54">
            <v>22006.703013954742</v>
          </cell>
          <cell r="M54">
            <v>22568.901395014</v>
          </cell>
          <cell r="N54">
            <v>23403.354701297212</v>
          </cell>
          <cell r="O54">
            <v>24436.758824785353</v>
          </cell>
          <cell r="P54">
            <v>25553.142897534857</v>
          </cell>
          <cell r="Q54">
            <v>26762.656465956527</v>
          </cell>
          <cell r="R54">
            <v>28077.477634863037</v>
          </cell>
          <cell r="S54">
            <v>29365.699726082465</v>
          </cell>
        </row>
        <row r="55">
          <cell r="D55">
            <v>10059.845076011699</v>
          </cell>
          <cell r="E55">
            <v>10038.320317193829</v>
          </cell>
          <cell r="F55">
            <v>10146.244250321453</v>
          </cell>
          <cell r="G55">
            <v>10434.504573736547</v>
          </cell>
          <cell r="H55">
            <v>10906.809019960028</v>
          </cell>
          <cell r="I55">
            <v>11375.611007192312</v>
          </cell>
          <cell r="J55">
            <v>11809.026612292084</v>
          </cell>
          <cell r="K55">
            <v>12208.381842330851</v>
          </cell>
          <cell r="L55">
            <v>12518.621285951052</v>
          </cell>
          <cell r="M55">
            <v>12739.331124712951</v>
          </cell>
          <cell r="N55">
            <v>12992.645299938546</v>
          </cell>
          <cell r="O55">
            <v>13276.656378460941</v>
          </cell>
          <cell r="P55">
            <v>13581.563821989641</v>
          </cell>
          <cell r="Q55">
            <v>13943.954528147469</v>
          </cell>
          <cell r="R55">
            <v>14365.800848265921</v>
          </cell>
          <cell r="S55">
            <v>14968.970036227871</v>
          </cell>
        </row>
        <row r="56">
          <cell r="D56">
            <v>7457.5570253072492</v>
          </cell>
          <cell r="E56">
            <v>7576.5632245406878</v>
          </cell>
          <cell r="F56">
            <v>7672.3081399082921</v>
          </cell>
          <cell r="G56">
            <v>7733.9036205569673</v>
          </cell>
          <cell r="H56">
            <v>7762.9283397858198</v>
          </cell>
          <cell r="I56">
            <v>7787.6406101776711</v>
          </cell>
          <cell r="J56">
            <v>7836.9268213165142</v>
          </cell>
          <cell r="K56">
            <v>7953.8850184194271</v>
          </cell>
          <cell r="L56">
            <v>8152.5218435300239</v>
          </cell>
          <cell r="M56">
            <v>8436.2059285355717</v>
          </cell>
          <cell r="N56">
            <v>8700.4142707081937</v>
          </cell>
          <cell r="O56">
            <v>8955.6500969967492</v>
          </cell>
          <cell r="P56">
            <v>9226.7197744155383</v>
          </cell>
          <cell r="Q56">
            <v>9494.8175131569333</v>
          </cell>
          <cell r="R56">
            <v>9761.0067677986463</v>
          </cell>
          <cell r="S56">
            <v>10037.135552763384</v>
          </cell>
        </row>
        <row r="57">
          <cell r="D57">
            <v>208160.32119022711</v>
          </cell>
          <cell r="E57">
            <v>206472.28656523739</v>
          </cell>
          <cell r="F57">
            <v>206610.50752499086</v>
          </cell>
          <cell r="G57">
            <v>207651.09558704024</v>
          </cell>
          <cell r="H57">
            <v>210968.50090029553</v>
          </cell>
          <cell r="I57">
            <v>215723.54544381562</v>
          </cell>
          <cell r="J57">
            <v>220173.68834265354</v>
          </cell>
          <cell r="K57">
            <v>224426.56930526282</v>
          </cell>
          <cell r="L57">
            <v>228524.32304175463</v>
          </cell>
          <cell r="M57">
            <v>231956.79820336678</v>
          </cell>
          <cell r="N57">
            <v>234203.42387419046</v>
          </cell>
          <cell r="O57">
            <v>236087.36700891971</v>
          </cell>
          <cell r="P57">
            <v>237440.91179706765</v>
          </cell>
          <cell r="Q57">
            <v>238383.28487272575</v>
          </cell>
          <cell r="R57">
            <v>239259.68312198189</v>
          </cell>
          <cell r="S57">
            <v>240283.7950483122</v>
          </cell>
        </row>
        <row r="58">
          <cell r="D58">
            <v>217820.17868467674</v>
          </cell>
          <cell r="E58">
            <v>216138.34456500298</v>
          </cell>
          <cell r="F58">
            <v>214023.94999656035</v>
          </cell>
          <cell r="G58">
            <v>212218.57957766714</v>
          </cell>
          <cell r="H58">
            <v>209586.29797703505</v>
          </cell>
          <cell r="I58">
            <v>206312.07310576143</v>
          </cell>
          <cell r="J58">
            <v>204403.01739220213</v>
          </cell>
          <cell r="K58">
            <v>204294.88287916666</v>
          </cell>
          <cell r="L58">
            <v>205046.04353244486</v>
          </cell>
          <cell r="M58">
            <v>208108.98681290119</v>
          </cell>
          <cell r="N58">
            <v>212767.44626844226</v>
          </cell>
          <cell r="O58">
            <v>217189.51038181593</v>
          </cell>
          <cell r="P58">
            <v>221503.79308140199</v>
          </cell>
          <cell r="Q58">
            <v>225759.20290411997</v>
          </cell>
          <cell r="R58">
            <v>229312.38108714472</v>
          </cell>
          <cell r="S58">
            <v>231744.13251692327</v>
          </cell>
        </row>
        <row r="59">
          <cell r="D59">
            <v>222551.02683804012</v>
          </cell>
          <cell r="E59">
            <v>222827.0724328474</v>
          </cell>
          <cell r="F59">
            <v>222344.15898208722</v>
          </cell>
          <cell r="G59">
            <v>221065.82413808905</v>
          </cell>
          <cell r="H59">
            <v>219285.79164026355</v>
          </cell>
          <cell r="I59">
            <v>217580.36012061569</v>
          </cell>
          <cell r="J59">
            <v>215674.22877918463</v>
          </cell>
          <cell r="K59">
            <v>213301.08454149071</v>
          </cell>
          <cell r="L59">
            <v>211181.38825456303</v>
          </cell>
          <cell r="M59">
            <v>208295.02434671097</v>
          </cell>
          <cell r="N59">
            <v>204914.75146448991</v>
          </cell>
          <cell r="O59">
            <v>202963.17994102102</v>
          </cell>
          <cell r="P59">
            <v>202868.90182763236</v>
          </cell>
          <cell r="Q59">
            <v>203711.94597048429</v>
          </cell>
          <cell r="R59">
            <v>206847.45080259518</v>
          </cell>
          <cell r="S59">
            <v>211580.68047012336</v>
          </cell>
        </row>
        <row r="60">
          <cell r="D60">
            <v>208584.66635989625</v>
          </cell>
          <cell r="E60">
            <v>212448.97887176464</v>
          </cell>
          <cell r="F60">
            <v>216278.34188208968</v>
          </cell>
          <cell r="G60">
            <v>219964.05396563536</v>
          </cell>
          <cell r="H60">
            <v>221413.26072606578</v>
          </cell>
          <cell r="I60">
            <v>222185.78215259255</v>
          </cell>
          <cell r="J60">
            <v>222237.40302543022</v>
          </cell>
          <cell r="K60">
            <v>221490.63574155461</v>
          </cell>
          <cell r="L60">
            <v>219895.3996440293</v>
          </cell>
          <cell r="M60">
            <v>217847.95168766374</v>
          </cell>
          <cell r="N60">
            <v>216018.07807883597</v>
          </cell>
          <cell r="O60">
            <v>214063.17363536588</v>
          </cell>
          <cell r="P60">
            <v>211722.74577344084</v>
          </cell>
          <cell r="Q60">
            <v>209719.75615513287</v>
          </cell>
          <cell r="R60">
            <v>206946.15611495849</v>
          </cell>
          <cell r="S60">
            <v>203684.95653979402</v>
          </cell>
        </row>
        <row r="61">
          <cell r="D61">
            <v>182043.07697398617</v>
          </cell>
          <cell r="E61">
            <v>188444.06691005916</v>
          </cell>
          <cell r="F61">
            <v>194807.51356430846</v>
          </cell>
          <cell r="G61">
            <v>200961.27542254218</v>
          </cell>
          <cell r="H61">
            <v>204122.68453509032</v>
          </cell>
          <cell r="I61">
            <v>207563.99353614851</v>
          </cell>
          <cell r="J61">
            <v>211223.90527959136</v>
          </cell>
          <cell r="K61">
            <v>214802.11815187804</v>
          </cell>
          <cell r="L61">
            <v>218173.61910527202</v>
          </cell>
          <cell r="M61">
            <v>219367.25821377695</v>
          </cell>
          <cell r="N61">
            <v>220033.38803650864</v>
          </cell>
          <cell r="O61">
            <v>220052.1561055622</v>
          </cell>
          <cell r="P61">
            <v>219355.95493785787</v>
          </cell>
          <cell r="Q61">
            <v>217902.06844878593</v>
          </cell>
          <cell r="R61">
            <v>215992.14903488208</v>
          </cell>
          <cell r="S61">
            <v>214306.95303033682</v>
          </cell>
        </row>
        <row r="62">
          <cell r="D62">
            <v>171175.23688569065</v>
          </cell>
          <cell r="E62">
            <v>169001.7906971034</v>
          </cell>
          <cell r="F62">
            <v>167789.87925617601</v>
          </cell>
          <cell r="G62">
            <v>167915.18789334246</v>
          </cell>
          <cell r="H62">
            <v>173630.9670719587</v>
          </cell>
          <cell r="I62">
            <v>179610.45610572663</v>
          </cell>
          <cell r="J62">
            <v>185861.67410525316</v>
          </cell>
          <cell r="K62">
            <v>192038.11176951518</v>
          </cell>
          <cell r="L62">
            <v>197949.70502125286</v>
          </cell>
          <cell r="M62">
            <v>200957.54398096609</v>
          </cell>
          <cell r="N62">
            <v>204370.98033753599</v>
          </cell>
          <cell r="O62">
            <v>208068.19818738083</v>
          </cell>
          <cell r="P62">
            <v>211740.71096237385</v>
          </cell>
          <cell r="Q62">
            <v>215271.71887931586</v>
          </cell>
          <cell r="R62">
            <v>216654.17254406639</v>
          </cell>
          <cell r="S62">
            <v>217515.68113685495</v>
          </cell>
        </row>
        <row r="63">
          <cell r="D63">
            <v>180551.86399566769</v>
          </cell>
          <cell r="E63">
            <v>178060.96606654802</v>
          </cell>
          <cell r="F63">
            <v>175096.11286918924</v>
          </cell>
          <cell r="G63">
            <v>172082.66615256897</v>
          </cell>
          <cell r="H63">
            <v>169171.40669691074</v>
          </cell>
          <cell r="I63">
            <v>166714.07064654684</v>
          </cell>
          <cell r="J63">
            <v>164596.78899205467</v>
          </cell>
          <cell r="K63">
            <v>163449.33343976803</v>
          </cell>
          <cell r="L63">
            <v>163626.21018816621</v>
          </cell>
          <cell r="M63">
            <v>169320.16101356194</v>
          </cell>
          <cell r="N63">
            <v>175348.1960156475</v>
          </cell>
          <cell r="O63">
            <v>181685.11230216309</v>
          </cell>
          <cell r="P63">
            <v>188001.70991953142</v>
          </cell>
          <cell r="Q63">
            <v>194104.23756959848</v>
          </cell>
          <cell r="R63">
            <v>197392.67830621742</v>
          </cell>
          <cell r="S63">
            <v>201063.34892247725</v>
          </cell>
        </row>
        <row r="64">
          <cell r="D64">
            <v>172625.41648675338</v>
          </cell>
          <cell r="E64">
            <v>175206.81508236527</v>
          </cell>
          <cell r="F64">
            <v>176995.81376472861</v>
          </cell>
          <cell r="G64">
            <v>177228.60454674979</v>
          </cell>
          <cell r="H64">
            <v>176118.53111382082</v>
          </cell>
          <cell r="I64">
            <v>173902.58170756756</v>
          </cell>
          <cell r="J64">
            <v>171465.81016650578</v>
          </cell>
          <cell r="K64">
            <v>168642.82956969968</v>
          </cell>
          <cell r="L64">
            <v>165849.50936059636</v>
          </cell>
          <cell r="M64">
            <v>163254.93733064522</v>
          </cell>
          <cell r="N64">
            <v>161188.15597074057</v>
          </cell>
          <cell r="O64">
            <v>159482.12842457904</v>
          </cell>
          <cell r="P64">
            <v>158734.42101558729</v>
          </cell>
          <cell r="Q64">
            <v>159275.29713835582</v>
          </cell>
          <cell r="R64">
            <v>165237.67801298967</v>
          </cell>
          <cell r="S64">
            <v>171507.96266641546</v>
          </cell>
        </row>
        <row r="65">
          <cell r="D65">
            <v>148106.47235532763</v>
          </cell>
          <cell r="E65">
            <v>151943.9823765473</v>
          </cell>
          <cell r="F65">
            <v>155429.80001178061</v>
          </cell>
          <cell r="G65">
            <v>158941.62573353096</v>
          </cell>
          <cell r="H65">
            <v>162234.31278016945</v>
          </cell>
          <cell r="I65">
            <v>165322.71356565991</v>
          </cell>
          <cell r="J65">
            <v>167689.35268577834</v>
          </cell>
          <cell r="K65">
            <v>169375.30992296612</v>
          </cell>
          <cell r="L65">
            <v>169679.47002413432</v>
          </cell>
          <cell r="M65">
            <v>168840.06415211735</v>
          </cell>
          <cell r="N65">
            <v>167017.70231705549</v>
          </cell>
          <cell r="O65">
            <v>165018.64107172683</v>
          </cell>
          <cell r="P65">
            <v>162683.76838268957</v>
          </cell>
          <cell r="Q65">
            <v>160378.50784136448</v>
          </cell>
          <cell r="R65">
            <v>158295.40437676923</v>
          </cell>
          <cell r="S65">
            <v>156671.45780856645</v>
          </cell>
        </row>
        <row r="66">
          <cell r="D66">
            <v>121621.92937194383</v>
          </cell>
          <cell r="E66">
            <v>125409.39133201881</v>
          </cell>
          <cell r="F66">
            <v>129239.77801362469</v>
          </cell>
          <cell r="G66">
            <v>133203.9135975863</v>
          </cell>
          <cell r="H66">
            <v>137244.32465962399</v>
          </cell>
          <cell r="I66">
            <v>141363.68507257887</v>
          </cell>
          <cell r="J66">
            <v>144982.47451435204</v>
          </cell>
          <cell r="K66">
            <v>148308.73407197584</v>
          </cell>
          <cell r="L66">
            <v>151724.90273160511</v>
          </cell>
          <cell r="M66">
            <v>155024.27676225445</v>
          </cell>
          <cell r="N66">
            <v>158217.40635804372</v>
          </cell>
          <cell r="O66">
            <v>160758.63269357686</v>
          </cell>
          <cell r="P66">
            <v>162691.75291110424</v>
          </cell>
          <cell r="Q66">
            <v>163317.07812261549</v>
          </cell>
          <cell r="R66">
            <v>162879.71777319914</v>
          </cell>
          <cell r="S66">
            <v>161457.13772139454</v>
          </cell>
        </row>
        <row r="67">
          <cell r="D67">
            <v>96869.795560015918</v>
          </cell>
          <cell r="E67">
            <v>100670.41176631124</v>
          </cell>
          <cell r="F67">
            <v>104450.48484034432</v>
          </cell>
          <cell r="G67">
            <v>108110.82222678057</v>
          </cell>
          <cell r="H67">
            <v>111577.27777768463</v>
          </cell>
          <cell r="I67">
            <v>114906.83456694667</v>
          </cell>
          <cell r="J67">
            <v>118478.08054910877</v>
          </cell>
          <cell r="K67">
            <v>122132.83220004762</v>
          </cell>
          <cell r="L67">
            <v>125976.27539560842</v>
          </cell>
          <cell r="M67">
            <v>129982.22442894542</v>
          </cell>
          <cell r="N67">
            <v>134107.55418501288</v>
          </cell>
          <cell r="O67">
            <v>137762.57808861858</v>
          </cell>
          <cell r="P67">
            <v>141177.44109779704</v>
          </cell>
          <cell r="Q67">
            <v>144701.14561786759</v>
          </cell>
          <cell r="R67">
            <v>148162.65599749188</v>
          </cell>
          <cell r="S67">
            <v>151504.0000564105</v>
          </cell>
        </row>
        <row r="68">
          <cell r="D68">
            <v>69130.23172105402</v>
          </cell>
          <cell r="E68">
            <v>72895.016136027509</v>
          </cell>
          <cell r="F68">
            <v>76877.769152397086</v>
          </cell>
          <cell r="G68">
            <v>81085.873601818137</v>
          </cell>
          <cell r="H68">
            <v>85541.108489533464</v>
          </cell>
          <cell r="I68">
            <v>90216.516014769324</v>
          </cell>
          <cell r="J68">
            <v>93770.662634174427</v>
          </cell>
          <cell r="K68">
            <v>97331.708775016203</v>
          </cell>
          <cell r="L68">
            <v>100816.25675541944</v>
          </cell>
          <cell r="M68">
            <v>104171.01691553037</v>
          </cell>
          <cell r="N68">
            <v>107447.775275108</v>
          </cell>
          <cell r="O68">
            <v>110956.98726929593</v>
          </cell>
          <cell r="P68">
            <v>114572.99242014275</v>
          </cell>
          <cell r="Q68">
            <v>118384.68270875525</v>
          </cell>
          <cell r="R68">
            <v>122374.6468633771</v>
          </cell>
          <cell r="S68">
            <v>126474.12656940508</v>
          </cell>
        </row>
        <row r="69">
          <cell r="D69">
            <v>54774.554566020306</v>
          </cell>
          <cell r="E69">
            <v>56016.468526407822</v>
          </cell>
          <cell r="F69">
            <v>57383.792030237797</v>
          </cell>
          <cell r="G69">
            <v>58941.19540406634</v>
          </cell>
          <cell r="H69">
            <v>60712.611421705667</v>
          </cell>
          <cell r="I69">
            <v>62681.288535846972</v>
          </cell>
          <cell r="J69">
            <v>66136.139199791534</v>
          </cell>
          <cell r="K69">
            <v>69805.077058760784</v>
          </cell>
          <cell r="L69">
            <v>73702.217410780358</v>
          </cell>
          <cell r="M69">
            <v>77844.705477857075</v>
          </cell>
          <cell r="N69">
            <v>82225.39136623207</v>
          </cell>
          <cell r="O69">
            <v>85605.692393369856</v>
          </cell>
          <cell r="P69">
            <v>89016.513096912866</v>
          </cell>
          <cell r="Q69">
            <v>92372.450599297197</v>
          </cell>
          <cell r="R69">
            <v>95626.504236273628</v>
          </cell>
          <cell r="S69">
            <v>98812.677375283194</v>
          </cell>
        </row>
        <row r="70">
          <cell r="D70">
            <v>42215.33868352462</v>
          </cell>
          <cell r="E70">
            <v>43366.070199321315</v>
          </cell>
          <cell r="F70">
            <v>44398.494769588928</v>
          </cell>
          <cell r="G70">
            <v>45432.22991379039</v>
          </cell>
          <cell r="H70">
            <v>46489.362182348901</v>
          </cell>
          <cell r="I70">
            <v>47532.850699889139</v>
          </cell>
          <cell r="J70">
            <v>48642.697683251528</v>
          </cell>
          <cell r="K70">
            <v>49883.815905148833</v>
          </cell>
          <cell r="L70">
            <v>51316.067301345094</v>
          </cell>
          <cell r="M70">
            <v>52945.682001186753</v>
          </cell>
          <cell r="N70">
            <v>54778.943564943474</v>
          </cell>
          <cell r="O70">
            <v>57935.115113208318</v>
          </cell>
          <cell r="P70">
            <v>61290.23817699853</v>
          </cell>
          <cell r="Q70">
            <v>64850.03674991586</v>
          </cell>
          <cell r="R70">
            <v>68632.096839940437</v>
          </cell>
          <cell r="S70">
            <v>72621.521426614621</v>
          </cell>
        </row>
        <row r="71">
          <cell r="D71">
            <v>27642.484873259287</v>
          </cell>
          <cell r="E71">
            <v>29370.715811969047</v>
          </cell>
          <cell r="F71">
            <v>31037.465528018511</v>
          </cell>
          <cell r="G71">
            <v>32381.416351459236</v>
          </cell>
          <cell r="H71">
            <v>33377.492361695047</v>
          </cell>
          <cell r="I71">
            <v>34199.095603170281</v>
          </cell>
          <cell r="J71">
            <v>35169.388413189525</v>
          </cell>
          <cell r="K71">
            <v>36066.891703793</v>
          </cell>
          <cell r="L71">
            <v>36986.24845697869</v>
          </cell>
          <cell r="M71">
            <v>37927.652054123013</v>
          </cell>
          <cell r="N71">
            <v>38883.633894315921</v>
          </cell>
          <cell r="O71">
            <v>39892.256650628879</v>
          </cell>
          <cell r="P71">
            <v>41021.512796378651</v>
          </cell>
          <cell r="Q71">
            <v>42311.023146675034</v>
          </cell>
          <cell r="R71">
            <v>43770.322404669365</v>
          </cell>
          <cell r="S71">
            <v>45401.658610618724</v>
          </cell>
        </row>
        <row r="72">
          <cell r="D72">
            <v>18298.884627902709</v>
          </cell>
          <cell r="E72">
            <v>17767.840968901895</v>
          </cell>
          <cell r="F72">
            <v>17584.256707128672</v>
          </cell>
          <cell r="G72">
            <v>17968.17725285461</v>
          </cell>
          <cell r="H72">
            <v>18968.678869215502</v>
          </cell>
          <cell r="I72">
            <v>20337.688145567121</v>
          </cell>
          <cell r="J72">
            <v>21633.90698067264</v>
          </cell>
          <cell r="K72">
            <v>22903.287872245281</v>
          </cell>
          <cell r="L72">
            <v>23959.777439043653</v>
          </cell>
          <cell r="M72">
            <v>24769.997445157078</v>
          </cell>
          <cell r="N72">
            <v>25478.276203913072</v>
          </cell>
          <cell r="O72">
            <v>26287.198240598183</v>
          </cell>
          <cell r="P72">
            <v>27051.58226887538</v>
          </cell>
          <cell r="Q72">
            <v>27830.634561162246</v>
          </cell>
          <cell r="R72">
            <v>28628.528678792652</v>
          </cell>
          <cell r="S72">
            <v>29442.746841325337</v>
          </cell>
        </row>
        <row r="73">
          <cell r="D73">
            <v>16750.625247057957</v>
          </cell>
          <cell r="E73">
            <v>17389.290417315551</v>
          </cell>
          <cell r="F73">
            <v>17885.844243815038</v>
          </cell>
          <cell r="G73">
            <v>18186.726750211208</v>
          </cell>
          <cell r="H73">
            <v>18306.665858074779</v>
          </cell>
          <cell r="I73">
            <v>18314.352001263633</v>
          </cell>
          <cell r="J73">
            <v>18359.840683653256</v>
          </cell>
          <cell r="K73">
            <v>18593.577886747316</v>
          </cell>
          <cell r="L73">
            <v>19107.759839417809</v>
          </cell>
          <cell r="M73">
            <v>19894.013696110411</v>
          </cell>
          <cell r="N73">
            <v>20829.232984312472</v>
          </cell>
          <cell r="O73">
            <v>21677.59949143941</v>
          </cell>
          <cell r="P73">
            <v>22603.201875856728</v>
          </cell>
          <cell r="Q73">
            <v>23539.484068989208</v>
          </cell>
          <cell r="R73">
            <v>24480.911512818653</v>
          </cell>
          <cell r="S73">
            <v>25451.52368553204</v>
          </cell>
        </row>
        <row r="74">
          <cell r="D74">
            <v>43840.814309339265</v>
          </cell>
          <cell r="E74">
            <v>43283.509977716996</v>
          </cell>
          <cell r="F74">
            <v>43013.999021967044</v>
          </cell>
          <cell r="G74">
            <v>43012.644309034273</v>
          </cell>
          <cell r="H74">
            <v>43275.460879099977</v>
          </cell>
          <cell r="I74">
            <v>43828.136240155196</v>
          </cell>
          <cell r="J74">
            <v>44586.697480892472</v>
          </cell>
          <cell r="K74">
            <v>45476.6415146656</v>
          </cell>
          <cell r="L74">
            <v>46295.344867112683</v>
          </cell>
          <cell r="M74">
            <v>46890.994950959284</v>
          </cell>
          <cell r="N74">
            <v>47584.068486944845</v>
          </cell>
          <cell r="O74">
            <v>48002.492979217488</v>
          </cell>
          <cell r="P74">
            <v>48355.185124288051</v>
          </cell>
          <cell r="Q74">
            <v>48697.668169357887</v>
          </cell>
          <cell r="R74">
            <v>49121.90113271428</v>
          </cell>
          <cell r="S74">
            <v>49249.545332286194</v>
          </cell>
        </row>
        <row r="75">
          <cell r="D75">
            <v>50826.57616172421</v>
          </cell>
          <cell r="E75">
            <v>49458.409975233633</v>
          </cell>
          <cell r="F75">
            <v>48052.997247544532</v>
          </cell>
          <cell r="G75">
            <v>46642.254634964578</v>
          </cell>
          <cell r="H75">
            <v>45255.805278529951</v>
          </cell>
          <cell r="I75">
            <v>44186.615654319357</v>
          </cell>
          <cell r="J75">
            <v>43562.825742480331</v>
          </cell>
          <cell r="K75">
            <v>43208.482346987817</v>
          </cell>
          <cell r="L75">
            <v>43135.451389416274</v>
          </cell>
          <cell r="M75">
            <v>43350.505425766947</v>
          </cell>
          <cell r="N75">
            <v>43883.628423923372</v>
          </cell>
          <cell r="O75">
            <v>44658.391667566262</v>
          </cell>
          <cell r="P75">
            <v>45598.93758285138</v>
          </cell>
          <cell r="Q75">
            <v>46501.169472411522</v>
          </cell>
          <cell r="R75">
            <v>47198.318523985647</v>
          </cell>
          <cell r="S75">
            <v>48022.232113726655</v>
          </cell>
        </row>
        <row r="76">
          <cell r="D76">
            <v>54358.522862542872</v>
          </cell>
          <cell r="E76">
            <v>54142.020943608433</v>
          </cell>
          <cell r="F76">
            <v>53724.509918120668</v>
          </cell>
          <cell r="G76">
            <v>53126.218712354639</v>
          </cell>
          <cell r="H76">
            <v>52428.761773108206</v>
          </cell>
          <cell r="I76">
            <v>51351.169114370001</v>
          </cell>
          <cell r="J76">
            <v>49897.152076979008</v>
          </cell>
          <cell r="K76">
            <v>48377.355031894949</v>
          </cell>
          <cell r="L76">
            <v>46881.437982031013</v>
          </cell>
          <cell r="M76">
            <v>45441.613298918375</v>
          </cell>
          <cell r="N76">
            <v>44346.432787600446</v>
          </cell>
          <cell r="O76">
            <v>43759.129164760707</v>
          </cell>
          <cell r="P76">
            <v>43466.351971577395</v>
          </cell>
          <cell r="Q76">
            <v>43479.741400593899</v>
          </cell>
          <cell r="R76">
            <v>43796.279860614348</v>
          </cell>
          <cell r="S76">
            <v>44440.663822480856</v>
          </cell>
        </row>
        <row r="77">
          <cell r="D77">
            <v>56886.779661427245</v>
          </cell>
          <cell r="E77">
            <v>56494.363799805251</v>
          </cell>
          <cell r="F77">
            <v>56106.746357233227</v>
          </cell>
          <cell r="G77">
            <v>55582.875909378199</v>
          </cell>
          <cell r="H77">
            <v>55249.19123313055</v>
          </cell>
          <cell r="I77">
            <v>54914.816998434544</v>
          </cell>
          <cell r="J77">
            <v>54597.105548098778</v>
          </cell>
          <cell r="K77">
            <v>54058.295523581917</v>
          </cell>
          <cell r="L77">
            <v>53340.484669002712</v>
          </cell>
          <cell r="M77">
            <v>52569.572306300244</v>
          </cell>
          <cell r="N77">
            <v>51465.04214872828</v>
          </cell>
          <cell r="O77">
            <v>50060.937711553132</v>
          </cell>
          <cell r="P77">
            <v>48632.699763068573</v>
          </cell>
          <cell r="Q77">
            <v>47251.557036300437</v>
          </cell>
          <cell r="R77">
            <v>45936.464230036596</v>
          </cell>
          <cell r="S77">
            <v>44979.290352407384</v>
          </cell>
        </row>
        <row r="78">
          <cell r="D78">
            <v>53984.893787271925</v>
          </cell>
          <cell r="E78">
            <v>55807.929280334851</v>
          </cell>
          <cell r="F78">
            <v>57441.160774583324</v>
          </cell>
          <cell r="G78">
            <v>58911.445046001107</v>
          </cell>
          <cell r="H78">
            <v>58959.063269295657</v>
          </cell>
          <cell r="I78">
            <v>58865.139306766054</v>
          </cell>
          <cell r="J78">
            <v>58611.125300557374</v>
          </cell>
          <cell r="K78">
            <v>58313.478592470106</v>
          </cell>
          <cell r="L78">
            <v>57905.999753930599</v>
          </cell>
          <cell r="M78">
            <v>57719.375252034552</v>
          </cell>
          <cell r="N78">
            <v>57460.552989381125</v>
          </cell>
          <cell r="O78">
            <v>57248.066706844045</v>
          </cell>
          <cell r="P78">
            <v>56830.820382527621</v>
          </cell>
          <cell r="Q78">
            <v>56267.140601911502</v>
          </cell>
          <cell r="R78">
            <v>55669.633256434157</v>
          </cell>
          <cell r="S78">
            <v>54761.026393121159</v>
          </cell>
        </row>
        <row r="79">
          <cell r="D79">
            <v>51697.041755317921</v>
          </cell>
          <cell r="E79">
            <v>52155.977209643635</v>
          </cell>
          <cell r="F79">
            <v>52819.481300475534</v>
          </cell>
          <cell r="G79">
            <v>53916.577687626559</v>
          </cell>
          <cell r="H79">
            <v>56276.633393567259</v>
          </cell>
          <cell r="I79">
            <v>58712.080680493716</v>
          </cell>
          <cell r="J79">
            <v>61078.273998322577</v>
          </cell>
          <cell r="K79">
            <v>63271.499827526706</v>
          </cell>
          <cell r="L79">
            <v>65299.789819054095</v>
          </cell>
          <cell r="M79">
            <v>65935.869858776801</v>
          </cell>
          <cell r="N79">
            <v>66268.797247209324</v>
          </cell>
          <cell r="O79">
            <v>66371.149528772832</v>
          </cell>
          <cell r="P79">
            <v>66388.663264398769</v>
          </cell>
          <cell r="Q79">
            <v>66236.85934809655</v>
          </cell>
          <cell r="R79">
            <v>66259.273465023914</v>
          </cell>
          <cell r="S79">
            <v>66282.86400929869</v>
          </cell>
        </row>
        <row r="80">
          <cell r="D80">
            <v>48128.032652930829</v>
          </cell>
          <cell r="E80">
            <v>49811.662827358756</v>
          </cell>
          <cell r="F80">
            <v>51437.804277537311</v>
          </cell>
          <cell r="G80">
            <v>52947.00355617833</v>
          </cell>
          <cell r="H80">
            <v>54417.164542423961</v>
          </cell>
          <cell r="I80">
            <v>55784.834453035219</v>
          </cell>
          <cell r="J80">
            <v>56724.304690281169</v>
          </cell>
          <cell r="K80">
            <v>57951.014909631827</v>
          </cell>
          <cell r="L80">
            <v>59601.161378617449</v>
          </cell>
          <cell r="M80">
            <v>62501.335130216416</v>
          </cell>
          <cell r="N80">
            <v>65418.992682871241</v>
          </cell>
          <cell r="O80">
            <v>68230.422056721858</v>
          </cell>
          <cell r="P80">
            <v>70792.094468274678</v>
          </cell>
          <cell r="Q80">
            <v>73108.620429855451</v>
          </cell>
          <cell r="R80">
            <v>73955.5910720549</v>
          </cell>
          <cell r="S80">
            <v>74583.873980657227</v>
          </cell>
        </row>
        <row r="81">
          <cell r="D81">
            <v>43777.708058020042</v>
          </cell>
          <cell r="E81">
            <v>44888.201200864911</v>
          </cell>
          <cell r="F81">
            <v>46065.956638137002</v>
          </cell>
          <cell r="G81">
            <v>47340.992378708164</v>
          </cell>
          <cell r="H81">
            <v>48655.430074092597</v>
          </cell>
          <cell r="I81">
            <v>50135.76278601004</v>
          </cell>
          <cell r="J81">
            <v>52015.299307918074</v>
          </cell>
          <cell r="K81">
            <v>53856.480564439269</v>
          </cell>
          <cell r="L81">
            <v>55589.679614287568</v>
          </cell>
          <cell r="M81">
            <v>57305.551801038047</v>
          </cell>
          <cell r="N81">
            <v>58918.78570424296</v>
          </cell>
          <cell r="O81">
            <v>60122.12161614286</v>
          </cell>
          <cell r="P81">
            <v>61596.313695780271</v>
          </cell>
          <cell r="Q81">
            <v>63473.84288768439</v>
          </cell>
          <cell r="R81">
            <v>66549.400594026374</v>
          </cell>
          <cell r="S81">
            <v>69675.614882304566</v>
          </cell>
        </row>
        <row r="82">
          <cell r="D82">
            <v>39436.398641869142</v>
          </cell>
          <cell r="E82">
            <v>40469.529871583945</v>
          </cell>
          <cell r="F82">
            <v>41530.757676381974</v>
          </cell>
          <cell r="G82">
            <v>42582.729299555147</v>
          </cell>
          <cell r="H82">
            <v>43619.956191716992</v>
          </cell>
          <cell r="I82">
            <v>44642.770639196795</v>
          </cell>
          <cell r="J82">
            <v>45862.011198285982</v>
          </cell>
          <cell r="K82">
            <v>47143.372023007832</v>
          </cell>
          <cell r="L82">
            <v>48530.513652382404</v>
          </cell>
          <cell r="M82">
            <v>49968.681921051662</v>
          </cell>
          <cell r="N82">
            <v>51579.745816449969</v>
          </cell>
          <cell r="O82">
            <v>53610.186393722564</v>
          </cell>
          <cell r="P82">
            <v>55604.384720820148</v>
          </cell>
          <cell r="Q82">
            <v>57502.546882592193</v>
          </cell>
          <cell r="R82">
            <v>59376.702839681333</v>
          </cell>
          <cell r="S82">
            <v>61174.855957965883</v>
          </cell>
        </row>
        <row r="83">
          <cell r="D83">
            <v>34975.888528781936</v>
          </cell>
          <cell r="E83">
            <v>35702.623486372824</v>
          </cell>
          <cell r="F83">
            <v>36473.658878451592</v>
          </cell>
          <cell r="G83">
            <v>37316.018726755865</v>
          </cell>
          <cell r="H83">
            <v>38236.965108017204</v>
          </cell>
          <cell r="I83">
            <v>39230.335664105834</v>
          </cell>
          <cell r="J83">
            <v>40269.941585740307</v>
          </cell>
          <cell r="K83">
            <v>41325.880116179571</v>
          </cell>
          <cell r="L83">
            <v>42391.063040041372</v>
          </cell>
          <cell r="M83">
            <v>43456.460222398906</v>
          </cell>
          <cell r="N83">
            <v>44531.953502350312</v>
          </cell>
          <cell r="O83">
            <v>45834.503534469208</v>
          </cell>
          <cell r="P83">
            <v>47216.280961550779</v>
          </cell>
          <cell r="Q83">
            <v>48713.570422367455</v>
          </cell>
          <cell r="R83">
            <v>50268.499443908928</v>
          </cell>
          <cell r="S83">
            <v>52021.186276871245</v>
          </cell>
        </row>
        <row r="84">
          <cell r="D84">
            <v>29448.582262441221</v>
          </cell>
          <cell r="E84">
            <v>30510.207983829168</v>
          </cell>
          <cell r="F84">
            <v>31508.068529638655</v>
          </cell>
          <cell r="G84">
            <v>32405.724812869012</v>
          </cell>
          <cell r="H84">
            <v>33194.440151991541</v>
          </cell>
          <cell r="I84">
            <v>33890.402143564927</v>
          </cell>
          <cell r="J84">
            <v>34584.335557013568</v>
          </cell>
          <cell r="K84">
            <v>35317.617849962742</v>
          </cell>
          <cell r="L84">
            <v>36123.37325041907</v>
          </cell>
          <cell r="M84">
            <v>37028.202702209201</v>
          </cell>
          <cell r="N84">
            <v>38015.787752560747</v>
          </cell>
          <cell r="O84">
            <v>39083.561666784975</v>
          </cell>
          <cell r="P84">
            <v>40200.830254314104</v>
          </cell>
          <cell r="Q84">
            <v>41346.851715685807</v>
          </cell>
          <cell r="R84">
            <v>42515.547431558974</v>
          </cell>
          <cell r="S84">
            <v>43708.250994887028</v>
          </cell>
        </row>
        <row r="85">
          <cell r="D85">
            <v>22535.943526664261</v>
          </cell>
          <cell r="E85">
            <v>23548.517542942947</v>
          </cell>
          <cell r="F85">
            <v>24594.655478182816</v>
          </cell>
          <cell r="G85">
            <v>25624.746853051925</v>
          </cell>
          <cell r="H85">
            <v>26634.927064968149</v>
          </cell>
          <cell r="I85">
            <v>27630.102936096919</v>
          </cell>
          <cell r="J85">
            <v>28604.039528920664</v>
          </cell>
          <cell r="K85">
            <v>29501.129997657576</v>
          </cell>
          <cell r="L85">
            <v>30316.543004151354</v>
          </cell>
          <cell r="M85">
            <v>31046.75456026935</v>
          </cell>
          <cell r="N85">
            <v>31732.021607807306</v>
          </cell>
          <cell r="O85">
            <v>32452.123121732715</v>
          </cell>
          <cell r="P85">
            <v>33228.150620437875</v>
          </cell>
          <cell r="Q85">
            <v>34088.467107631826</v>
          </cell>
          <cell r="R85">
            <v>35061.664822735525</v>
          </cell>
          <cell r="S85">
            <v>36129.716092267583</v>
          </cell>
        </row>
        <row r="86">
          <cell r="D86">
            <v>16242.347065732998</v>
          </cell>
          <cell r="E86">
            <v>16889.901992232251</v>
          </cell>
          <cell r="F86">
            <v>17594.761914374223</v>
          </cell>
          <cell r="G86">
            <v>18374.58764167214</v>
          </cell>
          <cell r="H86">
            <v>19230.292436173775</v>
          </cell>
          <cell r="I86">
            <v>20144.327753803671</v>
          </cell>
          <cell r="J86">
            <v>21033.624425749571</v>
          </cell>
          <cell r="K86">
            <v>21940.59943873165</v>
          </cell>
          <cell r="L86">
            <v>22841.601584654549</v>
          </cell>
          <cell r="M86">
            <v>23739.871886876917</v>
          </cell>
          <cell r="N86">
            <v>24647.324635397195</v>
          </cell>
          <cell r="O86">
            <v>25567.735877109451</v>
          </cell>
          <cell r="P86">
            <v>26450.427506995267</v>
          </cell>
          <cell r="Q86">
            <v>27280.315037911205</v>
          </cell>
          <cell r="R86">
            <v>28055.889526172719</v>
          </cell>
          <cell r="S86">
            <v>28799.625161016462</v>
          </cell>
        </row>
        <row r="87">
          <cell r="D87">
            <v>10559.779387416422</v>
          </cell>
          <cell r="E87">
            <v>11174.632126173863</v>
          </cell>
          <cell r="F87">
            <v>11795.539649974833</v>
          </cell>
          <cell r="G87">
            <v>12391.016444167617</v>
          </cell>
          <cell r="H87">
            <v>12951.814998916892</v>
          </cell>
          <cell r="I87">
            <v>13487.284475603417</v>
          </cell>
          <cell r="J87">
            <v>14023.422051748974</v>
          </cell>
          <cell r="K87">
            <v>14600.960874887225</v>
          </cell>
          <cell r="L87">
            <v>15243.430330739022</v>
          </cell>
          <cell r="M87">
            <v>15959.191349300077</v>
          </cell>
          <cell r="N87">
            <v>16747.732910564297</v>
          </cell>
          <cell r="O87">
            <v>17542.091901350901</v>
          </cell>
          <cell r="P87">
            <v>18365.699965747615</v>
          </cell>
          <cell r="Q87">
            <v>19206.939963116947</v>
          </cell>
          <cell r="R87">
            <v>20064.476859848139</v>
          </cell>
          <cell r="S87">
            <v>20940.845458693544</v>
          </cell>
        </row>
        <row r="88">
          <cell r="D88">
            <v>6134.3283028398937</v>
          </cell>
          <cell r="E88">
            <v>6424.7862480256017</v>
          </cell>
          <cell r="F88">
            <v>6751.5134876326538</v>
          </cell>
          <cell r="G88">
            <v>7119.2717377678737</v>
          </cell>
          <cell r="H88">
            <v>7530.5466582596582</v>
          </cell>
          <cell r="I88">
            <v>7982.2087530318267</v>
          </cell>
          <cell r="J88">
            <v>8450.4620296058874</v>
          </cell>
          <cell r="K88">
            <v>8919.0163286771567</v>
          </cell>
          <cell r="L88">
            <v>9371.478627258155</v>
          </cell>
          <cell r="M88">
            <v>9805.8165562215818</v>
          </cell>
          <cell r="N88">
            <v>10234.559430367473</v>
          </cell>
          <cell r="O88">
            <v>10680.609460232097</v>
          </cell>
          <cell r="P88">
            <v>11177.175612819863</v>
          </cell>
          <cell r="Q88">
            <v>11736.85661187312</v>
          </cell>
          <cell r="R88">
            <v>12368.159252817155</v>
          </cell>
          <cell r="S88">
            <v>13060.202686890212</v>
          </cell>
        </row>
        <row r="89">
          <cell r="D89">
            <v>3273.511576368513</v>
          </cell>
          <cell r="E89">
            <v>3411.0978533331804</v>
          </cell>
          <cell r="F89">
            <v>3561.7904041100473</v>
          </cell>
          <cell r="G89">
            <v>3725.2588643390091</v>
          </cell>
          <cell r="H89">
            <v>3899.2437284808902</v>
          </cell>
          <cell r="I89">
            <v>4082.2346770267472</v>
          </cell>
          <cell r="J89">
            <v>4282.5597860106955</v>
          </cell>
          <cell r="K89">
            <v>4506.1966996626234</v>
          </cell>
          <cell r="L89">
            <v>4760.8794565673243</v>
          </cell>
          <cell r="M89">
            <v>5049.8455904211442</v>
          </cell>
          <cell r="N89">
            <v>5370.1264957702442</v>
          </cell>
          <cell r="O89">
            <v>5711.2629607861145</v>
          </cell>
          <cell r="P89">
            <v>6059.566951437092</v>
          </cell>
          <cell r="Q89">
            <v>6405.6262904159757</v>
          </cell>
          <cell r="R89">
            <v>6748.4365074818543</v>
          </cell>
          <cell r="S89">
            <v>7092.5784946229978</v>
          </cell>
        </row>
        <row r="90">
          <cell r="D90">
            <v>2007.3798038685741</v>
          </cell>
          <cell r="E90">
            <v>2114.4993165557548</v>
          </cell>
          <cell r="F90">
            <v>2226.3703994070142</v>
          </cell>
          <cell r="G90">
            <v>2337.851644052751</v>
          </cell>
          <cell r="H90">
            <v>2451.7590377479946</v>
          </cell>
          <cell r="I90">
            <v>2569.7737779408631</v>
          </cell>
          <cell r="J90">
            <v>2693.4464788484365</v>
          </cell>
          <cell r="K90">
            <v>2823.4013189508237</v>
          </cell>
          <cell r="L90">
            <v>2962.5253689119481</v>
          </cell>
          <cell r="M90">
            <v>3113.6716180051199</v>
          </cell>
          <cell r="N90">
            <v>3272.5455112596901</v>
          </cell>
          <cell r="O90">
            <v>3449.6625799761291</v>
          </cell>
          <cell r="P90">
            <v>3648.4720252579209</v>
          </cell>
          <cell r="Q90">
            <v>3873.1924986425224</v>
          </cell>
          <cell r="R90">
            <v>4125.3693137609926</v>
          </cell>
          <cell r="S90">
            <v>4402.4271726467541</v>
          </cell>
        </row>
        <row r="91">
          <cell r="D91">
            <v>42382.406622153227</v>
          </cell>
          <cell r="E91">
            <v>41765.695957993179</v>
          </cell>
          <cell r="F91">
            <v>41426.125297511629</v>
          </cell>
          <cell r="G91">
            <v>41359.866399313112</v>
          </cell>
          <cell r="H91">
            <v>41567.971976062552</v>
          </cell>
          <cell r="I91">
            <v>42073.422107336926</v>
          </cell>
          <cell r="J91">
            <v>42801.901118322377</v>
          </cell>
          <cell r="K91">
            <v>43670.797731909166</v>
          </cell>
          <cell r="L91">
            <v>44489.857289638865</v>
          </cell>
          <cell r="M91">
            <v>45114.271958621001</v>
          </cell>
          <cell r="N91">
            <v>45823.390405748811</v>
          </cell>
          <cell r="O91">
            <v>46249.880080793992</v>
          </cell>
          <cell r="P91">
            <v>46606.086434909717</v>
          </cell>
          <cell r="Q91">
            <v>46941.578893094782</v>
          </cell>
          <cell r="R91">
            <v>47342.721976258559</v>
          </cell>
          <cell r="S91">
            <v>47438.397355608075</v>
          </cell>
        </row>
        <row r="92">
          <cell r="D92">
            <v>49163.711722501997</v>
          </cell>
          <cell r="E92">
            <v>47742.661193936132</v>
          </cell>
          <cell r="F92">
            <v>46282.290692595248</v>
          </cell>
          <cell r="G92">
            <v>44845.766278260991</v>
          </cell>
          <cell r="H92">
            <v>43454.372671945217</v>
          </cell>
          <cell r="I92">
            <v>42391.210827774048</v>
          </cell>
          <cell r="J92">
            <v>41766.629884473288</v>
          </cell>
          <cell r="K92">
            <v>41403.915098931131</v>
          </cell>
          <cell r="L92">
            <v>41315.514030510436</v>
          </cell>
          <cell r="M92">
            <v>41513.254753114627</v>
          </cell>
          <cell r="N92">
            <v>42000.609199946128</v>
          </cell>
          <cell r="O92">
            <v>42728.467736909966</v>
          </cell>
          <cell r="P92">
            <v>43615.892804255825</v>
          </cell>
          <cell r="Q92">
            <v>44462.828824634344</v>
          </cell>
          <cell r="R92">
            <v>45112.106338124788</v>
          </cell>
          <cell r="S92">
            <v>45875.27243643409</v>
          </cell>
        </row>
        <row r="93">
          <cell r="D93">
            <v>52735.925989111449</v>
          </cell>
          <cell r="E93">
            <v>52398.528956428861</v>
          </cell>
          <cell r="F93">
            <v>51879.54958991889</v>
          </cell>
          <cell r="G93">
            <v>51206.356226970704</v>
          </cell>
          <cell r="H93">
            <v>50461.719784015171</v>
          </cell>
          <cell r="I93">
            <v>49372.537796619967</v>
          </cell>
          <cell r="J93">
            <v>47936.164943113181</v>
          </cell>
          <cell r="K93">
            <v>46440.541647147467</v>
          </cell>
          <cell r="L93">
            <v>44975.368636430823</v>
          </cell>
          <cell r="M93">
            <v>43572.408242676203</v>
          </cell>
          <cell r="N93">
            <v>42490.453026003481</v>
          </cell>
          <cell r="O93">
            <v>41872.339969900429</v>
          </cell>
          <cell r="P93">
            <v>41528.248436410315</v>
          </cell>
          <cell r="Q93">
            <v>41465.177775658834</v>
          </cell>
          <cell r="R93">
            <v>41686.375523566938</v>
          </cell>
          <cell r="S93">
            <v>42220.333250822434</v>
          </cell>
        </row>
        <row r="94">
          <cell r="D94">
            <v>54756.612860730347</v>
          </cell>
          <cell r="E94">
            <v>54393.185975054832</v>
          </cell>
          <cell r="F94">
            <v>54012.697103123282</v>
          </cell>
          <cell r="G94">
            <v>53742.375943445863</v>
          </cell>
          <cell r="H94">
            <v>53329.409683547739</v>
          </cell>
          <cell r="I94">
            <v>52945.405303364205</v>
          </cell>
          <cell r="J94">
            <v>52588.371204030394</v>
          </cell>
          <cell r="K94">
            <v>52040.132419726877</v>
          </cell>
          <cell r="L94">
            <v>51333.064643597223</v>
          </cell>
          <cell r="M94">
            <v>50573.329995087464</v>
          </cell>
          <cell r="N94">
            <v>49461.230575182904</v>
          </cell>
          <cell r="O94">
            <v>48035.061317253785</v>
          </cell>
          <cell r="P94">
            <v>46566.150626820854</v>
          </cell>
          <cell r="Q94">
            <v>45135.404326301948</v>
          </cell>
          <cell r="R94">
            <v>43765.357182722022</v>
          </cell>
          <cell r="S94">
            <v>42742.039908593964</v>
          </cell>
        </row>
        <row r="95">
          <cell r="D95">
            <v>50066.018434482321</v>
          </cell>
          <cell r="E95">
            <v>52060.247936712069</v>
          </cell>
          <cell r="F95">
            <v>53858.469536440905</v>
          </cell>
          <cell r="G95">
            <v>55259.378650179715</v>
          </cell>
          <cell r="H95">
            <v>55522.525901715249</v>
          </cell>
          <cell r="I95">
            <v>55575.934017645035</v>
          </cell>
          <cell r="J95">
            <v>55264.241672933662</v>
          </cell>
          <cell r="K95">
            <v>54918.061630750257</v>
          </cell>
          <cell r="L95">
            <v>54684.594517946636</v>
          </cell>
          <cell r="M95">
            <v>54323.430713686488</v>
          </cell>
          <cell r="N95">
            <v>53983.788675353237</v>
          </cell>
          <cell r="O95">
            <v>53704.285445350761</v>
          </cell>
          <cell r="P95">
            <v>53235.430577661602</v>
          </cell>
          <cell r="Q95">
            <v>52617.557310728822</v>
          </cell>
          <cell r="R95">
            <v>51944.613719868154</v>
          </cell>
          <cell r="S95">
            <v>50942.709953603095</v>
          </cell>
        </row>
        <row r="96">
          <cell r="D96">
            <v>48242.398549848032</v>
          </cell>
          <cell r="E96">
            <v>48297.121800217508</v>
          </cell>
          <cell r="F96">
            <v>48437.470715325697</v>
          </cell>
          <cell r="G96">
            <v>48875.743085713802</v>
          </cell>
          <cell r="H96">
            <v>50491.789933258784</v>
          </cell>
          <cell r="I96">
            <v>52114.342687457647</v>
          </cell>
          <cell r="J96">
            <v>54278.078174281676</v>
          </cell>
          <cell r="K96">
            <v>56240.326357012302</v>
          </cell>
          <cell r="L96">
            <v>57807.884006587665</v>
          </cell>
          <cell r="M96">
            <v>58270.641848924795</v>
          </cell>
          <cell r="N96">
            <v>58519.342632133252</v>
          </cell>
          <cell r="O96">
            <v>58426.474423943611</v>
          </cell>
          <cell r="P96">
            <v>58300.289438532127</v>
          </cell>
          <cell r="Q96">
            <v>58278.567430848016</v>
          </cell>
          <cell r="R96">
            <v>58112.724851612824</v>
          </cell>
          <cell r="S96">
            <v>57990.238705335178</v>
          </cell>
        </row>
        <row r="97">
          <cell r="D97">
            <v>46629.850412694737</v>
          </cell>
          <cell r="E97">
            <v>47260.260449842943</v>
          </cell>
          <cell r="F97">
            <v>48004.832346450443</v>
          </cell>
          <cell r="G97">
            <v>48694.384109545492</v>
          </cell>
          <cell r="H97">
            <v>49322.061127682238</v>
          </cell>
          <cell r="I97">
            <v>49925.91121517295</v>
          </cell>
          <cell r="J97">
            <v>50148.017424337719</v>
          </cell>
          <cell r="K97">
            <v>50454.416463914138</v>
          </cell>
          <cell r="L97">
            <v>51073.791573867085</v>
          </cell>
          <cell r="M97">
            <v>52887.626409740493</v>
          </cell>
          <cell r="N97">
            <v>54703.55919527424</v>
          </cell>
          <cell r="O97">
            <v>57070.855544326412</v>
          </cell>
          <cell r="P97">
            <v>59236.784138216055</v>
          </cell>
          <cell r="Q97">
            <v>61007.787011057066</v>
          </cell>
          <cell r="R97">
            <v>61677.120949578806</v>
          </cell>
          <cell r="S97">
            <v>62149.926588523114</v>
          </cell>
        </row>
        <row r="98">
          <cell r="D98">
            <v>45783.562742699891</v>
          </cell>
          <cell r="E98">
            <v>46022.231984193008</v>
          </cell>
          <cell r="F98">
            <v>46262.261138480651</v>
          </cell>
          <cell r="G98">
            <v>46525.090278581956</v>
          </cell>
          <cell r="H98">
            <v>46841.273815084161</v>
          </cell>
          <cell r="I98">
            <v>47218.190918956287</v>
          </cell>
          <cell r="J98">
            <v>47918.125366918328</v>
          </cell>
          <cell r="K98">
            <v>48732.467172668345</v>
          </cell>
          <cell r="L98">
            <v>49509.143666576725</v>
          </cell>
          <cell r="M98">
            <v>50244.145593694964</v>
          </cell>
          <cell r="N98">
            <v>50959.752810407335</v>
          </cell>
          <cell r="O98">
            <v>51320.713855986993</v>
          </cell>
          <cell r="P98">
            <v>51765.792839991307</v>
          </cell>
          <cell r="Q98">
            <v>52518.766547130763</v>
          </cell>
          <cell r="R98">
            <v>54442.584005148543</v>
          </cell>
          <cell r="S98">
            <v>56395.192919911315</v>
          </cell>
        </row>
        <row r="99">
          <cell r="D99">
            <v>41983.270948006721</v>
          </cell>
          <cell r="E99">
            <v>42857.603036428169</v>
          </cell>
          <cell r="F99">
            <v>43704.487078046841</v>
          </cell>
          <cell r="G99">
            <v>44473.028492986887</v>
          </cell>
          <cell r="H99">
            <v>45155.340780825594</v>
          </cell>
          <cell r="I99">
            <v>45765.585695254718</v>
          </cell>
          <cell r="J99">
            <v>46039.002846621086</v>
          </cell>
          <cell r="K99">
            <v>46314.325468731542</v>
          </cell>
          <cell r="L99">
            <v>46625.106161200187</v>
          </cell>
          <cell r="M99">
            <v>47013.335769693826</v>
          </cell>
          <cell r="N99">
            <v>47457.869294736098</v>
          </cell>
          <cell r="O99">
            <v>48244.847584549003</v>
          </cell>
          <cell r="P99">
            <v>49148.999014968307</v>
          </cell>
          <cell r="Q99">
            <v>50017.065089147545</v>
          </cell>
          <cell r="R99">
            <v>50839.281820470926</v>
          </cell>
          <cell r="S99">
            <v>51665.917079577011</v>
          </cell>
        </row>
        <row r="100">
          <cell r="D100">
            <v>37845.864561365255</v>
          </cell>
          <cell r="E100">
            <v>38433.928163208504</v>
          </cell>
          <cell r="F100">
            <v>39071.651211340955</v>
          </cell>
          <cell r="G100">
            <v>39780.740728366909</v>
          </cell>
          <cell r="H100">
            <v>40572.650036098967</v>
          </cell>
          <cell r="I100">
            <v>41424.812321460515</v>
          </cell>
          <cell r="J100">
            <v>42299.799580898958</v>
          </cell>
          <cell r="K100">
            <v>43140.890125702637</v>
          </cell>
          <cell r="L100">
            <v>43913.249999428219</v>
          </cell>
          <cell r="M100">
            <v>44619.995076286978</v>
          </cell>
          <cell r="N100">
            <v>45253.572077478013</v>
          </cell>
          <cell r="O100">
            <v>45581.560972124942</v>
          </cell>
          <cell r="P100">
            <v>45918.192140578991</v>
          </cell>
          <cell r="Q100">
            <v>46293.950553951938</v>
          </cell>
          <cell r="R100">
            <v>46740.176428211693</v>
          </cell>
          <cell r="S100">
            <v>47271.810334866495</v>
          </cell>
        </row>
        <row r="101">
          <cell r="D101">
            <v>33189.281696322694</v>
          </cell>
          <cell r="E101">
            <v>34038.276569728689</v>
          </cell>
          <cell r="F101">
            <v>34824.384261341031</v>
          </cell>
          <cell r="G101">
            <v>35550.367262164575</v>
          </cell>
          <cell r="H101">
            <v>36209.471380850708</v>
          </cell>
          <cell r="I101">
            <v>36813.367166852353</v>
          </cell>
          <cell r="J101">
            <v>37396.041451931284</v>
          </cell>
          <cell r="K101">
            <v>38019.117742840637</v>
          </cell>
          <cell r="L101">
            <v>38720.781224562503</v>
          </cell>
          <cell r="M101">
            <v>39517.136574457996</v>
          </cell>
          <cell r="N101">
            <v>40368.129673514173</v>
          </cell>
          <cell r="O101">
            <v>41259.963865843434</v>
          </cell>
          <cell r="P101">
            <v>42128.283952945538</v>
          </cell>
          <cell r="Q101">
            <v>42931.073045613906</v>
          </cell>
          <cell r="R101">
            <v>43674.576313728212</v>
          </cell>
          <cell r="S101">
            <v>44371.999141478642</v>
          </cell>
        </row>
        <row r="102">
          <cell r="D102">
            <v>26495.006179058495</v>
          </cell>
          <cell r="E102">
            <v>27644.965463365068</v>
          </cell>
          <cell r="F102">
            <v>28781.467784967648</v>
          </cell>
          <cell r="G102">
            <v>29841.066454390795</v>
          </cell>
          <cell r="H102">
            <v>30817.893621470892</v>
          </cell>
          <cell r="I102">
            <v>31717.720271010337</v>
          </cell>
          <cell r="J102">
            <v>32539.386660805729</v>
          </cell>
          <cell r="K102">
            <v>33294.024777857259</v>
          </cell>
          <cell r="L102">
            <v>33996.805872992947</v>
          </cell>
          <cell r="M102">
            <v>34649.409787909361</v>
          </cell>
          <cell r="N102">
            <v>35244.763125465339</v>
          </cell>
          <cell r="O102">
            <v>35836.489365149428</v>
          </cell>
          <cell r="P102">
            <v>36477.36710837089</v>
          </cell>
          <cell r="Q102">
            <v>37197.217210922412</v>
          </cell>
          <cell r="R102">
            <v>38011.246717267837</v>
          </cell>
          <cell r="S102">
            <v>38899.565633764243</v>
          </cell>
        </row>
        <row r="103">
          <cell r="D103">
            <v>20433.945904237255</v>
          </cell>
          <cell r="E103">
            <v>21100.528812690092</v>
          </cell>
          <cell r="F103">
            <v>21835.218418026012</v>
          </cell>
          <cell r="G103">
            <v>22675.883920801763</v>
          </cell>
          <cell r="H103">
            <v>23632.130290555495</v>
          </cell>
          <cell r="I103">
            <v>24678.248993693276</v>
          </cell>
          <cell r="J103">
            <v>25764.523600960751</v>
          </cell>
          <cell r="K103">
            <v>26831.956786102372</v>
          </cell>
          <cell r="L103">
            <v>27830.311241573479</v>
          </cell>
          <cell r="M103">
            <v>28758.109619523271</v>
          </cell>
          <cell r="N103">
            <v>29614.558169638789</v>
          </cell>
          <cell r="O103">
            <v>30417.010793356276</v>
          </cell>
          <cell r="P103">
            <v>31161.911051742725</v>
          </cell>
          <cell r="Q103">
            <v>31867.505409132071</v>
          </cell>
          <cell r="R103">
            <v>32530.476450762064</v>
          </cell>
          <cell r="S103">
            <v>33160.792398277379</v>
          </cell>
        </row>
        <row r="104">
          <cell r="D104">
            <v>14850.047826327998</v>
          </cell>
          <cell r="E104">
            <v>15586.948523873996</v>
          </cell>
          <cell r="F104">
            <v>16320.080692572212</v>
          </cell>
          <cell r="G104">
            <v>17019.688227596602</v>
          </cell>
          <cell r="H104">
            <v>17669.219695547028</v>
          </cell>
          <cell r="I104">
            <v>18283.377549944264</v>
          </cell>
          <cell r="J104">
            <v>18896.456064109032</v>
          </cell>
          <cell r="K104">
            <v>19570.519664379975</v>
          </cell>
          <cell r="L104">
            <v>20341.423849097984</v>
          </cell>
          <cell r="M104">
            <v>21224.889686136914</v>
          </cell>
          <cell r="N104">
            <v>22186.926276565056</v>
          </cell>
          <cell r="O104">
            <v>23196.367269499893</v>
          </cell>
          <cell r="P104">
            <v>24198.104516246585</v>
          </cell>
          <cell r="Q104">
            <v>25144.744051958976</v>
          </cell>
          <cell r="R104">
            <v>26034.15756188591</v>
          </cell>
          <cell r="S104">
            <v>26877.369382401881</v>
          </cell>
        </row>
        <row r="105">
          <cell r="D105">
            <v>9998.398654371731</v>
          </cell>
          <cell r="E105">
            <v>10387.629300711969</v>
          </cell>
          <cell r="F105">
            <v>10826.975476644464</v>
          </cell>
          <cell r="G105">
            <v>11322.411219347794</v>
          </cell>
          <cell r="H105">
            <v>11882.720642767756</v>
          </cell>
          <cell r="I105">
            <v>12498.018857065201</v>
          </cell>
          <cell r="J105">
            <v>13137.8224632408</v>
          </cell>
          <cell r="K105">
            <v>13771.587467159537</v>
          </cell>
          <cell r="L105">
            <v>14378.143245304842</v>
          </cell>
          <cell r="M105">
            <v>14949.374289377816</v>
          </cell>
          <cell r="N105">
            <v>15492.060760022019</v>
          </cell>
          <cell r="O105">
            <v>16046.651483633797</v>
          </cell>
          <cell r="P105">
            <v>16659.222344270765</v>
          </cell>
          <cell r="Q105">
            <v>17363.225117234946</v>
          </cell>
          <cell r="R105">
            <v>18167.147310399825</v>
          </cell>
          <cell r="S105">
            <v>19054.762097039813</v>
          </cell>
        </row>
        <row r="106">
          <cell r="D106">
            <v>6347.1575249613443</v>
          </cell>
          <cell r="E106">
            <v>6593.4773902197185</v>
          </cell>
          <cell r="F106">
            <v>6852.1104626030356</v>
          </cell>
          <cell r="G106">
            <v>7126.1051851328766</v>
          </cell>
          <cell r="H106">
            <v>7410.2871119343754</v>
          </cell>
          <cell r="I106">
            <v>7709.133312812336</v>
          </cell>
          <cell r="J106">
            <v>8029.615804064787</v>
          </cell>
          <cell r="K106">
            <v>8387.3655704485609</v>
          </cell>
          <cell r="L106">
            <v>8793.2611757124359</v>
          </cell>
          <cell r="M106">
            <v>9251.1822956687829</v>
          </cell>
          <cell r="N106">
            <v>9753.8902262073207</v>
          </cell>
          <cell r="O106">
            <v>10283.523026366576</v>
          </cell>
          <cell r="P106">
            <v>10812.620040060672</v>
          </cell>
          <cell r="Q106">
            <v>11325.013899741347</v>
          </cell>
          <cell r="R106">
            <v>11814.481664766632</v>
          </cell>
          <cell r="S106">
            <v>12294.521141556681</v>
          </cell>
        </row>
        <row r="107">
          <cell r="D107">
            <v>5401.836191456463</v>
          </cell>
          <cell r="E107">
            <v>5610.6609364862998</v>
          </cell>
          <cell r="F107">
            <v>5833.6076358758673</v>
          </cell>
          <cell r="G107">
            <v>6069.0128102291665</v>
          </cell>
          <cell r="H107">
            <v>6316.7360177749806</v>
          </cell>
          <cell r="I107">
            <v>6580.3317380104263</v>
          </cell>
          <cell r="J107">
            <v>6856.0411527218175</v>
          </cell>
          <cell r="K107">
            <v>7148.2432474287507</v>
          </cell>
          <cell r="L107">
            <v>7457.8547084537395</v>
          </cell>
          <cell r="M107">
            <v>7783.3600560250343</v>
          </cell>
          <cell r="N107">
            <v>8127.4087874413772</v>
          </cell>
          <cell r="O107">
            <v>8501.3387365824328</v>
          </cell>
          <cell r="P107">
            <v>8913.672365435059</v>
          </cell>
          <cell r="Q107">
            <v>9369.1563577999386</v>
          </cell>
          <cell r="R107">
            <v>9875.1628809866506</v>
          </cell>
          <cell r="S107">
            <v>10427.150465938497</v>
          </cell>
        </row>
        <row r="108">
          <cell r="D108">
            <v>135551.90145844137</v>
          </cell>
          <cell r="E108">
            <v>132644.50190132391</v>
          </cell>
          <cell r="F108">
            <v>130410.93802974121</v>
          </cell>
          <cell r="G108">
            <v>128882.3429609804</v>
          </cell>
          <cell r="H108">
            <v>129264.43515407175</v>
          </cell>
          <cell r="I108">
            <v>132251.83691432502</v>
          </cell>
          <cell r="J108">
            <v>134567.03295512733</v>
          </cell>
          <cell r="K108">
            <v>136075.52074171425</v>
          </cell>
          <cell r="L108">
            <v>136800.95173028379</v>
          </cell>
          <cell r="M108">
            <v>135754.81319261069</v>
          </cell>
          <cell r="N108">
            <v>133046.65944862145</v>
          </cell>
          <cell r="O108">
            <v>130416.37081184852</v>
          </cell>
          <cell r="P108">
            <v>127811.13946362014</v>
          </cell>
          <cell r="Q108">
            <v>125225.0082027364</v>
          </cell>
          <cell r="R108">
            <v>122657.38680292731</v>
          </cell>
          <cell r="S108">
            <v>120066.89564051168</v>
          </cell>
        </row>
        <row r="109">
          <cell r="D109">
            <v>150802.96683099755</v>
          </cell>
          <cell r="E109">
            <v>147022.32954685891</v>
          </cell>
          <cell r="F109">
            <v>143561.51133296016</v>
          </cell>
          <cell r="G109">
            <v>140268.18035396721</v>
          </cell>
          <cell r="H109">
            <v>137260.7834396507</v>
          </cell>
          <cell r="I109">
            <v>133228.85991051732</v>
          </cell>
          <cell r="J109">
            <v>130098.28682004144</v>
          </cell>
          <cell r="K109">
            <v>127678.61369985667</v>
          </cell>
          <cell r="L109">
            <v>125995.58743117008</v>
          </cell>
          <cell r="M109">
            <v>126297.74754742759</v>
          </cell>
          <cell r="N109">
            <v>129309.79778069876</v>
          </cell>
          <cell r="O109">
            <v>131676.49025021552</v>
          </cell>
          <cell r="P109">
            <v>133264.41740932228</v>
          </cell>
          <cell r="Q109">
            <v>134081.3985528574</v>
          </cell>
          <cell r="R109">
            <v>133124.65875502236</v>
          </cell>
          <cell r="S109">
            <v>130514.48094268615</v>
          </cell>
        </row>
        <row r="110">
          <cell r="D110">
            <v>169497.43367911119</v>
          </cell>
          <cell r="E110">
            <v>165115.08889817359</v>
          </cell>
          <cell r="F110">
            <v>161094.27232455072</v>
          </cell>
          <cell r="G110">
            <v>157117.7351533146</v>
          </cell>
          <cell r="H110">
            <v>152690.83716768684</v>
          </cell>
          <cell r="I110">
            <v>148663.81910061982</v>
          </cell>
          <cell r="J110">
            <v>144606.94276837094</v>
          </cell>
          <cell r="K110">
            <v>140927.35609037578</v>
          </cell>
          <cell r="L110">
            <v>137466.91255049568</v>
          </cell>
          <cell r="M110">
            <v>134401.66230139459</v>
          </cell>
          <cell r="N110">
            <v>130427.55993156898</v>
          </cell>
          <cell r="O110">
            <v>127351.94406355348</v>
          </cell>
          <cell r="P110">
            <v>124982.18290163591</v>
          </cell>
          <cell r="Q110">
            <v>123349.73690818182</v>
          </cell>
          <cell r="R110">
            <v>123697.22829154234</v>
          </cell>
          <cell r="S110">
            <v>126751.19465225727</v>
          </cell>
        </row>
        <row r="111">
          <cell r="D111">
            <v>185806.54421436045</v>
          </cell>
          <cell r="E111">
            <v>183486.36794048251</v>
          </cell>
          <cell r="F111">
            <v>179966.45284294619</v>
          </cell>
          <cell r="G111">
            <v>175174.98515318672</v>
          </cell>
          <cell r="H111">
            <v>170583.08016464263</v>
          </cell>
          <cell r="I111">
            <v>165934.57944869596</v>
          </cell>
          <cell r="J111">
            <v>161228.3153523785</v>
          </cell>
          <cell r="K111">
            <v>156942.71525529152</v>
          </cell>
          <cell r="L111">
            <v>152758.01294491053</v>
          </cell>
          <cell r="M111">
            <v>148251.97116503117</v>
          </cell>
          <cell r="N111">
            <v>144275.22454060722</v>
          </cell>
          <cell r="O111">
            <v>140267.66905188723</v>
          </cell>
          <cell r="P111">
            <v>136635.40763861686</v>
          </cell>
          <cell r="Q111">
            <v>133221.10911384408</v>
          </cell>
          <cell r="R111">
            <v>130202.72413058396</v>
          </cell>
          <cell r="S111">
            <v>126279.16218994679</v>
          </cell>
        </row>
        <row r="112">
          <cell r="D112">
            <v>177118.96241018514</v>
          </cell>
          <cell r="E112">
            <v>177235.70480338455</v>
          </cell>
          <cell r="F112">
            <v>177841.02664771679</v>
          </cell>
          <cell r="G112">
            <v>179008.71526648031</v>
          </cell>
          <cell r="H112">
            <v>178059.91152912163</v>
          </cell>
          <cell r="I112">
            <v>176009.44017045735</v>
          </cell>
          <cell r="J112">
            <v>173347.89931363318</v>
          </cell>
          <cell r="K112">
            <v>169547.0810806347</v>
          </cell>
          <cell r="L112">
            <v>164529.32041568292</v>
          </cell>
          <cell r="M112">
            <v>159834.70294434769</v>
          </cell>
          <cell r="N112">
            <v>155206.11928321022</v>
          </cell>
          <cell r="O112">
            <v>150516.37421464393</v>
          </cell>
          <cell r="P112">
            <v>146241.28237255273</v>
          </cell>
          <cell r="Q112">
            <v>142066.52129246955</v>
          </cell>
          <cell r="R112">
            <v>137572.42604365689</v>
          </cell>
          <cell r="S112">
            <v>133602.15205978689</v>
          </cell>
        </row>
        <row r="113">
          <cell r="D113">
            <v>179725.53724807804</v>
          </cell>
          <cell r="E113">
            <v>174348.31721545118</v>
          </cell>
          <cell r="F113">
            <v>169253.10174755871</v>
          </cell>
          <cell r="G113">
            <v>165465.27623202451</v>
          </cell>
          <cell r="H113">
            <v>164133.24750133418</v>
          </cell>
          <cell r="I113">
            <v>164230.05009841587</v>
          </cell>
          <cell r="J113">
            <v>164003.88431640677</v>
          </cell>
          <cell r="K113">
            <v>164346.04166171481</v>
          </cell>
          <cell r="L113">
            <v>165317.27405881652</v>
          </cell>
          <cell r="M113">
            <v>164338.87655344</v>
          </cell>
          <cell r="N113">
            <v>162280.28510310553</v>
          </cell>
          <cell r="O113">
            <v>159616.79304291404</v>
          </cell>
          <cell r="P113">
            <v>155817.21049503502</v>
          </cell>
          <cell r="Q113">
            <v>150810.13588086373</v>
          </cell>
          <cell r="R113">
            <v>146121.67943421824</v>
          </cell>
          <cell r="S113">
            <v>141494.97392958324</v>
          </cell>
        </row>
        <row r="114">
          <cell r="D114">
            <v>185005.75317353313</v>
          </cell>
          <cell r="E114">
            <v>186336.68636090946</v>
          </cell>
          <cell r="F114">
            <v>186051.98916607947</v>
          </cell>
          <cell r="G114">
            <v>183621.83007313579</v>
          </cell>
          <cell r="H114">
            <v>178697.77400367678</v>
          </cell>
          <cell r="I114">
            <v>171560.22775702781</v>
          </cell>
          <cell r="J114">
            <v>165801.19538799071</v>
          </cell>
          <cell r="K114">
            <v>160455.76823717449</v>
          </cell>
          <cell r="L114">
            <v>156529.79104376826</v>
          </cell>
          <cell r="M114">
            <v>155217.6001988393</v>
          </cell>
          <cell r="N114">
            <v>155348.96109516235</v>
          </cell>
          <cell r="O114">
            <v>155157.44802568184</v>
          </cell>
          <cell r="P114">
            <v>155526.72836393499</v>
          </cell>
          <cell r="Q114">
            <v>156521.77910531074</v>
          </cell>
          <cell r="R114">
            <v>155584.03739491661</v>
          </cell>
          <cell r="S114">
            <v>153579.20455562495</v>
          </cell>
        </row>
        <row r="115">
          <cell r="D115">
            <v>167162.12680629853</v>
          </cell>
          <cell r="E115">
            <v>169730.70118742032</v>
          </cell>
          <cell r="F115">
            <v>172433.2205641944</v>
          </cell>
          <cell r="G115">
            <v>175029.54013318996</v>
          </cell>
          <cell r="H115">
            <v>177543.403393279</v>
          </cell>
          <cell r="I115">
            <v>179782.25204806143</v>
          </cell>
          <cell r="J115">
            <v>180649.28780053579</v>
          </cell>
          <cell r="K115">
            <v>179985.18096870175</v>
          </cell>
          <cell r="L115">
            <v>177286.56988154378</v>
          </cell>
          <cell r="M115">
            <v>172293.88474699992</v>
          </cell>
          <cell r="N115">
            <v>165351.88350697141</v>
          </cell>
          <cell r="O115">
            <v>159755.58591290851</v>
          </cell>
          <cell r="P115">
            <v>154556.45815283808</v>
          </cell>
          <cell r="Q115">
            <v>150753.2489922051</v>
          </cell>
          <cell r="R115">
            <v>149534.59487669752</v>
          </cell>
          <cell r="S115">
            <v>149749.0553159893</v>
          </cell>
        </row>
        <row r="116">
          <cell r="D116">
            <v>166774.74414029831</v>
          </cell>
          <cell r="E116">
            <v>164964.80848936373</v>
          </cell>
          <cell r="F116">
            <v>163538.51244906452</v>
          </cell>
          <cell r="G116">
            <v>162710.84847401714</v>
          </cell>
          <cell r="H116">
            <v>162462.3687550938</v>
          </cell>
          <cell r="I116">
            <v>162688.85895160175</v>
          </cell>
          <cell r="J116">
            <v>164909.04822098164</v>
          </cell>
          <cell r="K116">
            <v>167301.76894980433</v>
          </cell>
          <cell r="L116">
            <v>169636.01997847893</v>
          </cell>
          <cell r="M116">
            <v>172010.06284662668</v>
          </cell>
          <cell r="N116">
            <v>174333.93646552812</v>
          </cell>
          <cell r="O116">
            <v>175295.39480300809</v>
          </cell>
          <cell r="P116">
            <v>174750.45647638821</v>
          </cell>
          <cell r="Q116">
            <v>172193.61792297469</v>
          </cell>
          <cell r="R116">
            <v>167375.56045583327</v>
          </cell>
          <cell r="S116">
            <v>160641.7283098984</v>
          </cell>
        </row>
        <row r="117">
          <cell r="D117">
            <v>159780.83538747276</v>
          </cell>
          <cell r="E117">
            <v>160579.6261602921</v>
          </cell>
          <cell r="F117">
            <v>161301.8021464434</v>
          </cell>
          <cell r="G117">
            <v>161853.22439058803</v>
          </cell>
          <cell r="H117">
            <v>162109.33795156641</v>
          </cell>
          <cell r="I117">
            <v>162168.78209516709</v>
          </cell>
          <cell r="J117">
            <v>160157.93900946862</v>
          </cell>
          <cell r="K117">
            <v>158596.68181155826</v>
          </cell>
          <cell r="L117">
            <v>157687.72292035291</v>
          </cell>
          <cell r="M117">
            <v>157468.18794405248</v>
          </cell>
          <cell r="N117">
            <v>157819.22543752342</v>
          </cell>
          <cell r="O117">
            <v>160105.06436253485</v>
          </cell>
          <cell r="P117">
            <v>162561.1873943877</v>
          </cell>
          <cell r="Q117">
            <v>164961.99695419209</v>
          </cell>
          <cell r="R117">
            <v>167408.49209606773</v>
          </cell>
          <cell r="S117">
            <v>169819.91553160999</v>
          </cell>
        </row>
        <row r="118">
          <cell r="D118">
            <v>152820.96025388237</v>
          </cell>
          <cell r="E118">
            <v>152893.28418436396</v>
          </cell>
          <cell r="F118">
            <v>152836.18950846361</v>
          </cell>
          <cell r="G118">
            <v>152950.98609768364</v>
          </cell>
          <cell r="H118">
            <v>153258.49465290416</v>
          </cell>
          <cell r="I118">
            <v>153687.22041335006</v>
          </cell>
          <cell r="J118">
            <v>154273.37234222691</v>
          </cell>
          <cell r="K118">
            <v>154843.48849482712</v>
          </cell>
          <cell r="L118">
            <v>155304.86310869383</v>
          </cell>
          <cell r="M118">
            <v>155600.36001518773</v>
          </cell>
          <cell r="N118">
            <v>155808.45223850489</v>
          </cell>
          <cell r="O118">
            <v>153985.19745464946</v>
          </cell>
          <cell r="P118">
            <v>152595.95332300849</v>
          </cell>
          <cell r="Q118">
            <v>151838.09193908153</v>
          </cell>
          <cell r="R118">
            <v>151755.98369978488</v>
          </cell>
          <cell r="S118">
            <v>152243.94148042105</v>
          </cell>
        </row>
        <row r="119">
          <cell r="D119">
            <v>136138.48089584737</v>
          </cell>
          <cell r="E119">
            <v>139401.10908141505</v>
          </cell>
          <cell r="F119">
            <v>142107.80002018533</v>
          </cell>
          <cell r="G119">
            <v>143957.46851636749</v>
          </cell>
          <cell r="H119">
            <v>144779.73779773241</v>
          </cell>
          <cell r="I119">
            <v>144635.47813170389</v>
          </cell>
          <cell r="J119">
            <v>144467.76380516749</v>
          </cell>
          <cell r="K119">
            <v>144256.30148220851</v>
          </cell>
          <cell r="L119">
            <v>144287.5112812244</v>
          </cell>
          <cell r="M119">
            <v>144640.23754549277</v>
          </cell>
          <cell r="N119">
            <v>145217.18138445943</v>
          </cell>
          <cell r="O119">
            <v>145941.20205410698</v>
          </cell>
          <cell r="P119">
            <v>146644.56340679465</v>
          </cell>
          <cell r="Q119">
            <v>147242.23014481657</v>
          </cell>
          <cell r="R119">
            <v>147681.44166714078</v>
          </cell>
          <cell r="S119">
            <v>148044.54908844951</v>
          </cell>
        </row>
        <row r="120">
          <cell r="D120">
            <v>112762.38942529706</v>
          </cell>
          <cell r="E120">
            <v>114918.42674750528</v>
          </cell>
          <cell r="F120">
            <v>117163.11645249525</v>
          </cell>
          <cell r="G120">
            <v>119687.20848987564</v>
          </cell>
          <cell r="H120">
            <v>122524.75617763998</v>
          </cell>
          <cell r="I120">
            <v>125521.9021015789</v>
          </cell>
          <cell r="J120">
            <v>128442.15728667103</v>
          </cell>
          <cell r="K120">
            <v>130856.47079768075</v>
          </cell>
          <cell r="L120">
            <v>132486.20557530734</v>
          </cell>
          <cell r="M120">
            <v>133245.38786924022</v>
          </cell>
          <cell r="N120">
            <v>133305.3729401991</v>
          </cell>
          <cell r="O120">
            <v>133346.99723942947</v>
          </cell>
          <cell r="P120">
            <v>133348.2679213924</v>
          </cell>
          <cell r="Q120">
            <v>133575.40464847253</v>
          </cell>
          <cell r="R120">
            <v>134105.62246261214</v>
          </cell>
          <cell r="S120">
            <v>134849.5951420028</v>
          </cell>
        </row>
        <row r="121">
          <cell r="D121">
            <v>85602.560286837703</v>
          </cell>
          <cell r="E121">
            <v>89028.117917743177</v>
          </cell>
          <cell r="F121">
            <v>92339.742587457411</v>
          </cell>
          <cell r="G121">
            <v>95311.62620752411</v>
          </cell>
          <cell r="H121">
            <v>97795.550147598566</v>
          </cell>
          <cell r="I121">
            <v>99868.785483606815</v>
          </cell>
          <cell r="J121">
            <v>101795.89420199578</v>
          </cell>
          <cell r="K121">
            <v>103845.68605090455</v>
          </cell>
          <cell r="L121">
            <v>106183.75300045198</v>
          </cell>
          <cell r="M121">
            <v>108884.67433579589</v>
          </cell>
          <cell r="N121">
            <v>111809.17858208736</v>
          </cell>
          <cell r="O121">
            <v>114667.87336182919</v>
          </cell>
          <cell r="P121">
            <v>117070.2881555925</v>
          </cell>
          <cell r="Q121">
            <v>118767.8473321839</v>
          </cell>
          <cell r="R121">
            <v>119688.54953936714</v>
          </cell>
          <cell r="S121">
            <v>119986.0613287841</v>
          </cell>
        </row>
        <row r="122">
          <cell r="D122">
            <v>62866.100660148222</v>
          </cell>
          <cell r="E122">
            <v>63816.074666409571</v>
          </cell>
          <cell r="F122">
            <v>65053.079966910766</v>
          </cell>
          <cell r="G122">
            <v>66711.116861542891</v>
          </cell>
          <cell r="H122">
            <v>68818.94226261838</v>
          </cell>
          <cell r="I122">
            <v>71274.579128378944</v>
          </cell>
          <cell r="J122">
            <v>74194.402837492598</v>
          </cell>
          <cell r="K122">
            <v>77039.020588749292</v>
          </cell>
          <cell r="L122">
            <v>79628.315309209836</v>
          </cell>
          <cell r="M122">
            <v>81877.621393237641</v>
          </cell>
          <cell r="N122">
            <v>83858.132553802861</v>
          </cell>
          <cell r="O122">
            <v>85729.060713055398</v>
          </cell>
          <cell r="P122">
            <v>87721.610710674184</v>
          </cell>
          <cell r="Q122">
            <v>89978.091592952376</v>
          </cell>
          <cell r="R122">
            <v>92558.865557132842</v>
          </cell>
          <cell r="S122">
            <v>95344.569659924411</v>
          </cell>
        </row>
        <row r="123">
          <cell r="D123">
            <v>40935.437018291217</v>
          </cell>
          <cell r="E123">
            <v>42252.839740979281</v>
          </cell>
          <cell r="F123">
            <v>43532.137180686921</v>
          </cell>
          <cell r="G123">
            <v>44732.869736379129</v>
          </cell>
          <cell r="H123">
            <v>45794.714545067152</v>
          </cell>
          <cell r="I123">
            <v>46860.027047118318</v>
          </cell>
          <cell r="J123">
            <v>47705.34189111185</v>
          </cell>
          <cell r="K123">
            <v>48782.507854948213</v>
          </cell>
          <cell r="L123">
            <v>50196.046867592893</v>
          </cell>
          <cell r="M123">
            <v>51996.372022955991</v>
          </cell>
          <cell r="N123">
            <v>54113.073278902724</v>
          </cell>
          <cell r="O123">
            <v>56583.556524074025</v>
          </cell>
          <cell r="P123">
            <v>59002.810326663435</v>
          </cell>
          <cell r="Q123">
            <v>61235.242586474465</v>
          </cell>
          <cell r="R123">
            <v>63217.77203673069</v>
          </cell>
          <cell r="S123">
            <v>65008.749809365669</v>
          </cell>
        </row>
        <row r="124">
          <cell r="D124">
            <v>35675.240868856803</v>
          </cell>
          <cell r="E124">
            <v>36666.416010820882</v>
          </cell>
          <cell r="F124">
            <v>37739.348239160725</v>
          </cell>
          <cell r="G124">
            <v>38899.019830854399</v>
          </cell>
          <cell r="H124">
            <v>40143.212903371757</v>
          </cell>
          <cell r="I124">
            <v>41474.876707079959</v>
          </cell>
          <cell r="J124">
            <v>42902.165729335691</v>
          </cell>
          <cell r="K124">
            <v>44373.931541027268</v>
          </cell>
          <cell r="L124">
            <v>45862.301830358134</v>
          </cell>
          <cell r="M124">
            <v>47352.28620945436</v>
          </cell>
          <cell r="N124">
            <v>48877.87092616743</v>
          </cell>
          <cell r="O124">
            <v>50318.905687057711</v>
          </cell>
          <cell r="P124">
            <v>51973.34239811969</v>
          </cell>
          <cell r="Q124">
            <v>53889.847840374561</v>
          </cell>
          <cell r="R124">
            <v>56077.593676806966</v>
          </cell>
          <cell r="S124">
            <v>58496.098965732985</v>
          </cell>
        </row>
        <row r="125">
          <cell r="D125">
            <v>130788.37561693616</v>
          </cell>
          <cell r="E125">
            <v>127922.55813601926</v>
          </cell>
          <cell r="F125">
            <v>125716.54504803692</v>
          </cell>
          <cell r="G125">
            <v>124197.65711322321</v>
          </cell>
          <cell r="H125">
            <v>124530.62379179015</v>
          </cell>
          <cell r="I125">
            <v>127379.5290006447</v>
          </cell>
          <cell r="J125">
            <v>129578.59476604055</v>
          </cell>
          <cell r="K125">
            <v>130997.66542718184</v>
          </cell>
          <cell r="L125">
            <v>131660.67343121505</v>
          </cell>
          <cell r="M125">
            <v>130614.82560610282</v>
          </cell>
          <cell r="N125">
            <v>127969.02256909943</v>
          </cell>
          <cell r="O125">
            <v>125392.76010888231</v>
          </cell>
          <cell r="P125">
            <v>122843.59434664772</v>
          </cell>
          <cell r="Q125">
            <v>120314.57405341769</v>
          </cell>
          <cell r="R125">
            <v>117804.90299739578</v>
          </cell>
          <cell r="S125">
            <v>115269.32551491784</v>
          </cell>
        </row>
        <row r="126">
          <cell r="D126">
            <v>145973.49409537096</v>
          </cell>
          <cell r="E126">
            <v>142235.77474622449</v>
          </cell>
          <cell r="F126">
            <v>138822.16565033264</v>
          </cell>
          <cell r="G126">
            <v>135582.33372257013</v>
          </cell>
          <cell r="H126">
            <v>132638.21422311739</v>
          </cell>
          <cell r="I126">
            <v>128714.13293382275</v>
          </cell>
          <cell r="J126">
            <v>125654.58007749989</v>
          </cell>
          <cell r="K126">
            <v>123278.44069011044</v>
          </cell>
          <cell r="L126">
            <v>121608.6294905469</v>
          </cell>
          <cell r="M126">
            <v>121852.45992439486</v>
          </cell>
          <cell r="N126">
            <v>124704.8788105931</v>
          </cell>
          <cell r="O126">
            <v>126929.78368286298</v>
          </cell>
          <cell r="P126">
            <v>128406.65468994403</v>
          </cell>
          <cell r="Q126">
            <v>129138.33487700742</v>
          </cell>
          <cell r="R126">
            <v>128164.58049504878</v>
          </cell>
          <cell r="S126">
            <v>125605.17962883276</v>
          </cell>
        </row>
        <row r="127">
          <cell r="D127">
            <v>164730.46308784606</v>
          </cell>
          <cell r="E127">
            <v>160366.91744404443</v>
          </cell>
          <cell r="F127">
            <v>156372.49278862143</v>
          </cell>
          <cell r="G127">
            <v>152436.74882971405</v>
          </cell>
          <cell r="H127">
            <v>148085.34978891359</v>
          </cell>
          <cell r="I127">
            <v>144123.19741456243</v>
          </cell>
          <cell r="J127">
            <v>140127.07518037478</v>
          </cell>
          <cell r="K127">
            <v>136505.39331839795</v>
          </cell>
          <cell r="L127">
            <v>133103.8233074845</v>
          </cell>
          <cell r="M127">
            <v>130094.0416088213</v>
          </cell>
          <cell r="N127">
            <v>126211.56041078518</v>
          </cell>
          <cell r="O127">
            <v>123187.59568305429</v>
          </cell>
          <cell r="P127">
            <v>120845.80472946611</v>
          </cell>
          <cell r="Q127">
            <v>119214.59843943625</v>
          </cell>
          <cell r="R127">
            <v>119493.59031204211</v>
          </cell>
          <cell r="S127">
            <v>122386.45333321905</v>
          </cell>
        </row>
        <row r="128">
          <cell r="D128">
            <v>182276.46566900462</v>
          </cell>
          <cell r="E128">
            <v>179744.99560332304</v>
          </cell>
          <cell r="F128">
            <v>175582.44428398</v>
          </cell>
          <cell r="G128">
            <v>170676.89786975543</v>
          </cell>
          <cell r="H128">
            <v>166125.39023418198</v>
          </cell>
          <cell r="I128">
            <v>161727.54509169332</v>
          </cell>
          <cell r="J128">
            <v>157259.97013715442</v>
          </cell>
          <cell r="K128">
            <v>153162.6677510257</v>
          </cell>
          <cell r="L128">
            <v>149108.48544881499</v>
          </cell>
          <cell r="M128">
            <v>144696.98482626045</v>
          </cell>
          <cell r="N128">
            <v>140771.81966781383</v>
          </cell>
          <cell r="O128">
            <v>136813.07496818644</v>
          </cell>
          <cell r="P128">
            <v>133224.91190759442</v>
          </cell>
          <cell r="Q128">
            <v>129863.99937007866</v>
          </cell>
          <cell r="R128">
            <v>126900.0610933603</v>
          </cell>
          <cell r="S128">
            <v>123069.12272428875</v>
          </cell>
        </row>
        <row r="129">
          <cell r="D129">
            <v>175258.86527549083</v>
          </cell>
          <cell r="E129">
            <v>174996.62530390502</v>
          </cell>
          <cell r="F129">
            <v>175688.67627785041</v>
          </cell>
          <cell r="G129">
            <v>176316.0929772917</v>
          </cell>
          <cell r="H129">
            <v>176141.06186645108</v>
          </cell>
          <cell r="I129">
            <v>174693.84351455906</v>
          </cell>
          <cell r="J129">
            <v>171772.51642337753</v>
          </cell>
          <cell r="K129">
            <v>167373.28617093121</v>
          </cell>
          <cell r="L129">
            <v>162371.86289793858</v>
          </cell>
          <cell r="M129">
            <v>157900.50847326941</v>
          </cell>
          <cell r="N129">
            <v>153524.66048004973</v>
          </cell>
          <cell r="O129">
            <v>149079.30208685482</v>
          </cell>
          <cell r="P129">
            <v>144999.98974119755</v>
          </cell>
          <cell r="Q129">
            <v>140969.56078673695</v>
          </cell>
          <cell r="R129">
            <v>136586.06014102141</v>
          </cell>
          <cell r="S129">
            <v>132703.34440849314</v>
          </cell>
        </row>
        <row r="130">
          <cell r="D130">
            <v>187668.76899476795</v>
          </cell>
          <cell r="E130">
            <v>181149.17513502185</v>
          </cell>
          <cell r="F130">
            <v>174866.88160828687</v>
          </cell>
          <cell r="G130">
            <v>169949.93904099229</v>
          </cell>
          <cell r="H130">
            <v>166212.62253291131</v>
          </cell>
          <cell r="I130">
            <v>163813.61520346263</v>
          </cell>
          <cell r="J130">
            <v>163221.58877853514</v>
          </cell>
          <cell r="K130">
            <v>163569.71173152127</v>
          </cell>
          <cell r="L130">
            <v>163856.01703264675</v>
          </cell>
          <cell r="M130">
            <v>163458.2033386922</v>
          </cell>
          <cell r="N130">
            <v>162012.23355274979</v>
          </cell>
          <cell r="O130">
            <v>159101.4148645651</v>
          </cell>
          <cell r="P130">
            <v>154718.37261658275</v>
          </cell>
          <cell r="Q130">
            <v>149740.41897190473</v>
          </cell>
          <cell r="R130">
            <v>145291.98179921284</v>
          </cell>
          <cell r="S130">
            <v>140747.66501086415</v>
          </cell>
        </row>
        <row r="131">
          <cell r="D131">
            <v>188369.32807569485</v>
          </cell>
          <cell r="E131">
            <v>189433.03312837484</v>
          </cell>
          <cell r="F131">
            <v>190056.05235451259</v>
          </cell>
          <cell r="G131">
            <v>188580.1390939838</v>
          </cell>
          <cell r="H131">
            <v>184707.87520373281</v>
          </cell>
          <cell r="I131">
            <v>178775.80779666669</v>
          </cell>
          <cell r="J131">
            <v>172073.90157807278</v>
          </cell>
          <cell r="K131">
            <v>165747.1855489788</v>
          </cell>
          <cell r="L131">
            <v>160882.70824390865</v>
          </cell>
          <cell r="M131">
            <v>157138.82439279239</v>
          </cell>
          <cell r="N131">
            <v>154813.53267119545</v>
          </cell>
          <cell r="O131">
            <v>154266.63180956803</v>
          </cell>
          <cell r="P131">
            <v>154645.4897369954</v>
          </cell>
          <cell r="Q131">
            <v>154962.80773084381</v>
          </cell>
          <cell r="R131">
            <v>154604.71308347103</v>
          </cell>
          <cell r="S131">
            <v>153189.41446857594</v>
          </cell>
        </row>
        <row r="132">
          <cell r="D132">
            <v>173097.14011148774</v>
          </cell>
          <cell r="E132">
            <v>176257.58252958892</v>
          </cell>
          <cell r="F132">
            <v>178363.51770841761</v>
          </cell>
          <cell r="G132">
            <v>180289.80034058585</v>
          </cell>
          <cell r="H132">
            <v>181784.08919114931</v>
          </cell>
          <cell r="I132">
            <v>183040.12787144582</v>
          </cell>
          <cell r="J132">
            <v>183608.64238235666</v>
          </cell>
          <cell r="K132">
            <v>183875.45562115737</v>
          </cell>
          <cell r="L132">
            <v>182217.92398227041</v>
          </cell>
          <cell r="M132">
            <v>178371.01803244089</v>
          </cell>
          <cell r="N132">
            <v>172610.95929203203</v>
          </cell>
          <cell r="O132">
            <v>166073.44967285561</v>
          </cell>
          <cell r="P132">
            <v>159893.05706728352</v>
          </cell>
          <cell r="Q132">
            <v>155151.46053578253</v>
          </cell>
          <cell r="R132">
            <v>151515.77263498973</v>
          </cell>
          <cell r="S132">
            <v>149465.67251231711</v>
          </cell>
        </row>
        <row r="133">
          <cell r="D133">
            <v>177716.82685085732</v>
          </cell>
          <cell r="E133">
            <v>174744.23354785074</v>
          </cell>
          <cell r="F133">
            <v>172310.29843504712</v>
          </cell>
          <cell r="G133">
            <v>170590.66551213662</v>
          </cell>
          <cell r="H133">
            <v>169550.51129693413</v>
          </cell>
          <cell r="I133">
            <v>169047.82762607682</v>
          </cell>
          <cell r="J133">
            <v>171734.46779919672</v>
          </cell>
          <cell r="K133">
            <v>173376.34932852667</v>
          </cell>
          <cell r="L133">
            <v>174876.16151401401</v>
          </cell>
          <cell r="M133">
            <v>176320.86836176066</v>
          </cell>
          <cell r="N133">
            <v>177650.54947198485</v>
          </cell>
          <cell r="O133">
            <v>178293.73586598592</v>
          </cell>
          <cell r="P133">
            <v>178637.93465977962</v>
          </cell>
          <cell r="Q133">
            <v>177076.11059122923</v>
          </cell>
          <cell r="R133">
            <v>173356.9270048007</v>
          </cell>
          <cell r="S133">
            <v>167779.9756206928</v>
          </cell>
        </row>
        <row r="134">
          <cell r="D134">
            <v>165476.05810968974</v>
          </cell>
          <cell r="E134">
            <v>167390.81976630105</v>
          </cell>
          <cell r="F134">
            <v>169098.28390339937</v>
          </cell>
          <cell r="G134">
            <v>170764.132929207</v>
          </cell>
          <cell r="H134">
            <v>172348.96354697549</v>
          </cell>
          <cell r="I134">
            <v>173899.29327506191</v>
          </cell>
          <cell r="J134">
            <v>170748.20740924712</v>
          </cell>
          <cell r="K134">
            <v>168192.84088439523</v>
          </cell>
          <cell r="L134">
            <v>166388.28001720269</v>
          </cell>
          <cell r="M134">
            <v>165353.41727121768</v>
          </cell>
          <cell r="N134">
            <v>164958.65532925277</v>
          </cell>
          <cell r="O134">
            <v>167684.37821400625</v>
          </cell>
          <cell r="P134">
            <v>169379.81216096651</v>
          </cell>
          <cell r="Q134">
            <v>170934.4137193347</v>
          </cell>
          <cell r="R134">
            <v>172444.71648140429</v>
          </cell>
          <cell r="S134">
            <v>173858.12853240987</v>
          </cell>
        </row>
        <row r="135">
          <cell r="D135">
            <v>161478.86815365806</v>
          </cell>
          <cell r="E135">
            <v>162339.9799814529</v>
          </cell>
          <cell r="F135">
            <v>162732.38178014613</v>
          </cell>
          <cell r="G135">
            <v>162656.28590937442</v>
          </cell>
          <cell r="H135">
            <v>162017.45083310013</v>
          </cell>
          <cell r="I135">
            <v>160832.79936171733</v>
          </cell>
          <cell r="J135">
            <v>162504.67259660223</v>
          </cell>
          <cell r="K135">
            <v>164022.01787375048</v>
          </cell>
          <cell r="L135">
            <v>165551.19308273453</v>
          </cell>
          <cell r="M135">
            <v>167109.68883210758</v>
          </cell>
          <cell r="N135">
            <v>168736.34971275824</v>
          </cell>
          <cell r="O135">
            <v>165744.87218368106</v>
          </cell>
          <cell r="P135">
            <v>163330.53315521771</v>
          </cell>
          <cell r="Q135">
            <v>161648.5034317945</v>
          </cell>
          <cell r="R135">
            <v>160727.70166228616</v>
          </cell>
          <cell r="S135">
            <v>160452.25826801191</v>
          </cell>
        </row>
        <row r="136">
          <cell r="D136">
            <v>141124.62445666955</v>
          </cell>
          <cell r="E136">
            <v>144829.80112789347</v>
          </cell>
          <cell r="F136">
            <v>148314.896272413</v>
          </cell>
          <cell r="G136">
            <v>151328.76330449578</v>
          </cell>
          <cell r="H136">
            <v>153778.51061862867</v>
          </cell>
          <cell r="I136">
            <v>155683.75310601015</v>
          </cell>
          <cell r="J136">
            <v>156295.7378980463</v>
          </cell>
          <cell r="K136">
            <v>156511.93469359481</v>
          </cell>
          <cell r="L136">
            <v>156333.23576494143</v>
          </cell>
          <cell r="M136">
            <v>155724.41104125042</v>
          </cell>
          <cell r="N136">
            <v>154691.63933218789</v>
          </cell>
          <cell r="O136">
            <v>156427.85274140313</v>
          </cell>
          <cell r="P136">
            <v>158011.08134095304</v>
          </cell>
          <cell r="Q136">
            <v>159601.27114116299</v>
          </cell>
          <cell r="R136">
            <v>161222.73056776167</v>
          </cell>
          <cell r="S136">
            <v>162926.43578330692</v>
          </cell>
        </row>
        <row r="137">
          <cell r="D137">
            <v>121430.90789312642</v>
          </cell>
          <cell r="E137">
            <v>123313.40392426611</v>
          </cell>
          <cell r="F137">
            <v>125337.71774914056</v>
          </cell>
          <cell r="G137">
            <v>127827.43774787495</v>
          </cell>
          <cell r="H137">
            <v>130803.32793950017</v>
          </cell>
          <cell r="I137">
            <v>134067.57799010677</v>
          </cell>
          <cell r="J137">
            <v>137474.68556313973</v>
          </cell>
          <cell r="K137">
            <v>140690.22581132414</v>
          </cell>
          <cell r="L137">
            <v>143477.90069247613</v>
          </cell>
          <cell r="M137">
            <v>145812.52214097482</v>
          </cell>
          <cell r="N137">
            <v>147770.6954034541</v>
          </cell>
          <cell r="O137">
            <v>148479.07390754204</v>
          </cell>
          <cell r="P137">
            <v>148806.87220512232</v>
          </cell>
          <cell r="Q137">
            <v>148761.22107960365</v>
          </cell>
          <cell r="R137">
            <v>148306.06908658394</v>
          </cell>
          <cell r="S137">
            <v>147460.58068971618</v>
          </cell>
        </row>
        <row r="138">
          <cell r="D138">
            <v>96166.745837527138</v>
          </cell>
          <cell r="E138">
            <v>100424.87693574047</v>
          </cell>
          <cell r="F138">
            <v>104506.22506432609</v>
          </cell>
          <cell r="G138">
            <v>107968.92794973195</v>
          </cell>
          <cell r="H138">
            <v>110603.53609810529</v>
          </cell>
          <cell r="I138">
            <v>112573.6413725876</v>
          </cell>
          <cell r="J138">
            <v>114264.02353326957</v>
          </cell>
          <cell r="K138">
            <v>116125.59930813138</v>
          </cell>
          <cell r="L138">
            <v>118452.30169463118</v>
          </cell>
          <cell r="M138">
            <v>121308.68546274198</v>
          </cell>
          <cell r="N138">
            <v>124519.04142489302</v>
          </cell>
          <cell r="O138">
            <v>127858.58935135034</v>
          </cell>
          <cell r="P138">
            <v>131024.44798142338</v>
          </cell>
          <cell r="Q138">
            <v>133796.76154710847</v>
          </cell>
          <cell r="R138">
            <v>136156.90201732286</v>
          </cell>
          <cell r="S138">
            <v>138180.66841169563</v>
          </cell>
        </row>
        <row r="139">
          <cell r="D139">
            <v>78096.32474436042</v>
          </cell>
          <cell r="E139">
            <v>77929.960900109014</v>
          </cell>
          <cell r="F139">
            <v>78353.110799776972</v>
          </cell>
          <cell r="G139">
            <v>79637.587664625651</v>
          </cell>
          <cell r="H139">
            <v>81891.075104846866</v>
          </cell>
          <cell r="I139">
            <v>85267.364352391349</v>
          </cell>
          <cell r="J139">
            <v>89066.822809328325</v>
          </cell>
          <cell r="K139">
            <v>92717.755770462943</v>
          </cell>
          <cell r="L139">
            <v>95831.952490568641</v>
          </cell>
          <cell r="M139">
            <v>98269.241406423622</v>
          </cell>
          <cell r="N139">
            <v>100194.32641277339</v>
          </cell>
          <cell r="O139">
            <v>101884.98825419928</v>
          </cell>
          <cell r="P139">
            <v>103741.29112549046</v>
          </cell>
          <cell r="Q139">
            <v>106032.85800546272</v>
          </cell>
          <cell r="R139">
            <v>108813.54128483743</v>
          </cell>
          <cell r="S139">
            <v>111926.84044080612</v>
          </cell>
        </row>
        <row r="140">
          <cell r="D140">
            <v>62452.840467262002</v>
          </cell>
          <cell r="E140">
            <v>63211.114681959414</v>
          </cell>
          <cell r="F140">
            <v>63783.29262158816</v>
          </cell>
          <cell r="G140">
            <v>64227.063196680203</v>
          </cell>
          <cell r="H140">
            <v>64459.65541048321</v>
          </cell>
          <cell r="I140">
            <v>64189.239020359331</v>
          </cell>
          <cell r="J140">
            <v>64087.901034634786</v>
          </cell>
          <cell r="K140">
            <v>64516.667937931656</v>
          </cell>
          <cell r="L140">
            <v>65696.822849715667</v>
          </cell>
          <cell r="M140">
            <v>67738.904306673881</v>
          </cell>
          <cell r="N140">
            <v>70757.085042442297</v>
          </cell>
          <cell r="O140">
            <v>74126.682071470947</v>
          </cell>
          <cell r="P140">
            <v>77370.66785781541</v>
          </cell>
          <cell r="Q140">
            <v>80169.456795051665</v>
          </cell>
          <cell r="R140">
            <v>82414.328424488747</v>
          </cell>
          <cell r="S140">
            <v>84250.784571854732</v>
          </cell>
        </row>
        <row r="141">
          <cell r="D141">
            <v>68887.976024919408</v>
          </cell>
          <cell r="E141">
            <v>71046.276220104774</v>
          </cell>
          <cell r="F141">
            <v>73193.84377671218</v>
          </cell>
          <cell r="G141">
            <v>75251.76984806027</v>
          </cell>
          <cell r="H141">
            <v>77212.616416673103</v>
          </cell>
          <cell r="I141">
            <v>79099.329958514412</v>
          </cell>
          <cell r="J141">
            <v>80926.419793805078</v>
          </cell>
          <cell r="K141">
            <v>82645.938687416055</v>
          </cell>
          <cell r="L141">
            <v>84243.749014245681</v>
          </cell>
          <cell r="M141">
            <v>85698.455322330614</v>
          </cell>
          <cell r="N141">
            <v>86822.02764820389</v>
          </cell>
          <cell r="O141">
            <v>88091.72471927588</v>
          </cell>
          <cell r="P141">
            <v>89739.791079835864</v>
          </cell>
          <cell r="Q141">
            <v>91902.862731850008</v>
          </cell>
          <cell r="R141">
            <v>94615.393685452887</v>
          </cell>
          <cell r="S141">
            <v>97778.417505420075</v>
          </cell>
        </row>
      </sheetData>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TMS_old"/>
      <sheetName val="EB_2006"/>
      <sheetName val="EB_2012"/>
      <sheetName val="DME_EB_TS"/>
      <sheetName val="SAPIADiesel"/>
      <sheetName val="SAPIAGasoline"/>
      <sheetName val="NAAMSANational"/>
      <sheetName val="NAAMSAProvincial81"/>
      <sheetName val="NAAMSAProvincial95"/>
      <sheetName val="NAAMSAdefs"/>
      <sheetName val="SOL"/>
      <sheetName val="ScrappingModels"/>
      <sheetName val="ENATIS2020"/>
      <sheetName val="ENATIS"/>
      <sheetName val="NAAMSA_SAPIA_WG"/>
      <sheetName val="HistoricalSales"/>
      <sheetName val="Comp Assumptions"/>
      <sheetName val="FuelCell"/>
      <sheetName val="EV misc"/>
      <sheetName val="EV Charging Capex"/>
      <sheetName val="EV battery "/>
      <sheetName val="AEA2012 summary"/>
      <sheetName val="Vehicle data "/>
      <sheetName val="Vehicle data-NDC2020"/>
      <sheetName val="mileagedegrad"/>
      <sheetName val="Calib_1011"/>
      <sheetName val="Calib_1011_2"/>
      <sheetName val="REGIONS"/>
      <sheetName val="TRP"/>
      <sheetName val="ITEMS_Tech"/>
      <sheetName val="TS DTech"/>
      <sheetName val="TID DTech"/>
      <sheetName val="TRP_Retrofit"/>
      <sheetName val="ITEMS_DrTech"/>
      <sheetName val="ITEMS_UCrTech"/>
      <sheetName val="TS DrTech"/>
      <sheetName val="TS UCrTech"/>
      <sheetName val="Analytica"/>
      <sheetName val="TID DrTech"/>
      <sheetName val="TID UCrTech"/>
      <sheetName val="Scenarios"/>
      <sheetName val="NT_TRP"/>
      <sheetName val="ITEMS_nTech"/>
      <sheetName val="ITEMS_UCnTech"/>
      <sheetName val="TS DnTech"/>
      <sheetName val="TS UCnTech"/>
      <sheetName val="TID DnTech"/>
      <sheetName val="TID UCnTech"/>
      <sheetName val="TID SHAPE"/>
      <sheetName val="ITEMS_Comm"/>
      <sheetName val="TS BYDem"/>
      <sheetName val="TS COMFR"/>
      <sheetName val="TS FTech"/>
      <sheetName val="TID FTech"/>
      <sheetName val="TS Emiss"/>
      <sheetName val="TID Emiss"/>
      <sheetName val="NameConv"/>
      <sheetName val="AFA"/>
      <sheetName val="Deflator"/>
      <sheetName val="LogofChanges"/>
      <sheetName val="Units.CV"/>
    </sheetNames>
    <sheetDataSet>
      <sheetData sheetId="0"/>
      <sheetData sheetId="1">
        <row r="68">
          <cell r="AG68">
            <v>744.7462524</v>
          </cell>
        </row>
        <row r="69">
          <cell r="AI69">
            <v>35178.032837499988</v>
          </cell>
        </row>
        <row r="70">
          <cell r="AI70">
            <v>42764.908764899999</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27">
          <cell r="AC27">
            <v>2.5009999999999999</v>
          </cell>
        </row>
        <row r="28">
          <cell r="AC28">
            <v>5.0070955734014992</v>
          </cell>
        </row>
        <row r="29">
          <cell r="AC29">
            <v>7.9193584801965402</v>
          </cell>
        </row>
        <row r="30">
          <cell r="AC30">
            <v>10.886935146339562</v>
          </cell>
        </row>
        <row r="31">
          <cell r="AC31">
            <v>19.520776457571557</v>
          </cell>
        </row>
        <row r="32">
          <cell r="AC32">
            <v>17.889918497338776</v>
          </cell>
        </row>
        <row r="33">
          <cell r="AC33">
            <v>18.402975262404723</v>
          </cell>
        </row>
        <row r="34">
          <cell r="AC34">
            <v>21.907017031495844</v>
          </cell>
        </row>
        <row r="35">
          <cell r="AC35">
            <v>1.4841</v>
          </cell>
        </row>
        <row r="36">
          <cell r="AC36">
            <v>0.39784000000000003</v>
          </cell>
        </row>
        <row r="71">
          <cell r="K71">
            <v>25</v>
          </cell>
          <cell r="M71">
            <v>0.26825764964934912</v>
          </cell>
        </row>
        <row r="72">
          <cell r="K72">
            <v>14</v>
          </cell>
          <cell r="M72">
            <v>0.61864357616651655</v>
          </cell>
        </row>
        <row r="73">
          <cell r="M73">
            <v>0.1130987741841344</v>
          </cell>
        </row>
        <row r="77">
          <cell r="M77">
            <v>0.8536700316236453</v>
          </cell>
        </row>
        <row r="78">
          <cell r="M78">
            <v>0.10932215622366152</v>
          </cell>
        </row>
        <row r="79">
          <cell r="M79">
            <v>3.7007812152693054E-2</v>
          </cell>
        </row>
        <row r="86">
          <cell r="H86">
            <v>0.02</v>
          </cell>
          <cell r="I86">
            <v>0.53</v>
          </cell>
          <cell r="J86">
            <v>0.78378378378378377</v>
          </cell>
        </row>
        <row r="92">
          <cell r="H92">
            <v>2.035E-2</v>
          </cell>
        </row>
        <row r="93">
          <cell r="H93">
            <v>0.25</v>
          </cell>
          <cell r="I93">
            <v>0.31311637080867849</v>
          </cell>
          <cell r="J93">
            <v>0.41283463855351005</v>
          </cell>
        </row>
        <row r="96">
          <cell r="H96">
            <v>1.1000000000000001</v>
          </cell>
        </row>
        <row r="97">
          <cell r="H97">
            <v>300</v>
          </cell>
        </row>
        <row r="100">
          <cell r="H100">
            <v>0.55000000000000004</v>
          </cell>
        </row>
        <row r="101">
          <cell r="H101">
            <v>21.5</v>
          </cell>
        </row>
        <row r="102">
          <cell r="H102">
            <v>33.5</v>
          </cell>
        </row>
        <row r="113">
          <cell r="H113">
            <v>1.4</v>
          </cell>
          <cell r="I113">
            <v>1.4</v>
          </cell>
          <cell r="J113">
            <v>1.4</v>
          </cell>
          <cell r="K113">
            <v>1.4</v>
          </cell>
        </row>
        <row r="116">
          <cell r="K116">
            <v>0.50601376355767247</v>
          </cell>
        </row>
        <row r="118">
          <cell r="H118">
            <v>8.0274119837508469</v>
          </cell>
          <cell r="I118">
            <v>13.418073439870216</v>
          </cell>
          <cell r="J118">
            <v>15.663966300310799</v>
          </cell>
          <cell r="K118">
            <v>13.5</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ow r="9">
          <cell r="A9" t="str">
            <v/>
          </cell>
          <cell r="B9" t="str">
            <v>E</v>
          </cell>
          <cell r="C9" t="str">
            <v>TPPRSUV</v>
          </cell>
          <cell r="D9" t="str">
            <v>Transport Passenger SUV Priv.Veh.</v>
          </cell>
          <cell r="E9" t="str">
            <v>PJ</v>
          </cell>
          <cell r="F9" t="str">
            <v>COM,DEM,ANNUAL,RES</v>
          </cell>
        </row>
        <row r="10">
          <cell r="A10" t="str">
            <v/>
          </cell>
          <cell r="B10" t="str">
            <v>E</v>
          </cell>
          <cell r="C10" t="str">
            <v>TPPRCAR</v>
          </cell>
          <cell r="D10" t="str">
            <v>Transport Passenger Car Priv.Veh.</v>
          </cell>
          <cell r="E10" t="str">
            <v>PJ</v>
          </cell>
          <cell r="F10" t="str">
            <v>COM,DEM,ANNUAL,RES</v>
          </cell>
        </row>
        <row r="11">
          <cell r="A11" t="str">
            <v/>
          </cell>
          <cell r="B11" t="str">
            <v>E</v>
          </cell>
          <cell r="C11" t="str">
            <v>TPPRMOT</v>
          </cell>
          <cell r="D11" t="str">
            <v>Transport Passenger Moto Priv.Veh.</v>
          </cell>
          <cell r="E11" t="str">
            <v>PJ</v>
          </cell>
          <cell r="F11" t="str">
            <v>COM,DEM,ANNUAL,RES</v>
          </cell>
        </row>
        <row r="12">
          <cell r="A12" t="str">
            <v/>
          </cell>
          <cell r="B12" t="str">
            <v>E</v>
          </cell>
          <cell r="C12" t="str">
            <v>TPPUBUS</v>
          </cell>
          <cell r="D12" t="str">
            <v>Transport Passenger Bus</v>
          </cell>
          <cell r="E12" t="str">
            <v>PJ</v>
          </cell>
          <cell r="F12" t="str">
            <v>COM,DEM,ANNUAL,RES</v>
          </cell>
        </row>
        <row r="13">
          <cell r="A13" t="str">
            <v/>
          </cell>
          <cell r="B13" t="str">
            <v>E</v>
          </cell>
          <cell r="C13" t="str">
            <v>TPPUMBT</v>
          </cell>
          <cell r="D13" t="str">
            <v>Transport Passenger Minibus</v>
          </cell>
          <cell r="E13" t="str">
            <v>PJ</v>
          </cell>
          <cell r="F13" t="str">
            <v>COM,DEM,ANNUAL,RES</v>
          </cell>
        </row>
        <row r="14">
          <cell r="A14" t="str">
            <v/>
          </cell>
          <cell r="B14" t="str">
            <v>E</v>
          </cell>
          <cell r="C14" t="str">
            <v>TPPUBRT</v>
          </cell>
          <cell r="D14" t="str">
            <v>Transport Passenger BRT</v>
          </cell>
          <cell r="E14" t="str">
            <v>PJ</v>
          </cell>
          <cell r="F14" t="str">
            <v>COM,DEM,ANNUAL,RES</v>
          </cell>
        </row>
        <row r="15">
          <cell r="A15" t="str">
            <v/>
          </cell>
          <cell r="B15" t="str">
            <v>E</v>
          </cell>
          <cell r="C15" t="str">
            <v>TPPUMER</v>
          </cell>
          <cell r="D15" t="str">
            <v>Transport Passenger Metro Rail</v>
          </cell>
          <cell r="E15" t="str">
            <v>PJ</v>
          </cell>
          <cell r="F15" t="str">
            <v>COM,DEM,ANNUAL,RES</v>
          </cell>
        </row>
        <row r="16">
          <cell r="A16" t="str">
            <v/>
          </cell>
          <cell r="B16" t="str">
            <v>E</v>
          </cell>
          <cell r="C16" t="str">
            <v>TPPUGAT</v>
          </cell>
          <cell r="D16" t="str">
            <v>Transport Passenger Gautrain</v>
          </cell>
          <cell r="E16" t="str">
            <v>PJ</v>
          </cell>
          <cell r="F16" t="str">
            <v>COM,DEM,ANNUAL,RES</v>
          </cell>
        </row>
        <row r="17">
          <cell r="A17" t="str">
            <v>*</v>
          </cell>
        </row>
        <row r="18">
          <cell r="B18" t="str">
            <v>E</v>
          </cell>
          <cell r="C18" t="str">
            <v>TFLCV</v>
          </cell>
          <cell r="D18" t="str">
            <v>Transport Freight - LCV</v>
          </cell>
          <cell r="E18" t="str">
            <v>PJ</v>
          </cell>
          <cell r="F18" t="str">
            <v>COM,DEM,ANNUAL,RES</v>
          </cell>
        </row>
        <row r="19">
          <cell r="B19" t="str">
            <v>E</v>
          </cell>
          <cell r="C19" t="str">
            <v>TFHCV1</v>
          </cell>
          <cell r="D19" t="str">
            <v>Transport Freight - HCV1</v>
          </cell>
          <cell r="E19" t="str">
            <v>PJ</v>
          </cell>
          <cell r="F19" t="str">
            <v>COM,DEM,ANNUAL,RES</v>
          </cell>
        </row>
        <row r="20">
          <cell r="B20" t="str">
            <v>E</v>
          </cell>
          <cell r="C20" t="str">
            <v>TFHCV2</v>
          </cell>
          <cell r="D20" t="str">
            <v>Transport Freight - HCV2</v>
          </cell>
          <cell r="E20" t="str">
            <v>PJ</v>
          </cell>
          <cell r="F20" t="str">
            <v>COM,DEM,ANNUAL,RES</v>
          </cell>
        </row>
        <row r="21">
          <cell r="B21" t="str">
            <v>E</v>
          </cell>
          <cell r="C21" t="str">
            <v>TFHCV3</v>
          </cell>
          <cell r="D21" t="str">
            <v>Transport Freight - HCV3</v>
          </cell>
          <cell r="E21" t="str">
            <v>PJ</v>
          </cell>
          <cell r="F21" t="str">
            <v>COM,DEM,ANNUAL,RES</v>
          </cell>
        </row>
        <row r="22">
          <cell r="B22" t="str">
            <v>E</v>
          </cell>
          <cell r="C22" t="str">
            <v>TFHCV4</v>
          </cell>
          <cell r="D22" t="str">
            <v>Transport Freight - HCV4</v>
          </cell>
          <cell r="E22" t="str">
            <v>PJ</v>
          </cell>
          <cell r="F22" t="str">
            <v>COM,DEM,ANNUAL,RES</v>
          </cell>
        </row>
        <row r="23">
          <cell r="B23" t="str">
            <v>E</v>
          </cell>
          <cell r="C23" t="str">
            <v>TFHCV5</v>
          </cell>
          <cell r="D23" t="str">
            <v>Transport Freight - HCV5</v>
          </cell>
          <cell r="E23" t="str">
            <v>PJ</v>
          </cell>
          <cell r="F23" t="str">
            <v>COM,DEM,ANNUAL,RES</v>
          </cell>
        </row>
        <row r="24">
          <cell r="B24" t="str">
            <v>E</v>
          </cell>
          <cell r="C24" t="str">
            <v>TFHCV6</v>
          </cell>
          <cell r="D24" t="str">
            <v>Transport Freight - HCV6</v>
          </cell>
          <cell r="E24" t="str">
            <v>PJ</v>
          </cell>
          <cell r="F24" t="str">
            <v>COM,DEM,ANNUAL,RES</v>
          </cell>
        </row>
        <row r="25">
          <cell r="B25" t="str">
            <v>E</v>
          </cell>
          <cell r="C25" t="str">
            <v>TFHCV7</v>
          </cell>
          <cell r="D25" t="str">
            <v>Transport Freight - HCV7</v>
          </cell>
          <cell r="E25" t="str">
            <v>PJ</v>
          </cell>
          <cell r="F25" t="str">
            <v>COM,DEM,ANNUAL,RES</v>
          </cell>
        </row>
        <row r="26">
          <cell r="B26" t="str">
            <v>E</v>
          </cell>
          <cell r="C26" t="str">
            <v>TFHCV8</v>
          </cell>
          <cell r="D26" t="str">
            <v>Transport Freight - HCV8</v>
          </cell>
          <cell r="E26" t="str">
            <v>PJ</v>
          </cell>
          <cell r="F26" t="str">
            <v>COM,DEM,ANNUAL,RES</v>
          </cell>
        </row>
        <row r="27">
          <cell r="B27" t="str">
            <v>E</v>
          </cell>
          <cell r="C27" t="str">
            <v>TFHCV9</v>
          </cell>
          <cell r="D27" t="str">
            <v>Transport Freight - HCV9</v>
          </cell>
          <cell r="E27" t="str">
            <v>PJ</v>
          </cell>
          <cell r="F27" t="str">
            <v>COM,DEM,ANNUAL,RES</v>
          </cell>
        </row>
        <row r="28">
          <cell r="A28" t="str">
            <v/>
          </cell>
          <cell r="B28" t="str">
            <v>E</v>
          </cell>
          <cell r="C28" t="str">
            <v>TFRCO</v>
          </cell>
          <cell r="D28" t="str">
            <v>Transport Freight - Rail Corridor</v>
          </cell>
          <cell r="E28" t="str">
            <v>PJ</v>
          </cell>
          <cell r="F28" t="str">
            <v>COM,DEM,ANNUAL,RES</v>
          </cell>
        </row>
        <row r="29">
          <cell r="A29" t="str">
            <v/>
          </cell>
          <cell r="B29" t="str">
            <v>E</v>
          </cell>
          <cell r="C29" t="str">
            <v>TFROT</v>
          </cell>
          <cell r="D29" t="str">
            <v>Transport Freight - Rail Other</v>
          </cell>
          <cell r="E29" t="str">
            <v>PJ</v>
          </cell>
          <cell r="F29" t="str">
            <v>COM,DEM,ANNUAL,RES</v>
          </cell>
        </row>
        <row r="30">
          <cell r="A30" t="str">
            <v/>
          </cell>
          <cell r="B30" t="str">
            <v>E</v>
          </cell>
          <cell r="C30" t="str">
            <v>TFREX</v>
          </cell>
          <cell r="D30" t="str">
            <v>Transport Freight - Rail Export (bulk mining)</v>
          </cell>
          <cell r="E30" t="str">
            <v>PJ</v>
          </cell>
          <cell r="F30" t="str">
            <v>COM,DEM,ANNUAL,RES</v>
          </cell>
        </row>
        <row r="31">
          <cell r="A31" t="str">
            <v>*</v>
          </cell>
        </row>
        <row r="32">
          <cell r="A32" t="str">
            <v/>
          </cell>
          <cell r="B32" t="str">
            <v>E</v>
          </cell>
          <cell r="C32" t="str">
            <v>TFPIP</v>
          </cell>
          <cell r="D32" t="str">
            <v>Transport Other - Pipeline</v>
          </cell>
          <cell r="E32" t="str">
            <v>PJ</v>
          </cell>
          <cell r="F32" t="str">
            <v>COM,DEM,ANNUAL,RES</v>
          </cell>
        </row>
        <row r="33">
          <cell r="A33" t="str">
            <v/>
          </cell>
          <cell r="B33" t="str">
            <v>E</v>
          </cell>
          <cell r="C33" t="str">
            <v>TAIJET</v>
          </cell>
          <cell r="D33" t="str">
            <v xml:space="preserve">Transport Other -  Aviation Int Jet Fuel </v>
          </cell>
          <cell r="E33" t="str">
            <v>PJ</v>
          </cell>
          <cell r="F33" t="str">
            <v>COM,DEM,ANNUAL,RES</v>
          </cell>
        </row>
        <row r="34">
          <cell r="A34" t="str">
            <v/>
          </cell>
          <cell r="B34" t="str">
            <v>E</v>
          </cell>
          <cell r="C34" t="str">
            <v>TADJET</v>
          </cell>
          <cell r="D34" t="str">
            <v xml:space="preserve">Transport Other -  Aviation Dom Jet Fuel </v>
          </cell>
          <cell r="E34" t="str">
            <v>PJ</v>
          </cell>
          <cell r="F34" t="str">
            <v>COM,DEM,ANNUAL,RES</v>
          </cell>
        </row>
        <row r="35">
          <cell r="A35" t="str">
            <v/>
          </cell>
          <cell r="B35" t="str">
            <v>E</v>
          </cell>
          <cell r="C35" t="str">
            <v>TAOAG</v>
          </cell>
          <cell r="D35" t="str">
            <v>Transport Other - Aviation Gasoline</v>
          </cell>
          <cell r="E35" t="str">
            <v>PJ</v>
          </cell>
          <cell r="F35" t="str">
            <v>COM,DEM,ANNUAL,RES</v>
          </cell>
        </row>
        <row r="36">
          <cell r="A36" t="str">
            <v/>
          </cell>
          <cell r="B36" t="str">
            <v>E</v>
          </cell>
          <cell r="C36" t="str">
            <v>TSHFO</v>
          </cell>
          <cell r="D36" t="str">
            <v>Transport Other - HFO</v>
          </cell>
          <cell r="E36" t="str">
            <v>PJ</v>
          </cell>
          <cell r="F36" t="str">
            <v>COM,DEM,ANNUAL,RES</v>
          </cell>
        </row>
      </sheetData>
      <sheetData sheetId="50">
        <row r="10">
          <cell r="D10" t="str">
            <v>TPPRSUV</v>
          </cell>
          <cell r="J10">
            <v>10.115772764022024</v>
          </cell>
        </row>
        <row r="11">
          <cell r="D11" t="str">
            <v>TPPRCAR</v>
          </cell>
          <cell r="J11">
            <v>78.943288453349965</v>
          </cell>
        </row>
        <row r="12">
          <cell r="D12" t="str">
            <v>TPPRMOT</v>
          </cell>
          <cell r="J12">
            <v>4.788655061211033</v>
          </cell>
        </row>
        <row r="13">
          <cell r="D13" t="str">
            <v>TPPUBUS</v>
          </cell>
          <cell r="J13">
            <v>1.4990333520535337</v>
          </cell>
        </row>
        <row r="14">
          <cell r="D14" t="str">
            <v>TPPUMBT</v>
          </cell>
          <cell r="J14">
            <v>6.1732186716195621</v>
          </cell>
        </row>
        <row r="15">
          <cell r="D15" t="str">
            <v>TPPUBRT</v>
          </cell>
          <cell r="J15">
            <v>0</v>
          </cell>
        </row>
        <row r="16">
          <cell r="D16" t="str">
            <v>TPPUMER</v>
          </cell>
          <cell r="J16">
            <v>15.8</v>
          </cell>
        </row>
        <row r="17">
          <cell r="D17" t="str">
            <v>TPPUGAT</v>
          </cell>
          <cell r="J17">
            <v>0</v>
          </cell>
        </row>
        <row r="18">
          <cell r="D18">
            <v>0</v>
          </cell>
          <cell r="J18">
            <v>0</v>
          </cell>
        </row>
        <row r="19">
          <cell r="D19" t="str">
            <v>TFLCV</v>
          </cell>
          <cell r="J19">
            <v>43.510890756102256</v>
          </cell>
        </row>
        <row r="20">
          <cell r="D20" t="str">
            <v>TFHCV1</v>
          </cell>
          <cell r="J20">
            <v>3.6611476956493059</v>
          </cell>
        </row>
        <row r="21">
          <cell r="D21" t="str">
            <v>TFHCV2</v>
          </cell>
          <cell r="J21">
            <v>0.91016288033514725</v>
          </cell>
        </row>
        <row r="22">
          <cell r="D22" t="str">
            <v>TFHCV3</v>
          </cell>
          <cell r="J22">
            <v>3.0423873008641582</v>
          </cell>
        </row>
        <row r="23">
          <cell r="D23" t="str">
            <v>TFHCV4</v>
          </cell>
          <cell r="J23">
            <v>0.64156299948434192</v>
          </cell>
        </row>
        <row r="24">
          <cell r="D24" t="str">
            <v>TFHCV5</v>
          </cell>
          <cell r="J24">
            <v>0.28132785630344881</v>
          </cell>
        </row>
        <row r="25">
          <cell r="D25" t="str">
            <v>TFHCV6</v>
          </cell>
          <cell r="J25">
            <v>5.1541817584817791</v>
          </cell>
        </row>
        <row r="26">
          <cell r="D26" t="str">
            <v>TFHCV7</v>
          </cell>
          <cell r="J26">
            <v>1.9761616214119715</v>
          </cell>
        </row>
        <row r="27">
          <cell r="D27" t="str">
            <v>TFHCV8</v>
          </cell>
          <cell r="J27">
            <v>7.0701624395945725E-2</v>
          </cell>
        </row>
        <row r="28">
          <cell r="D28" t="str">
            <v>TFHCV9</v>
          </cell>
          <cell r="J28">
            <v>5.2818957554105039E-2</v>
          </cell>
        </row>
        <row r="29">
          <cell r="D29" t="str">
            <v>TFRCO</v>
          </cell>
          <cell r="J29">
            <v>22</v>
          </cell>
        </row>
        <row r="30">
          <cell r="D30" t="str">
            <v>TFROT</v>
          </cell>
          <cell r="J30">
            <v>25.1</v>
          </cell>
        </row>
        <row r="31">
          <cell r="D31" t="str">
            <v>TFREX</v>
          </cell>
          <cell r="J31">
            <v>82</v>
          </cell>
        </row>
        <row r="32">
          <cell r="D32">
            <v>0</v>
          </cell>
          <cell r="J32">
            <v>0</v>
          </cell>
        </row>
        <row r="33">
          <cell r="D33" t="str">
            <v>TFPIP</v>
          </cell>
          <cell r="J33">
            <v>0.820564128</v>
          </cell>
        </row>
        <row r="34">
          <cell r="D34" t="str">
            <v>TAIJET</v>
          </cell>
          <cell r="J34">
            <v>60.368000000000002</v>
          </cell>
        </row>
        <row r="35">
          <cell r="D35" t="str">
            <v>TADJET</v>
          </cell>
          <cell r="J35">
            <v>20.123000000000001</v>
          </cell>
        </row>
        <row r="36">
          <cell r="D36" t="str">
            <v>TAOAG</v>
          </cell>
          <cell r="J36">
            <v>1.0701311035156249</v>
          </cell>
        </row>
        <row r="37">
          <cell r="D37" t="str">
            <v>TSHFO</v>
          </cell>
          <cell r="J37">
            <v>4.5090000000000003</v>
          </cell>
        </row>
        <row r="38">
          <cell r="D38">
            <v>0</v>
          </cell>
          <cell r="J38">
            <v>0</v>
          </cell>
        </row>
        <row r="39">
          <cell r="D39"/>
          <cell r="J39"/>
        </row>
        <row r="40">
          <cell r="D40"/>
          <cell r="J40"/>
        </row>
        <row r="41">
          <cell r="D41"/>
          <cell r="J41"/>
        </row>
        <row r="42">
          <cell r="D42"/>
          <cell r="J42"/>
        </row>
        <row r="43">
          <cell r="D43"/>
          <cell r="J43"/>
        </row>
        <row r="44">
          <cell r="D44"/>
          <cell r="J44"/>
        </row>
        <row r="45">
          <cell r="D45"/>
          <cell r="J45"/>
        </row>
        <row r="46">
          <cell r="D46"/>
          <cell r="J46"/>
        </row>
        <row r="47">
          <cell r="D47"/>
          <cell r="J47"/>
        </row>
        <row r="48">
          <cell r="D48"/>
          <cell r="J48"/>
        </row>
        <row r="49">
          <cell r="D49"/>
          <cell r="J49"/>
        </row>
        <row r="50">
          <cell r="D50"/>
          <cell r="J50"/>
        </row>
        <row r="51">
          <cell r="D51"/>
          <cell r="J51"/>
        </row>
        <row r="52">
          <cell r="D52"/>
          <cell r="J52"/>
        </row>
        <row r="53">
          <cell r="D53"/>
          <cell r="J53"/>
        </row>
        <row r="54">
          <cell r="D54"/>
          <cell r="J54"/>
        </row>
        <row r="55">
          <cell r="D55"/>
          <cell r="J55"/>
        </row>
        <row r="56">
          <cell r="D56"/>
          <cell r="J56"/>
        </row>
        <row r="57">
          <cell r="D57"/>
          <cell r="J57"/>
        </row>
        <row r="58">
          <cell r="D58"/>
          <cell r="J58"/>
        </row>
        <row r="59">
          <cell r="D59"/>
          <cell r="J59"/>
        </row>
      </sheetData>
      <sheetData sheetId="51"/>
      <sheetData sheetId="52"/>
      <sheetData sheetId="53"/>
      <sheetData sheetId="54"/>
      <sheetData sheetId="55"/>
      <sheetData sheetId="56"/>
      <sheetData sheetId="57"/>
      <sheetData sheetId="58"/>
      <sheetData sheetId="59"/>
      <sheetData sheetId="6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 Log"/>
      <sheetName val="Index"/>
      <sheetName val="AGRIC RES"/>
      <sheetName val="Sources"/>
      <sheetName val="Appendix 1"/>
      <sheetName val="Appendix 2"/>
      <sheetName val="Appendix 3"/>
      <sheetName val="Appendix 4"/>
      <sheetName val="Appendix 5"/>
      <sheetName val="Appendix 6"/>
      <sheetName val="Appendix 7"/>
      <sheetName val="REGIONS"/>
      <sheetName val="Final Demand"/>
      <sheetName val="Sheet1"/>
      <sheetName val="AGR"/>
      <sheetName val="ITEMS_Tech"/>
      <sheetName val="TS DTech"/>
      <sheetName val="TS DMARK"/>
      <sheetName val="TID DTech"/>
      <sheetName val="ITEMS_Comm"/>
      <sheetName val="TS BYDem"/>
      <sheetName val="TS COMFR"/>
      <sheetName val="TS COMFR_10"/>
      <sheetName val="TS FTech"/>
      <sheetName val="TID FTech"/>
      <sheetName val="TS Emiss"/>
      <sheetName val="TID Emiss"/>
      <sheetName val="NameConv"/>
      <sheetName val="AFA"/>
      <sheetName val="TITLE PAGE"/>
      <sheetName val="TCH_AGR"/>
      <sheetName val="TS FLOSH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28">
          <cell r="B28" t="str">
            <v>AH</v>
          </cell>
        </row>
        <row r="29">
          <cell r="B29" t="str">
            <v>AP</v>
          </cell>
        </row>
        <row r="30">
          <cell r="B30" t="str">
            <v>AT</v>
          </cell>
        </row>
        <row r="31">
          <cell r="B31" t="str">
            <v>AI</v>
          </cell>
        </row>
        <row r="32">
          <cell r="B32" t="str">
            <v>AO</v>
          </cell>
        </row>
        <row r="36">
          <cell r="A36" t="str">
            <v>Agriculture - Heating</v>
          </cell>
          <cell r="B36" t="str">
            <v>AH</v>
          </cell>
        </row>
        <row r="37">
          <cell r="A37" t="str">
            <v>Agriculture - Processing</v>
          </cell>
          <cell r="B37" t="str">
            <v>AP</v>
          </cell>
        </row>
        <row r="38">
          <cell r="A38" t="str">
            <v>Agriculture - Traction</v>
          </cell>
          <cell r="B38" t="str">
            <v>AT</v>
          </cell>
        </row>
        <row r="39">
          <cell r="A39" t="str">
            <v>Agriculture - Irrigation</v>
          </cell>
          <cell r="B39" t="str">
            <v>AI</v>
          </cell>
        </row>
        <row r="40">
          <cell r="A40" t="str">
            <v>Agriculture - Other</v>
          </cell>
          <cell r="B40" t="str">
            <v>AO</v>
          </cell>
        </row>
      </sheetData>
      <sheetData sheetId="15"/>
      <sheetData sheetId="16"/>
      <sheetData sheetId="17"/>
      <sheetData sheetId="18"/>
      <sheetData sheetId="19"/>
      <sheetData sheetId="20">
        <row r="10">
          <cell r="J10">
            <v>2.5043970166379772</v>
          </cell>
        </row>
        <row r="11">
          <cell r="J11">
            <v>3.8349683201390801</v>
          </cell>
        </row>
        <row r="12">
          <cell r="J12">
            <v>14.570390350961301</v>
          </cell>
        </row>
        <row r="13">
          <cell r="J13">
            <v>5.0203080915278155</v>
          </cell>
        </row>
        <row r="14">
          <cell r="J14">
            <v>8.4310585921569263</v>
          </cell>
        </row>
      </sheetData>
      <sheetData sheetId="21"/>
      <sheetData sheetId="22"/>
      <sheetData sheetId="23"/>
      <sheetData sheetId="24"/>
      <sheetData sheetId="25"/>
      <sheetData sheetId="26"/>
      <sheetData sheetId="27"/>
      <sheetData sheetId="28"/>
      <sheetData sheetId="29" refreshError="1"/>
      <sheetData sheetId="30" refreshError="1"/>
      <sheetData sheetId="3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Index"/>
      <sheetName val="ChangeLog"/>
      <sheetName val="NameConv"/>
      <sheetName val="Industry desription"/>
      <sheetName val="SIC codes"/>
      <sheetName val="REGIONS"/>
      <sheetName val="Detailed GDP STATSSA"/>
      <sheetName val="GDP STATSSA"/>
      <sheetName val="Output compiled"/>
      <sheetName val="IND GDP statssa 2"/>
      <sheetName val="Ind output Mark"/>
      <sheetName val="Ind mining output STATSSA"/>
      <sheetName val="Ind Man output STATSSA"/>
      <sheetName val="supply and use tables"/>
      <sheetName val="DOE 2006 native units"/>
      <sheetName val="2006-2009"/>
      <sheetName val="Industry VA"/>
      <sheetName val="Sources"/>
      <sheetName val="1992-2006 industry"/>
      <sheetName val="DoE2013 Industry EB"/>
      <sheetName val="digest "/>
      <sheetName val="DMR1"/>
      <sheetName val="mining general info"/>
      <sheetName val="I&amp;S - prod"/>
      <sheetName val="I&amp;S - prod 2"/>
      <sheetName val="I&amp;S - prod 3"/>
      <sheetName val="End uses"/>
      <sheetName val="EIA end use"/>
      <sheetName val="Aluminium"/>
      <sheetName val="Eskom sales data"/>
      <sheetName val="Eskom Annual YB"/>
      <sheetName val="eskom yb sector sales"/>
      <sheetName val="NERSA Elec"/>
      <sheetName val="REPORT TABLES"/>
      <sheetName val="Tech Efficiencies"/>
      <sheetName val="Coal prices"/>
      <sheetName val="Electricity prices"/>
      <sheetName val="ELEC CALCS ADRIAN IGNORE"/>
      <sheetName val="IS-Items"/>
      <sheetName val="IS-TSData"/>
      <sheetName val="IS-TIDData"/>
      <sheetName val="Iron &amp; Steel"/>
      <sheetName val="FA-Items"/>
      <sheetName val="FA-TSData"/>
      <sheetName val="FA-TIDData"/>
      <sheetName val="FerroAlloys"/>
      <sheetName val="PP-Items"/>
      <sheetName val="PP-TSData"/>
      <sheetName val="PP-TIDData"/>
      <sheetName val="PP-TSData (2)"/>
      <sheetName val="PP update"/>
      <sheetName val="Aluminium - Items"/>
      <sheetName val="Aluminium - TIDData"/>
      <sheetName val="Aluminium - TSData"/>
      <sheetName val="Aluminium Data"/>
      <sheetName val="NMM-Items"/>
      <sheetName val="NMM-TSData"/>
      <sheetName val="NMM-TIDData"/>
      <sheetName val="NMM data"/>
      <sheetName val="Coking coal"/>
      <sheetName val="COGEN"/>
      <sheetName val="Payback from EIA"/>
      <sheetName val="SasolGasSales"/>
      <sheetName val="2012 SATIM EB"/>
      <sheetName val="2017 SATIM EB"/>
      <sheetName val="IND old - 2006BY"/>
      <sheetName val="IND2017"/>
      <sheetName val="IND"/>
      <sheetName val="PAMS"/>
      <sheetName val="ITEMS_Tech"/>
      <sheetName val="ITEMS_Comm"/>
      <sheetName val="TS DTech"/>
      <sheetName val="TS DMARK"/>
      <sheetName val="TID DTech"/>
      <sheetName val="TS BYDem"/>
      <sheetName val="TS COMFRN"/>
      <sheetName val="TS COMFR"/>
      <sheetName val="TS COMFRN_10"/>
      <sheetName val="TS COMFR_10"/>
      <sheetName val="TS ETech"/>
      <sheetName val="TID ETech"/>
      <sheetName val="TS GTech"/>
      <sheetName val="TID GTech"/>
      <sheetName val="TS FTech"/>
      <sheetName val="TID FTech"/>
      <sheetName val="TS Emiss"/>
      <sheetName val="TID Emiss"/>
      <sheetName val="AFA"/>
      <sheetName val="Sc1 Standards"/>
      <sheetName val="Sc2 Audits"/>
      <sheetName val="Sc3 En Man"/>
      <sheetName val="Sc4 Accreditation"/>
      <sheetName val="Sc5 Education"/>
      <sheetName val="Sc6 NEEA"/>
      <sheetName val="Sc7 Finance"/>
      <sheetName val="I&amp;S update to 2012"/>
      <sheetName val="PP update to 2012"/>
      <sheetName val="NMM 2012 Update"/>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ow r="24">
          <cell r="J24">
            <v>6.94</v>
          </cell>
          <cell r="K24">
            <v>7.1000000000000005</v>
          </cell>
          <cell r="L24">
            <v>6.5</v>
          </cell>
          <cell r="M24">
            <v>6.4000000000000012</v>
          </cell>
          <cell r="N24">
            <v>6.0910000000000002</v>
          </cell>
          <cell r="O24">
            <v>6.23</v>
          </cell>
          <cell r="P24">
            <v>6.3</v>
          </cell>
          <cell r="Q24">
            <v>6.1267974837582679</v>
          </cell>
          <cell r="R24">
            <v>5.0030232389251985</v>
          </cell>
        </row>
      </sheetData>
      <sheetData sheetId="41"/>
      <sheetData sheetId="42"/>
      <sheetData sheetId="43"/>
      <sheetData sheetId="44">
        <row r="2">
          <cell r="J2">
            <v>4.0820999999999996</v>
          </cell>
          <cell r="K2">
            <v>4.1753999999999998</v>
          </cell>
          <cell r="L2">
            <v>4.8628999999999998</v>
          </cell>
          <cell r="M2">
            <v>4.4805999999999999</v>
          </cell>
          <cell r="N2">
            <v>4.3260612235437241</v>
          </cell>
          <cell r="O2">
            <v>4.372754104082464</v>
          </cell>
        </row>
      </sheetData>
      <sheetData sheetId="45"/>
      <sheetData sheetId="46"/>
      <sheetData sheetId="47"/>
      <sheetData sheetId="48">
        <row r="28">
          <cell r="J28">
            <v>0.73711514499999997</v>
          </cell>
          <cell r="K28">
            <v>0.73711514499999997</v>
          </cell>
          <cell r="L28">
            <v>0.73711514499999997</v>
          </cell>
          <cell r="M28">
            <v>0.73711514499999997</v>
          </cell>
          <cell r="N28">
            <v>0.7</v>
          </cell>
          <cell r="O28">
            <v>0.65910719806663931</v>
          </cell>
        </row>
        <row r="29">
          <cell r="J29">
            <v>2.0533000000000001</v>
          </cell>
          <cell r="K29">
            <v>2.0786519999999999</v>
          </cell>
          <cell r="L29">
            <v>2.1040039999999998</v>
          </cell>
          <cell r="M29">
            <v>2.1293559999999996</v>
          </cell>
          <cell r="N29">
            <v>2.1547079999999994</v>
          </cell>
          <cell r="O29">
            <v>2.1800600000000001</v>
          </cell>
        </row>
      </sheetData>
      <sheetData sheetId="49"/>
      <sheetData sheetId="50"/>
      <sheetData sheetId="51"/>
      <sheetData sheetId="52"/>
      <sheetData sheetId="53"/>
      <sheetData sheetId="54"/>
      <sheetData sheetId="55"/>
      <sheetData sheetId="56"/>
      <sheetData sheetId="57">
        <row r="13">
          <cell r="J13">
            <v>3.2959999999999998</v>
          </cell>
          <cell r="K13">
            <v>4.5590000000000002</v>
          </cell>
          <cell r="L13">
            <v>5.8220999999999998</v>
          </cell>
          <cell r="M13">
            <v>7.0850999999999997</v>
          </cell>
          <cell r="N13">
            <v>8.3482000000000003</v>
          </cell>
          <cell r="O13">
            <v>9.6111784370000013</v>
          </cell>
        </row>
        <row r="14">
          <cell r="J14">
            <v>14.27</v>
          </cell>
          <cell r="K14">
            <v>14.368</v>
          </cell>
          <cell r="L14">
            <v>14.465999999999999</v>
          </cell>
          <cell r="M14">
            <v>14.564</v>
          </cell>
          <cell r="N14">
            <v>14.662000000000001</v>
          </cell>
          <cell r="O14">
            <v>14.759960880300349</v>
          </cell>
        </row>
        <row r="15">
          <cell r="J15">
            <v>1.27</v>
          </cell>
          <cell r="K15">
            <v>1.2484871200000001</v>
          </cell>
          <cell r="L15">
            <v>1.2269742400000001</v>
          </cell>
          <cell r="M15">
            <v>1.2054613600000001</v>
          </cell>
          <cell r="N15">
            <v>1.1839484800000002</v>
          </cell>
          <cell r="O15">
            <v>1.1624356</v>
          </cell>
        </row>
        <row r="16">
          <cell r="J16">
            <v>1.2</v>
          </cell>
          <cell r="K16">
            <v>1.1733333333333333</v>
          </cell>
          <cell r="L16">
            <v>1.1466666666666667</v>
          </cell>
          <cell r="M16">
            <v>1.1200000000000001</v>
          </cell>
          <cell r="N16">
            <v>1.1200000000000001</v>
          </cell>
          <cell r="O16">
            <v>1.3591716472036741</v>
          </cell>
        </row>
      </sheetData>
      <sheetData sheetId="58"/>
      <sheetData sheetId="59"/>
      <sheetData sheetId="60"/>
      <sheetData sheetId="61"/>
      <sheetData sheetId="62"/>
      <sheetData sheetId="63"/>
      <sheetData sheetId="64"/>
      <sheetData sheetId="65"/>
      <sheetData sheetId="66"/>
      <sheetData sheetId="67"/>
      <sheetData sheetId="68">
        <row r="10">
          <cell r="A10" t="str">
            <v>Mining</v>
          </cell>
          <cell r="B10" t="str">
            <v>MI</v>
          </cell>
          <cell r="M10">
            <v>1</v>
          </cell>
        </row>
        <row r="11">
          <cell r="A11" t="str">
            <v>Ferro Alloys</v>
          </cell>
          <cell r="B11" t="str">
            <v>FA</v>
          </cell>
          <cell r="M11">
            <v>0</v>
          </cell>
        </row>
        <row r="12">
          <cell r="A12" t="str">
            <v>Iron &amp; Steel</v>
          </cell>
          <cell r="B12" t="str">
            <v>IS</v>
          </cell>
          <cell r="M12">
            <v>0</v>
          </cell>
        </row>
        <row r="14">
          <cell r="A14" t="str">
            <v>Chemicals</v>
          </cell>
          <cell r="B14" t="str">
            <v>CP</v>
          </cell>
          <cell r="M14">
            <v>1</v>
          </cell>
        </row>
        <row r="15">
          <cell r="A15" t="str">
            <v>Precious &amp; Non-Ferrous metals</v>
          </cell>
          <cell r="B15" t="str">
            <v>NF</v>
          </cell>
          <cell r="M15">
            <v>1</v>
          </cell>
        </row>
        <row r="16">
          <cell r="A16" t="str">
            <v>N.M.M Products</v>
          </cell>
          <cell r="B16" t="str">
            <v>NM</v>
          </cell>
          <cell r="M16">
            <v>0</v>
          </cell>
        </row>
        <row r="17">
          <cell r="A17" t="str">
            <v>Food, Beverage &amp; Tabacco</v>
          </cell>
          <cell r="B17" t="str">
            <v>FB</v>
          </cell>
          <cell r="M17">
            <v>1</v>
          </cell>
        </row>
        <row r="18">
          <cell r="A18" t="str">
            <v>Pulp &amp; Paper Products</v>
          </cell>
          <cell r="B18" t="str">
            <v>PP</v>
          </cell>
          <cell r="M18">
            <v>0</v>
          </cell>
        </row>
        <row r="19">
          <cell r="A19" t="str">
            <v>Other</v>
          </cell>
          <cell r="B19" t="str">
            <v>OT</v>
          </cell>
          <cell r="M19">
            <v>1</v>
          </cell>
        </row>
      </sheetData>
      <sheetData sheetId="69"/>
      <sheetData sheetId="70"/>
      <sheetData sheetId="71">
        <row r="35">
          <cell r="A35" t="str">
            <v>*</v>
          </cell>
          <cell r="B35" t="str">
            <v>E</v>
          </cell>
          <cell r="C35" t="str">
            <v/>
          </cell>
          <cell r="D35" t="str">
            <v/>
          </cell>
          <cell r="E35" t="str">
            <v>PJ</v>
          </cell>
          <cell r="F35" t="str">
            <v>COM,NRG,ANNUAL,FOSSIL</v>
          </cell>
        </row>
        <row r="36">
          <cell r="A36" t="str">
            <v>*</v>
          </cell>
          <cell r="B36" t="str">
            <v>Demand Commodities</v>
          </cell>
          <cell r="C36"/>
          <cell r="D36"/>
          <cell r="E36"/>
          <cell r="F36"/>
        </row>
        <row r="37">
          <cell r="A37" t="str">
            <v/>
          </cell>
          <cell r="B37" t="str">
            <v>E</v>
          </cell>
          <cell r="C37" t="str">
            <v>IMIK</v>
          </cell>
          <cell r="D37" t="str">
            <v>Industry-Mining-Elec Heating - Electricity</v>
          </cell>
          <cell r="E37" t="str">
            <v>PJ</v>
          </cell>
          <cell r="F37" t="str">
            <v>COM,DEM,ANNUAL,RES</v>
          </cell>
        </row>
        <row r="38">
          <cell r="A38" t="str">
            <v/>
          </cell>
          <cell r="B38" t="str">
            <v>E</v>
          </cell>
          <cell r="C38" t="str">
            <v>IMIA</v>
          </cell>
          <cell r="D38" t="str">
            <v>Industry-Mining-Compressed air - Electricity</v>
          </cell>
          <cell r="E38" t="str">
            <v>PJ</v>
          </cell>
          <cell r="F38" t="str">
            <v>COM,DEM,ANNUAL,RES</v>
          </cell>
        </row>
        <row r="39">
          <cell r="A39" t="str">
            <v/>
          </cell>
          <cell r="B39" t="str">
            <v>E</v>
          </cell>
          <cell r="C39" t="str">
            <v>IMIL</v>
          </cell>
          <cell r="D39" t="str">
            <v>Industry-Mining-Lighting - Electricity</v>
          </cell>
          <cell r="E39" t="str">
            <v>PJ</v>
          </cell>
          <cell r="F39" t="str">
            <v>COM,DEM,ANNUAL,RES</v>
          </cell>
        </row>
        <row r="40">
          <cell r="A40" t="str">
            <v/>
          </cell>
          <cell r="B40" t="str">
            <v>E</v>
          </cell>
          <cell r="C40" t="str">
            <v>IMIC</v>
          </cell>
          <cell r="D40" t="str">
            <v>Industry-Mining-Cooling - Electricity</v>
          </cell>
          <cell r="E40" t="str">
            <v>PJ</v>
          </cell>
          <cell r="F40" t="str">
            <v>COM,DEM,ANNUAL,RES</v>
          </cell>
        </row>
        <row r="41">
          <cell r="A41" t="str">
            <v/>
          </cell>
          <cell r="B41" t="str">
            <v>E</v>
          </cell>
          <cell r="C41" t="str">
            <v>IMIH</v>
          </cell>
          <cell r="D41" t="str">
            <v>Industry-Mining-HVAC - Electricity</v>
          </cell>
          <cell r="E41" t="str">
            <v>PJ</v>
          </cell>
          <cell r="F41" t="str">
            <v>COM,DEM,ANNUAL,RES</v>
          </cell>
        </row>
        <row r="42">
          <cell r="A42" t="str">
            <v/>
          </cell>
          <cell r="B42" t="str">
            <v>E</v>
          </cell>
          <cell r="C42" t="str">
            <v>IMIP</v>
          </cell>
          <cell r="D42" t="str">
            <v>Industry-Mining-Pumping - Electricity</v>
          </cell>
          <cell r="E42" t="str">
            <v>PJ</v>
          </cell>
          <cell r="F42" t="str">
            <v>COM,DEM,ANNUAL,RES</v>
          </cell>
        </row>
        <row r="43">
          <cell r="A43" t="str">
            <v/>
          </cell>
          <cell r="B43" t="str">
            <v>E</v>
          </cell>
          <cell r="C43" t="str">
            <v>IMIF</v>
          </cell>
          <cell r="D43" t="str">
            <v>Industry-Mining-Fans - Electricity</v>
          </cell>
          <cell r="E43" t="str">
            <v>PJ</v>
          </cell>
          <cell r="F43" t="str">
            <v>COM,DEM,ANNUAL,RES</v>
          </cell>
        </row>
        <row r="44">
          <cell r="A44" t="str">
            <v/>
          </cell>
          <cell r="B44" t="str">
            <v>E</v>
          </cell>
          <cell r="C44" t="str">
            <v>IMIO</v>
          </cell>
          <cell r="D44" t="str">
            <v>Industry-Mining-Other motive - Electricity</v>
          </cell>
          <cell r="E44" t="str">
            <v>PJ</v>
          </cell>
          <cell r="F44" t="str">
            <v>COM,DEM,ANNUAL,RES</v>
          </cell>
        </row>
        <row r="45">
          <cell r="A45" t="str">
            <v/>
          </cell>
          <cell r="B45" t="str">
            <v>E</v>
          </cell>
          <cell r="C45" t="str">
            <v>IMIE</v>
          </cell>
          <cell r="D45" t="str">
            <v>Industry-Mining-Electrochemical - Electricity</v>
          </cell>
          <cell r="E45" t="str">
            <v>PJ</v>
          </cell>
          <cell r="F45" t="str">
            <v>COM,DEM,ANNUAL,RES</v>
          </cell>
        </row>
        <row r="46">
          <cell r="A46" t="str">
            <v>*</v>
          </cell>
          <cell r="B46" t="str">
            <v>E</v>
          </cell>
          <cell r="C46">
            <v>0</v>
          </cell>
          <cell r="D46" t="str">
            <v/>
          </cell>
          <cell r="E46" t="str">
            <v>PJ</v>
          </cell>
          <cell r="F46" t="str">
            <v>COM,DEM,ANNUAL,RES</v>
          </cell>
        </row>
        <row r="47">
          <cell r="A47" t="str">
            <v/>
          </cell>
          <cell r="B47" t="str">
            <v>E</v>
          </cell>
          <cell r="C47" t="str">
            <v>IMIS</v>
          </cell>
          <cell r="D47" t="str">
            <v>Industry-Mining-boiler/process heating - Coal - Existing</v>
          </cell>
          <cell r="E47" t="str">
            <v>PJ</v>
          </cell>
          <cell r="F47" t="str">
            <v>COM,DEM,ANNUAL,RES</v>
          </cell>
        </row>
        <row r="48">
          <cell r="A48" t="str">
            <v/>
          </cell>
          <cell r="B48" t="str">
            <v>E</v>
          </cell>
          <cell r="C48" t="str">
            <v>IMIS</v>
          </cell>
          <cell r="D48" t="str">
            <v>Industry-Mining-boiler/process heating - Gas - Existing</v>
          </cell>
          <cell r="E48" t="str">
            <v>PJ</v>
          </cell>
          <cell r="F48" t="str">
            <v>COM,DEM,ANNUAL,RES</v>
          </cell>
        </row>
        <row r="49">
          <cell r="A49" t="str">
            <v/>
          </cell>
          <cell r="B49" t="str">
            <v>E</v>
          </cell>
          <cell r="C49" t="str">
            <v>IMIS</v>
          </cell>
          <cell r="D49" t="str">
            <v>Industry-Mining-boiler/process heating - Oil HFO - Existing</v>
          </cell>
          <cell r="E49" t="str">
            <v>PJ</v>
          </cell>
          <cell r="F49" t="str">
            <v>COM,DEM,ANNUAL,RES</v>
          </cell>
        </row>
        <row r="50">
          <cell r="A50" t="str">
            <v/>
          </cell>
          <cell r="B50" t="str">
            <v>E</v>
          </cell>
          <cell r="C50" t="str">
            <v>IMIS</v>
          </cell>
          <cell r="D50" t="str">
            <v>Industry-Mining-boiler/process heating - Oil LPG - Existing</v>
          </cell>
          <cell r="E50" t="str">
            <v>PJ</v>
          </cell>
          <cell r="F50" t="str">
            <v>COM,DEM,ANNUAL,RES</v>
          </cell>
        </row>
        <row r="51">
          <cell r="A51" t="str">
            <v/>
          </cell>
          <cell r="B51" t="str">
            <v>E</v>
          </cell>
          <cell r="C51" t="str">
            <v>IMIS</v>
          </cell>
          <cell r="D51" t="str">
            <v>Industry-Mining-boiler/process heating - Electricity - Existing</v>
          </cell>
          <cell r="E51" t="str">
            <v>PJ</v>
          </cell>
          <cell r="F51" t="str">
            <v>COM,DEM,ANNUAL,RES</v>
          </cell>
        </row>
        <row r="52">
          <cell r="A52" t="str">
            <v/>
          </cell>
          <cell r="B52" t="str">
            <v>E</v>
          </cell>
          <cell r="C52" t="str">
            <v>IMIS</v>
          </cell>
          <cell r="D52" t="str">
            <v>Industry-Mining-boiler/process heating - Waste - Existing</v>
          </cell>
          <cell r="E52" t="str">
            <v>PJ</v>
          </cell>
          <cell r="F52" t="str">
            <v>COM,DEM,ANNUAL,RES</v>
          </cell>
        </row>
        <row r="53">
          <cell r="A53" t="str">
            <v>*</v>
          </cell>
          <cell r="B53" t="str">
            <v>E</v>
          </cell>
          <cell r="C53">
            <v>0</v>
          </cell>
          <cell r="D53" t="str">
            <v/>
          </cell>
          <cell r="E53" t="str">
            <v>PJ</v>
          </cell>
          <cell r="F53" t="str">
            <v>COM,DEM,ANNUAL,RES</v>
          </cell>
        </row>
        <row r="54">
          <cell r="A54" t="str">
            <v/>
          </cell>
          <cell r="B54" t="str">
            <v>E</v>
          </cell>
          <cell r="C54" t="str">
            <v>IMIR</v>
          </cell>
          <cell r="D54" t="str">
            <v>Industry-Mining-Transport - Oil Diesel - Existing</v>
          </cell>
          <cell r="E54" t="str">
            <v>PJ</v>
          </cell>
          <cell r="F54" t="str">
            <v>COM,DEM,ANNUAL,RES</v>
          </cell>
        </row>
        <row r="55">
          <cell r="A55" t="str">
            <v>*</v>
          </cell>
          <cell r="B55" t="str">
            <v>E</v>
          </cell>
          <cell r="C55" t="str">
            <v>Useful Energy Service</v>
          </cell>
          <cell r="D55" t="str">
            <v/>
          </cell>
          <cell r="E55" t="str">
            <v>PJ</v>
          </cell>
          <cell r="F55" t="str">
            <v>COM,DEM,ANNUAL,RES</v>
          </cell>
        </row>
        <row r="56">
          <cell r="A56" t="str">
            <v>*</v>
          </cell>
          <cell r="B56" t="str">
            <v>E</v>
          </cell>
          <cell r="C56">
            <v>0</v>
          </cell>
          <cell r="D56" t="str">
            <v/>
          </cell>
          <cell r="E56" t="str">
            <v>PJ</v>
          </cell>
          <cell r="F56" t="str">
            <v>COM,DEM,ANNUAL,RES</v>
          </cell>
        </row>
        <row r="57">
          <cell r="A57" t="str">
            <v>*</v>
          </cell>
          <cell r="B57" t="str">
            <v>E</v>
          </cell>
          <cell r="C57">
            <v>2</v>
          </cell>
          <cell r="D57" t="str">
            <v/>
          </cell>
          <cell r="E57" t="str">
            <v>PJ</v>
          </cell>
          <cell r="F57" t="str">
            <v>COM,DEM,ANNUAL,RES</v>
          </cell>
        </row>
        <row r="58">
          <cell r="A58" t="str">
            <v>*</v>
          </cell>
          <cell r="B58" t="str">
            <v>E</v>
          </cell>
          <cell r="C58" t="str">
            <v>IFAK</v>
          </cell>
          <cell r="D58" t="str">
            <v/>
          </cell>
          <cell r="E58" t="str">
            <v>PJ</v>
          </cell>
          <cell r="F58" t="str">
            <v>COM,DEM,ANNUAL,RES</v>
          </cell>
        </row>
        <row r="59">
          <cell r="A59" t="str">
            <v>*</v>
          </cell>
          <cell r="B59" t="str">
            <v>E</v>
          </cell>
          <cell r="C59" t="str">
            <v>IFAA</v>
          </cell>
          <cell r="D59" t="str">
            <v/>
          </cell>
          <cell r="E59" t="str">
            <v>PJ</v>
          </cell>
          <cell r="F59" t="str">
            <v>COM,DEM,ANNUAL,RES</v>
          </cell>
        </row>
        <row r="60">
          <cell r="A60" t="str">
            <v>*</v>
          </cell>
          <cell r="B60" t="str">
            <v>E</v>
          </cell>
          <cell r="C60" t="str">
            <v>IFAL</v>
          </cell>
          <cell r="D60" t="str">
            <v/>
          </cell>
          <cell r="E60" t="str">
            <v>PJ</v>
          </cell>
          <cell r="F60" t="str">
            <v>COM,DEM,ANNUAL,RES</v>
          </cell>
        </row>
        <row r="61">
          <cell r="A61" t="str">
            <v>*</v>
          </cell>
          <cell r="B61" t="str">
            <v>E</v>
          </cell>
          <cell r="C61" t="str">
            <v>IFAC</v>
          </cell>
          <cell r="D61" t="str">
            <v/>
          </cell>
          <cell r="E61" t="str">
            <v>PJ</v>
          </cell>
          <cell r="F61" t="str">
            <v>COM,DEM,ANNUAL,RES</v>
          </cell>
        </row>
        <row r="62">
          <cell r="A62" t="str">
            <v>*</v>
          </cell>
          <cell r="B62" t="str">
            <v>E</v>
          </cell>
          <cell r="C62" t="str">
            <v>IFAH</v>
          </cell>
          <cell r="D62" t="str">
            <v/>
          </cell>
          <cell r="E62" t="str">
            <v>PJ</v>
          </cell>
          <cell r="F62" t="str">
            <v>COM,DEM,ANNUAL,RES</v>
          </cell>
        </row>
        <row r="63">
          <cell r="A63" t="str">
            <v>*</v>
          </cell>
          <cell r="B63" t="str">
            <v>E</v>
          </cell>
          <cell r="C63" t="str">
            <v>IFAP</v>
          </cell>
          <cell r="D63" t="str">
            <v/>
          </cell>
          <cell r="E63" t="str">
            <v>PJ</v>
          </cell>
          <cell r="F63" t="str">
            <v>COM,DEM,ANNUAL,RES</v>
          </cell>
        </row>
        <row r="64">
          <cell r="A64" t="str">
            <v>*</v>
          </cell>
          <cell r="B64" t="str">
            <v>E</v>
          </cell>
          <cell r="C64" t="str">
            <v>IFAF</v>
          </cell>
          <cell r="D64" t="str">
            <v/>
          </cell>
          <cell r="E64" t="str">
            <v>PJ</v>
          </cell>
          <cell r="F64" t="str">
            <v>COM,DEM,ANNUAL,RES</v>
          </cell>
        </row>
        <row r="65">
          <cell r="A65" t="str">
            <v>*</v>
          </cell>
          <cell r="B65" t="str">
            <v>E</v>
          </cell>
          <cell r="C65" t="str">
            <v>IFAO</v>
          </cell>
          <cell r="D65" t="str">
            <v/>
          </cell>
          <cell r="E65" t="str">
            <v>PJ</v>
          </cell>
          <cell r="F65" t="str">
            <v>COM,DEM,ANNUAL,RES</v>
          </cell>
        </row>
        <row r="66">
          <cell r="A66" t="str">
            <v>*</v>
          </cell>
          <cell r="B66" t="str">
            <v>E</v>
          </cell>
          <cell r="C66" t="str">
            <v>IFAE</v>
          </cell>
          <cell r="D66" t="str">
            <v/>
          </cell>
          <cell r="E66" t="str">
            <v>PJ</v>
          </cell>
          <cell r="F66" t="str">
            <v>COM,DEM,ANNUAL,RES</v>
          </cell>
        </row>
        <row r="67">
          <cell r="A67" t="str">
            <v>*</v>
          </cell>
          <cell r="B67" t="str">
            <v>E</v>
          </cell>
          <cell r="C67">
            <v>0</v>
          </cell>
          <cell r="D67" t="str">
            <v/>
          </cell>
          <cell r="E67" t="str">
            <v>PJ</v>
          </cell>
          <cell r="F67" t="str">
            <v>COM,DEM,ANNUAL,RES</v>
          </cell>
        </row>
        <row r="68">
          <cell r="A68" t="str">
            <v>*</v>
          </cell>
          <cell r="B68" t="str">
            <v>E</v>
          </cell>
          <cell r="C68" t="str">
            <v>IFAS</v>
          </cell>
          <cell r="D68" t="str">
            <v/>
          </cell>
          <cell r="E68" t="str">
            <v>PJ</v>
          </cell>
          <cell r="F68" t="str">
            <v>COM,DEM,ANNUAL,RES</v>
          </cell>
        </row>
        <row r="69">
          <cell r="A69" t="str">
            <v>*</v>
          </cell>
          <cell r="B69" t="str">
            <v>E</v>
          </cell>
          <cell r="C69" t="str">
            <v>IFAS</v>
          </cell>
          <cell r="D69" t="str">
            <v/>
          </cell>
          <cell r="E69" t="str">
            <v>PJ</v>
          </cell>
          <cell r="F69" t="str">
            <v>COM,DEM,ANNUAL,RES</v>
          </cell>
        </row>
        <row r="70">
          <cell r="A70" t="str">
            <v>*</v>
          </cell>
          <cell r="B70" t="str">
            <v>E</v>
          </cell>
          <cell r="C70" t="str">
            <v>IFAS</v>
          </cell>
          <cell r="D70" t="str">
            <v/>
          </cell>
          <cell r="E70" t="str">
            <v>PJ</v>
          </cell>
          <cell r="F70" t="str">
            <v>COM,DEM,ANNUAL,RES</v>
          </cell>
        </row>
        <row r="71">
          <cell r="A71" t="str">
            <v>*</v>
          </cell>
          <cell r="B71" t="str">
            <v>E</v>
          </cell>
          <cell r="C71" t="str">
            <v>IFAS</v>
          </cell>
          <cell r="D71" t="str">
            <v/>
          </cell>
          <cell r="E71" t="str">
            <v>PJ</v>
          </cell>
          <cell r="F71" t="str">
            <v>COM,DEM,ANNUAL,RES</v>
          </cell>
        </row>
        <row r="72">
          <cell r="A72" t="str">
            <v>*</v>
          </cell>
          <cell r="B72" t="str">
            <v>E</v>
          </cell>
          <cell r="C72" t="str">
            <v>IFAS</v>
          </cell>
          <cell r="D72" t="str">
            <v/>
          </cell>
          <cell r="E72" t="str">
            <v>PJ</v>
          </cell>
          <cell r="F72" t="str">
            <v>COM,DEM,ANNUAL,RES</v>
          </cell>
        </row>
        <row r="73">
          <cell r="A73" t="str">
            <v>*</v>
          </cell>
          <cell r="B73" t="str">
            <v>E</v>
          </cell>
          <cell r="C73" t="str">
            <v>IFAS</v>
          </cell>
          <cell r="D73" t="str">
            <v/>
          </cell>
          <cell r="E73" t="str">
            <v>PJ</v>
          </cell>
          <cell r="F73" t="str">
            <v>COM,DEM,ANNUAL,RES</v>
          </cell>
        </row>
        <row r="74">
          <cell r="A74" t="str">
            <v>*</v>
          </cell>
          <cell r="B74" t="str">
            <v>E</v>
          </cell>
          <cell r="C74">
            <v>0</v>
          </cell>
          <cell r="D74" t="str">
            <v/>
          </cell>
          <cell r="E74" t="str">
            <v>PJ</v>
          </cell>
          <cell r="F74" t="str">
            <v>COM,DEM,ANNUAL,RES</v>
          </cell>
        </row>
        <row r="75">
          <cell r="A75" t="str">
            <v>*</v>
          </cell>
          <cell r="B75" t="str">
            <v>E</v>
          </cell>
          <cell r="C75" t="str">
            <v>IFAR</v>
          </cell>
          <cell r="D75" t="str">
            <v/>
          </cell>
          <cell r="E75" t="str">
            <v>PJ</v>
          </cell>
          <cell r="F75" t="str">
            <v>COM,DEM,ANNUAL,RES</v>
          </cell>
        </row>
        <row r="76">
          <cell r="A76" t="str">
            <v>*</v>
          </cell>
          <cell r="B76" t="str">
            <v>E</v>
          </cell>
          <cell r="C76" t="str">
            <v>Useful Energy Service</v>
          </cell>
          <cell r="D76" t="str">
            <v/>
          </cell>
          <cell r="E76" t="str">
            <v>PJ</v>
          </cell>
          <cell r="F76" t="str">
            <v>COM,DEM,ANNUAL,RES</v>
          </cell>
        </row>
        <row r="77">
          <cell r="A77" t="str">
            <v>*</v>
          </cell>
          <cell r="B77" t="str">
            <v>E</v>
          </cell>
          <cell r="C77">
            <v>0</v>
          </cell>
          <cell r="D77" t="str">
            <v/>
          </cell>
          <cell r="E77" t="str">
            <v>PJ</v>
          </cell>
          <cell r="F77" t="str">
            <v>COM,DEM,ANNUAL,RES</v>
          </cell>
        </row>
        <row r="78">
          <cell r="A78" t="str">
            <v>*</v>
          </cell>
          <cell r="B78" t="str">
            <v>E</v>
          </cell>
          <cell r="C78">
            <v>2</v>
          </cell>
          <cell r="D78" t="str">
            <v/>
          </cell>
          <cell r="E78" t="str">
            <v>PJ</v>
          </cell>
          <cell r="F78" t="str">
            <v>COM,DEM,ANNUAL,RES</v>
          </cell>
        </row>
        <row r="79">
          <cell r="A79" t="str">
            <v>*</v>
          </cell>
          <cell r="B79" t="str">
            <v>E</v>
          </cell>
          <cell r="C79" t="str">
            <v>IISK</v>
          </cell>
          <cell r="D79" t="str">
            <v/>
          </cell>
          <cell r="E79" t="str">
            <v>PJ</v>
          </cell>
          <cell r="F79" t="str">
            <v>COM,DEM,ANNUAL,RES</v>
          </cell>
        </row>
        <row r="80">
          <cell r="A80" t="str">
            <v>*</v>
          </cell>
          <cell r="B80" t="str">
            <v>E</v>
          </cell>
          <cell r="C80" t="str">
            <v>IISA</v>
          </cell>
          <cell r="D80" t="str">
            <v/>
          </cell>
          <cell r="E80" t="str">
            <v>PJ</v>
          </cell>
          <cell r="F80" t="str">
            <v>COM,DEM,ANNUAL,RES</v>
          </cell>
        </row>
        <row r="81">
          <cell r="A81" t="str">
            <v>*</v>
          </cell>
          <cell r="B81" t="str">
            <v>E</v>
          </cell>
          <cell r="C81" t="str">
            <v>IISL</v>
          </cell>
          <cell r="D81" t="str">
            <v/>
          </cell>
          <cell r="E81" t="str">
            <v>PJ</v>
          </cell>
          <cell r="F81" t="str">
            <v>COM,DEM,ANNUAL,RES</v>
          </cell>
        </row>
        <row r="82">
          <cell r="A82" t="str">
            <v>*</v>
          </cell>
          <cell r="B82" t="str">
            <v>E</v>
          </cell>
          <cell r="C82" t="str">
            <v>IISC</v>
          </cell>
          <cell r="D82" t="str">
            <v/>
          </cell>
          <cell r="E82" t="str">
            <v>PJ</v>
          </cell>
          <cell r="F82" t="str">
            <v>COM,DEM,ANNUAL,RES</v>
          </cell>
        </row>
        <row r="83">
          <cell r="A83" t="str">
            <v>*</v>
          </cell>
          <cell r="B83" t="str">
            <v>E</v>
          </cell>
          <cell r="C83" t="str">
            <v>IISH</v>
          </cell>
          <cell r="D83" t="str">
            <v/>
          </cell>
          <cell r="E83" t="str">
            <v>PJ</v>
          </cell>
          <cell r="F83" t="str">
            <v>COM,DEM,ANNUAL,RES</v>
          </cell>
        </row>
        <row r="84">
          <cell r="A84" t="str">
            <v>*</v>
          </cell>
          <cell r="B84" t="str">
            <v>E</v>
          </cell>
          <cell r="C84" t="str">
            <v>IISP</v>
          </cell>
          <cell r="D84" t="str">
            <v/>
          </cell>
          <cell r="E84" t="str">
            <v>PJ</v>
          </cell>
          <cell r="F84" t="str">
            <v>COM,DEM,ANNUAL,RES</v>
          </cell>
        </row>
        <row r="85">
          <cell r="A85" t="str">
            <v>*</v>
          </cell>
          <cell r="B85" t="str">
            <v>E</v>
          </cell>
          <cell r="C85" t="str">
            <v>IISF</v>
          </cell>
          <cell r="D85" t="str">
            <v/>
          </cell>
          <cell r="E85" t="str">
            <v>PJ</v>
          </cell>
          <cell r="F85" t="str">
            <v>COM,DEM,ANNUAL,RES</v>
          </cell>
        </row>
        <row r="86">
          <cell r="A86" t="str">
            <v>*</v>
          </cell>
          <cell r="B86" t="str">
            <v>E</v>
          </cell>
          <cell r="C86" t="str">
            <v>IISO</v>
          </cell>
          <cell r="D86" t="str">
            <v/>
          </cell>
          <cell r="E86" t="str">
            <v>PJ</v>
          </cell>
          <cell r="F86" t="str">
            <v>COM,DEM,ANNUAL,RES</v>
          </cell>
        </row>
        <row r="87">
          <cell r="A87" t="str">
            <v>*</v>
          </cell>
          <cell r="B87" t="str">
            <v>E</v>
          </cell>
          <cell r="C87" t="str">
            <v>IISE</v>
          </cell>
          <cell r="D87" t="str">
            <v/>
          </cell>
          <cell r="E87" t="str">
            <v>PJ</v>
          </cell>
          <cell r="F87" t="str">
            <v>COM,DEM,ANNUAL,RES</v>
          </cell>
        </row>
        <row r="88">
          <cell r="A88" t="str">
            <v>*</v>
          </cell>
          <cell r="B88" t="str">
            <v>E</v>
          </cell>
          <cell r="C88" t="str">
            <v xml:space="preserve"> </v>
          </cell>
          <cell r="D88" t="str">
            <v/>
          </cell>
          <cell r="E88" t="str">
            <v>PJ</v>
          </cell>
          <cell r="F88" t="str">
            <v>COM,DEM,ANNUAL,RES</v>
          </cell>
        </row>
        <row r="89">
          <cell r="A89" t="str">
            <v>*</v>
          </cell>
          <cell r="B89" t="str">
            <v>E</v>
          </cell>
          <cell r="C89" t="str">
            <v>IISS</v>
          </cell>
          <cell r="D89" t="str">
            <v/>
          </cell>
          <cell r="E89" t="str">
            <v>PJ</v>
          </cell>
          <cell r="F89" t="str">
            <v>COM,DEM,ANNUAL,RES</v>
          </cell>
        </row>
        <row r="90">
          <cell r="A90" t="str">
            <v>*</v>
          </cell>
          <cell r="B90" t="str">
            <v>E</v>
          </cell>
          <cell r="C90" t="str">
            <v>IISS</v>
          </cell>
          <cell r="D90" t="str">
            <v/>
          </cell>
          <cell r="E90" t="str">
            <v>PJ</v>
          </cell>
          <cell r="F90" t="str">
            <v>COM,DEM,ANNUAL,RES</v>
          </cell>
        </row>
        <row r="91">
          <cell r="A91" t="str">
            <v>*</v>
          </cell>
          <cell r="B91" t="str">
            <v>E</v>
          </cell>
          <cell r="C91" t="str">
            <v>IISS</v>
          </cell>
          <cell r="D91" t="str">
            <v/>
          </cell>
          <cell r="E91" t="str">
            <v>PJ</v>
          </cell>
          <cell r="F91" t="str">
            <v>COM,DEM,ANNUAL,RES</v>
          </cell>
        </row>
        <row r="92">
          <cell r="A92" t="str">
            <v>*</v>
          </cell>
          <cell r="B92" t="str">
            <v>E</v>
          </cell>
          <cell r="C92" t="str">
            <v>IISS</v>
          </cell>
          <cell r="D92" t="str">
            <v/>
          </cell>
          <cell r="E92" t="str">
            <v>PJ</v>
          </cell>
          <cell r="F92" t="str">
            <v>COM,DEM,ANNUAL,RES</v>
          </cell>
        </row>
        <row r="93">
          <cell r="A93" t="str">
            <v>*</v>
          </cell>
          <cell r="B93" t="str">
            <v>E</v>
          </cell>
          <cell r="C93" t="str">
            <v>IISS</v>
          </cell>
          <cell r="D93" t="str">
            <v/>
          </cell>
          <cell r="E93" t="str">
            <v>PJ</v>
          </cell>
          <cell r="F93" t="str">
            <v>COM,DEM,ANNUAL,RES</v>
          </cell>
        </row>
        <row r="94">
          <cell r="A94" t="str">
            <v>*</v>
          </cell>
          <cell r="B94" t="str">
            <v>E</v>
          </cell>
          <cell r="C94" t="str">
            <v>IISS</v>
          </cell>
          <cell r="D94" t="str">
            <v/>
          </cell>
          <cell r="E94" t="str">
            <v>PJ</v>
          </cell>
          <cell r="F94" t="str">
            <v>COM,DEM,ANNUAL,RES</v>
          </cell>
        </row>
        <row r="95">
          <cell r="A95" t="str">
            <v>*</v>
          </cell>
          <cell r="B95" t="str">
            <v>E</v>
          </cell>
          <cell r="C95">
            <v>0</v>
          </cell>
          <cell r="D95" t="str">
            <v/>
          </cell>
          <cell r="E95" t="str">
            <v>PJ</v>
          </cell>
          <cell r="F95" t="str">
            <v>COM,DEM,ANNUAL,RES</v>
          </cell>
        </row>
        <row r="96">
          <cell r="A96" t="str">
            <v>*</v>
          </cell>
          <cell r="B96" t="str">
            <v>E</v>
          </cell>
          <cell r="C96" t="str">
            <v>IIST</v>
          </cell>
          <cell r="D96" t="str">
            <v/>
          </cell>
          <cell r="E96" t="str">
            <v>PJ</v>
          </cell>
          <cell r="F96" t="str">
            <v>COM,DEM,ANNUAL,RES</v>
          </cell>
        </row>
        <row r="97">
          <cell r="A97" t="str">
            <v>*</v>
          </cell>
          <cell r="B97" t="str">
            <v>E</v>
          </cell>
          <cell r="C97" t="str">
            <v>Useful Energy Service</v>
          </cell>
          <cell r="D97" t="str">
            <v/>
          </cell>
          <cell r="E97" t="str">
            <v>PJ</v>
          </cell>
          <cell r="F97" t="str">
            <v>COM,DEM,ANNUAL,RES</v>
          </cell>
        </row>
        <row r="98">
          <cell r="A98" t="str">
            <v>*</v>
          </cell>
          <cell r="B98" t="str">
            <v>E</v>
          </cell>
          <cell r="C98">
            <v>0</v>
          </cell>
          <cell r="D98" t="str">
            <v/>
          </cell>
          <cell r="E98" t="str">
            <v>PJ</v>
          </cell>
          <cell r="F98" t="str">
            <v>COM,DEM,ANNUAL,RES</v>
          </cell>
        </row>
        <row r="99">
          <cell r="A99" t="str">
            <v>*</v>
          </cell>
          <cell r="B99" t="str">
            <v>E</v>
          </cell>
          <cell r="C99">
            <v>2</v>
          </cell>
          <cell r="D99" t="str">
            <v/>
          </cell>
          <cell r="E99" t="str">
            <v>PJ</v>
          </cell>
          <cell r="F99" t="str">
            <v>COM,DEM,ANNUAL,RES</v>
          </cell>
        </row>
        <row r="100">
          <cell r="A100" t="str">
            <v/>
          </cell>
          <cell r="B100" t="str">
            <v>E</v>
          </cell>
          <cell r="C100" t="str">
            <v>ICPK</v>
          </cell>
          <cell r="D100" t="str">
            <v>Industry-Chemicals-Elec Heating - Electricity</v>
          </cell>
          <cell r="E100" t="str">
            <v>PJ</v>
          </cell>
          <cell r="F100" t="str">
            <v>COM,DEM,ANNUAL,RES</v>
          </cell>
        </row>
        <row r="101">
          <cell r="A101" t="str">
            <v/>
          </cell>
          <cell r="B101" t="str">
            <v>E</v>
          </cell>
          <cell r="C101" t="str">
            <v>ICPA</v>
          </cell>
          <cell r="D101" t="str">
            <v>Industry-Chemicals-Compressed air - Electricity</v>
          </cell>
          <cell r="E101" t="str">
            <v>PJ</v>
          </cell>
          <cell r="F101" t="str">
            <v>COM,DEM,ANNUAL,RES</v>
          </cell>
        </row>
        <row r="102">
          <cell r="A102" t="str">
            <v/>
          </cell>
          <cell r="B102" t="str">
            <v>E</v>
          </cell>
          <cell r="C102" t="str">
            <v>ICPL</v>
          </cell>
          <cell r="D102" t="str">
            <v>Industry-Chemicals-Lighting - Electricity</v>
          </cell>
          <cell r="E102" t="str">
            <v>PJ</v>
          </cell>
          <cell r="F102" t="str">
            <v>COM,DEM,ANNUAL,RES</v>
          </cell>
        </row>
        <row r="103">
          <cell r="A103" t="str">
            <v/>
          </cell>
          <cell r="B103" t="str">
            <v>E</v>
          </cell>
          <cell r="C103" t="str">
            <v>ICPC</v>
          </cell>
          <cell r="D103" t="str">
            <v>Industry-Chemicals-Cooling - Electricity</v>
          </cell>
          <cell r="E103" t="str">
            <v>PJ</v>
          </cell>
          <cell r="F103" t="str">
            <v>COM,DEM,ANNUAL,RES</v>
          </cell>
        </row>
        <row r="104">
          <cell r="A104" t="str">
            <v/>
          </cell>
          <cell r="B104" t="str">
            <v>E</v>
          </cell>
          <cell r="C104" t="str">
            <v>ICPH</v>
          </cell>
          <cell r="D104" t="str">
            <v>Industry-Chemicals-HVAC - Electricity</v>
          </cell>
          <cell r="E104" t="str">
            <v>PJ</v>
          </cell>
          <cell r="F104" t="str">
            <v>COM,DEM,ANNUAL,RES</v>
          </cell>
        </row>
        <row r="105">
          <cell r="A105" t="str">
            <v/>
          </cell>
          <cell r="B105" t="str">
            <v>E</v>
          </cell>
          <cell r="C105" t="str">
            <v>ICPP</v>
          </cell>
          <cell r="D105" t="str">
            <v>Industry-Chemicals-Pumping - Electricity</v>
          </cell>
          <cell r="E105" t="str">
            <v>PJ</v>
          </cell>
          <cell r="F105" t="str">
            <v>COM,DEM,ANNUAL,RES</v>
          </cell>
        </row>
        <row r="106">
          <cell r="A106" t="str">
            <v/>
          </cell>
          <cell r="B106" t="str">
            <v>E</v>
          </cell>
          <cell r="C106" t="str">
            <v>ICPF</v>
          </cell>
          <cell r="D106" t="str">
            <v>Industry-Chemicals-Fans - Electricity</v>
          </cell>
          <cell r="E106" t="str">
            <v>PJ</v>
          </cell>
          <cell r="F106" t="str">
            <v>COM,DEM,ANNUAL,RES</v>
          </cell>
        </row>
        <row r="107">
          <cell r="A107" t="str">
            <v/>
          </cell>
          <cell r="B107" t="str">
            <v>E</v>
          </cell>
          <cell r="C107" t="str">
            <v>ICPO</v>
          </cell>
          <cell r="D107" t="str">
            <v>Industry-Chemicals-Other motive - Electricity</v>
          </cell>
          <cell r="E107" t="str">
            <v>PJ</v>
          </cell>
          <cell r="F107" t="str">
            <v>COM,DEM,ANNUAL,RES</v>
          </cell>
        </row>
        <row r="108">
          <cell r="A108" t="str">
            <v/>
          </cell>
          <cell r="B108" t="str">
            <v>E</v>
          </cell>
          <cell r="C108" t="str">
            <v>ICPE</v>
          </cell>
          <cell r="D108" t="str">
            <v>Industry-Chemicals-Electrochemical - Electricity</v>
          </cell>
          <cell r="E108" t="str">
            <v>PJ</v>
          </cell>
          <cell r="F108" t="str">
            <v>COM,DEM,ANNUAL,RES</v>
          </cell>
        </row>
        <row r="109">
          <cell r="A109" t="str">
            <v>*</v>
          </cell>
          <cell r="B109" t="str">
            <v>E</v>
          </cell>
          <cell r="C109" t="str">
            <v xml:space="preserve"> </v>
          </cell>
          <cell r="D109" t="str">
            <v/>
          </cell>
          <cell r="E109" t="str">
            <v>PJ</v>
          </cell>
          <cell r="F109" t="str">
            <v>COM,DEM,ANNUAL,RES</v>
          </cell>
        </row>
        <row r="110">
          <cell r="A110" t="str">
            <v/>
          </cell>
          <cell r="B110" t="str">
            <v>E</v>
          </cell>
          <cell r="C110" t="str">
            <v>ICPS</v>
          </cell>
          <cell r="D110" t="str">
            <v>Industry-Chemicals-boiler/process heating - Coal - Existing</v>
          </cell>
          <cell r="E110" t="str">
            <v>PJ</v>
          </cell>
          <cell r="F110" t="str">
            <v>COM,DEM,ANNUAL,RES</v>
          </cell>
        </row>
        <row r="111">
          <cell r="A111" t="str">
            <v/>
          </cell>
          <cell r="B111" t="str">
            <v>E</v>
          </cell>
          <cell r="C111" t="str">
            <v>ICPS</v>
          </cell>
          <cell r="D111" t="str">
            <v>Industry-Chemicals-boiler/process heating - Gas - Existing</v>
          </cell>
          <cell r="E111" t="str">
            <v>PJ</v>
          </cell>
          <cell r="F111" t="str">
            <v>COM,DEM,ANNUAL,RES</v>
          </cell>
        </row>
        <row r="112">
          <cell r="A112" t="str">
            <v/>
          </cell>
          <cell r="B112" t="str">
            <v>E</v>
          </cell>
          <cell r="C112" t="str">
            <v>ICPS</v>
          </cell>
          <cell r="D112" t="str">
            <v>Industry-Chemicals-boiler/process heating - Oil HFO - Existing</v>
          </cell>
          <cell r="E112" t="str">
            <v>PJ</v>
          </cell>
          <cell r="F112" t="str">
            <v>COM,DEM,ANNUAL,RES</v>
          </cell>
        </row>
        <row r="113">
          <cell r="A113" t="str">
            <v/>
          </cell>
          <cell r="B113" t="str">
            <v>E</v>
          </cell>
          <cell r="C113" t="str">
            <v>ICPS</v>
          </cell>
          <cell r="D113" t="str">
            <v>Industry-Chemicals-boiler/process heating - Oil LPG - Existing</v>
          </cell>
          <cell r="E113" t="str">
            <v>PJ</v>
          </cell>
          <cell r="F113" t="str">
            <v>COM,DEM,ANNUAL,RES</v>
          </cell>
        </row>
        <row r="114">
          <cell r="A114" t="str">
            <v/>
          </cell>
          <cell r="B114" t="str">
            <v>E</v>
          </cell>
          <cell r="C114" t="str">
            <v>ICPS</v>
          </cell>
          <cell r="D114" t="str">
            <v>Industry-Chemicals-boiler/process heating - Electricity - Existing</v>
          </cell>
          <cell r="E114" t="str">
            <v>PJ</v>
          </cell>
          <cell r="F114" t="str">
            <v>COM,DEM,ANNUAL,RES</v>
          </cell>
        </row>
        <row r="115">
          <cell r="A115" t="str">
            <v/>
          </cell>
          <cell r="B115" t="str">
            <v>E</v>
          </cell>
          <cell r="C115" t="str">
            <v>ICPS</v>
          </cell>
          <cell r="D115" t="str">
            <v>Industry-Chemicals-boiler/process heating - Waste - Existing</v>
          </cell>
          <cell r="E115" t="str">
            <v>PJ</v>
          </cell>
          <cell r="F115" t="str">
            <v>COM,DEM,ANNUAL,RES</v>
          </cell>
        </row>
        <row r="116">
          <cell r="A116" t="str">
            <v>*</v>
          </cell>
          <cell r="B116" t="str">
            <v>E</v>
          </cell>
          <cell r="C116">
            <v>0</v>
          </cell>
          <cell r="D116" t="str">
            <v/>
          </cell>
          <cell r="E116" t="str">
            <v>PJ</v>
          </cell>
          <cell r="F116" t="str">
            <v>COM,DEM,ANNUAL,RES</v>
          </cell>
        </row>
        <row r="117">
          <cell r="A117" t="str">
            <v/>
          </cell>
          <cell r="B117" t="str">
            <v>E</v>
          </cell>
          <cell r="C117" t="str">
            <v>ICPT</v>
          </cell>
          <cell r="D117" t="str">
            <v>Industry-Chemicals-Ancillary - Gas - Existing</v>
          </cell>
          <cell r="E117" t="str">
            <v>PJ</v>
          </cell>
          <cell r="F117" t="str">
            <v>COM,DEM,ANNUAL,RES</v>
          </cell>
        </row>
        <row r="118">
          <cell r="A118" t="str">
            <v>*</v>
          </cell>
          <cell r="B118" t="str">
            <v>E</v>
          </cell>
          <cell r="C118" t="str">
            <v>Useful Energy Service</v>
          </cell>
          <cell r="D118" t="str">
            <v/>
          </cell>
          <cell r="E118" t="str">
            <v>PJ</v>
          </cell>
          <cell r="F118" t="str">
            <v>COM,DEM,ANNUAL,RES</v>
          </cell>
        </row>
        <row r="119">
          <cell r="A119" t="str">
            <v>*</v>
          </cell>
          <cell r="B119" t="str">
            <v>E</v>
          </cell>
          <cell r="C119">
            <v>0</v>
          </cell>
          <cell r="D119" t="str">
            <v/>
          </cell>
          <cell r="E119" t="str">
            <v>PJ</v>
          </cell>
          <cell r="F119" t="str">
            <v>COM,DEM,ANNUAL,RES</v>
          </cell>
        </row>
        <row r="120">
          <cell r="A120" t="str">
            <v>*</v>
          </cell>
          <cell r="B120" t="str">
            <v>E</v>
          </cell>
          <cell r="C120">
            <v>2</v>
          </cell>
          <cell r="D120" t="str">
            <v/>
          </cell>
          <cell r="E120" t="str">
            <v>PJ</v>
          </cell>
          <cell r="F120" t="str">
            <v>COM,DEM,ANNUAL,RES</v>
          </cell>
        </row>
        <row r="121">
          <cell r="A121" t="str">
            <v/>
          </cell>
          <cell r="B121" t="str">
            <v>E</v>
          </cell>
          <cell r="C121" t="str">
            <v>INFK</v>
          </cell>
          <cell r="D121" t="str">
            <v>Industry-Precious &amp; Non-Ferrous metals-Elec Heating - Electricity</v>
          </cell>
          <cell r="E121" t="str">
            <v>PJ</v>
          </cell>
          <cell r="F121" t="str">
            <v>COM,DEM,ANNUAL,RES</v>
          </cell>
        </row>
        <row r="122">
          <cell r="A122" t="str">
            <v/>
          </cell>
          <cell r="B122" t="str">
            <v>E</v>
          </cell>
          <cell r="C122" t="str">
            <v>INFA</v>
          </cell>
          <cell r="D122" t="str">
            <v>Industry-Precious &amp; Non-Ferrous metals-Compressed air - Electricity</v>
          </cell>
          <cell r="E122" t="str">
            <v>PJ</v>
          </cell>
          <cell r="F122" t="str">
            <v>COM,DEM,ANNUAL,RES</v>
          </cell>
        </row>
        <row r="123">
          <cell r="A123" t="str">
            <v/>
          </cell>
          <cell r="B123" t="str">
            <v>E</v>
          </cell>
          <cell r="C123" t="str">
            <v>INFL</v>
          </cell>
          <cell r="D123" t="str">
            <v>Industry-Precious &amp; Non-Ferrous metals-Lighting - Electricity</v>
          </cell>
          <cell r="E123" t="str">
            <v>PJ</v>
          </cell>
          <cell r="F123" t="str">
            <v>COM,DEM,ANNUAL,RES</v>
          </cell>
        </row>
        <row r="124">
          <cell r="A124" t="str">
            <v/>
          </cell>
          <cell r="B124" t="str">
            <v>E</v>
          </cell>
          <cell r="C124" t="str">
            <v>INFC</v>
          </cell>
          <cell r="D124" t="str">
            <v>Industry-Precious &amp; Non-Ferrous metals-Cooling - Electricity</v>
          </cell>
          <cell r="E124" t="str">
            <v>PJ</v>
          </cell>
          <cell r="F124" t="str">
            <v>COM,DEM,ANNUAL,RES</v>
          </cell>
        </row>
        <row r="125">
          <cell r="A125" t="str">
            <v/>
          </cell>
          <cell r="B125" t="str">
            <v>E</v>
          </cell>
          <cell r="C125" t="str">
            <v>INFH</v>
          </cell>
          <cell r="D125" t="str">
            <v>Industry-Precious &amp; Non-Ferrous metals-HVAC - Electricity</v>
          </cell>
          <cell r="E125" t="str">
            <v>PJ</v>
          </cell>
          <cell r="F125" t="str">
            <v>COM,DEM,ANNUAL,RES</v>
          </cell>
        </row>
        <row r="126">
          <cell r="A126" t="str">
            <v/>
          </cell>
          <cell r="B126" t="str">
            <v>E</v>
          </cell>
          <cell r="C126" t="str">
            <v>INFP</v>
          </cell>
          <cell r="D126" t="str">
            <v>Industry-Precious &amp; Non-Ferrous metals-Pumping - Electricity</v>
          </cell>
          <cell r="E126" t="str">
            <v>PJ</v>
          </cell>
          <cell r="F126" t="str">
            <v>COM,DEM,ANNUAL,RES</v>
          </cell>
        </row>
        <row r="127">
          <cell r="A127" t="str">
            <v/>
          </cell>
          <cell r="B127" t="str">
            <v>E</v>
          </cell>
          <cell r="C127" t="str">
            <v>INFF</v>
          </cell>
          <cell r="D127" t="str">
            <v>Industry-Precious &amp; Non-Ferrous metals-Fans - Electricity</v>
          </cell>
          <cell r="E127" t="str">
            <v>PJ</v>
          </cell>
          <cell r="F127" t="str">
            <v>COM,DEM,ANNUAL,RES</v>
          </cell>
        </row>
        <row r="128">
          <cell r="A128" t="str">
            <v/>
          </cell>
          <cell r="B128" t="str">
            <v>E</v>
          </cell>
          <cell r="C128" t="str">
            <v>INFO</v>
          </cell>
          <cell r="D128" t="str">
            <v>Industry-Precious &amp; Non-Ferrous metals-Other motive - Electricity</v>
          </cell>
          <cell r="E128" t="str">
            <v>PJ</v>
          </cell>
          <cell r="F128" t="str">
            <v>COM,DEM,ANNUAL,RES</v>
          </cell>
        </row>
        <row r="129">
          <cell r="A129" t="str">
            <v/>
          </cell>
          <cell r="B129" t="str">
            <v>E</v>
          </cell>
          <cell r="C129" t="str">
            <v>INFE</v>
          </cell>
          <cell r="D129" t="str">
            <v>Industry-Precious &amp; Non-Ferrous metals-Electrochemical - Electricity</v>
          </cell>
          <cell r="E129" t="str">
            <v>PJ</v>
          </cell>
          <cell r="F129" t="str">
            <v>COM,DEM,ANNUAL,RES</v>
          </cell>
        </row>
        <row r="130">
          <cell r="A130" t="str">
            <v>*</v>
          </cell>
          <cell r="B130" t="str">
            <v>E</v>
          </cell>
          <cell r="C130" t="str">
            <v xml:space="preserve"> </v>
          </cell>
          <cell r="D130" t="str">
            <v/>
          </cell>
          <cell r="E130" t="str">
            <v>PJ</v>
          </cell>
          <cell r="F130" t="str">
            <v>COM,DEM,ANNUAL,RES</v>
          </cell>
        </row>
        <row r="131">
          <cell r="A131" t="str">
            <v/>
          </cell>
          <cell r="B131" t="str">
            <v>E</v>
          </cell>
          <cell r="C131" t="str">
            <v>INFS</v>
          </cell>
          <cell r="D131" t="str">
            <v>Industry-Precious &amp; Non-Ferrous metals-boiler/process heating - Coal - Existing</v>
          </cell>
          <cell r="E131" t="str">
            <v>PJ</v>
          </cell>
          <cell r="F131" t="str">
            <v>COM,DEM,ANNUAL,RES</v>
          </cell>
        </row>
        <row r="132">
          <cell r="A132" t="str">
            <v/>
          </cell>
          <cell r="B132" t="str">
            <v>E</v>
          </cell>
          <cell r="C132" t="str">
            <v>INFS</v>
          </cell>
          <cell r="D132" t="str">
            <v>Industry-Precious &amp; Non-Ferrous metals-boiler/process heating - Gas - Existing</v>
          </cell>
          <cell r="E132" t="str">
            <v>PJ</v>
          </cell>
          <cell r="F132" t="str">
            <v>COM,DEM,ANNUAL,RES</v>
          </cell>
        </row>
        <row r="133">
          <cell r="A133" t="str">
            <v/>
          </cell>
          <cell r="B133" t="str">
            <v>E</v>
          </cell>
          <cell r="C133" t="str">
            <v>INFS</v>
          </cell>
          <cell r="D133" t="str">
            <v>Industry-Precious &amp; Non-Ferrous metals-boiler/process heating - Oil HFO - Existing</v>
          </cell>
          <cell r="E133" t="str">
            <v>PJ</v>
          </cell>
          <cell r="F133" t="str">
            <v>COM,DEM,ANNUAL,RES</v>
          </cell>
        </row>
        <row r="134">
          <cell r="A134" t="str">
            <v/>
          </cell>
          <cell r="B134" t="str">
            <v>E</v>
          </cell>
          <cell r="C134" t="str">
            <v>INFS</v>
          </cell>
          <cell r="D134" t="str">
            <v>Industry-Precious &amp; Non-Ferrous metals-boiler/process heating - Oil LPG - Existing</v>
          </cell>
          <cell r="E134" t="str">
            <v>PJ</v>
          </cell>
          <cell r="F134" t="str">
            <v>COM,DEM,ANNUAL,RES</v>
          </cell>
        </row>
        <row r="135">
          <cell r="A135" t="str">
            <v/>
          </cell>
          <cell r="B135" t="str">
            <v>E</v>
          </cell>
          <cell r="C135" t="str">
            <v>INFS</v>
          </cell>
          <cell r="D135" t="str">
            <v>Industry-Precious &amp; Non-Ferrous metals-boiler/process heating - Electricity - Existing</v>
          </cell>
          <cell r="E135" t="str">
            <v>PJ</v>
          </cell>
          <cell r="F135" t="str">
            <v>COM,DEM,ANNUAL,RES</v>
          </cell>
        </row>
        <row r="136">
          <cell r="A136" t="str">
            <v/>
          </cell>
          <cell r="B136" t="str">
            <v>E</v>
          </cell>
          <cell r="C136" t="str">
            <v>INFS</v>
          </cell>
          <cell r="D136" t="str">
            <v>Industry-Precious &amp; Non-Ferrous metals-boiler/process heating - Waste - Existing</v>
          </cell>
          <cell r="E136" t="str">
            <v>PJ</v>
          </cell>
          <cell r="F136" t="str">
            <v>COM,DEM,ANNUAL,RES</v>
          </cell>
        </row>
        <row r="137">
          <cell r="A137" t="str">
            <v>*</v>
          </cell>
          <cell r="B137" t="str">
            <v>E</v>
          </cell>
          <cell r="C137" t="str">
            <v>Useful Energy Service</v>
          </cell>
          <cell r="D137" t="str">
            <v/>
          </cell>
          <cell r="E137" t="str">
            <v>PJ</v>
          </cell>
          <cell r="F137" t="str">
            <v>COM,DEM,ANNUAL,RES</v>
          </cell>
        </row>
        <row r="138">
          <cell r="A138" t="str">
            <v>*</v>
          </cell>
          <cell r="B138" t="str">
            <v>E</v>
          </cell>
          <cell r="C138">
            <v>0</v>
          </cell>
          <cell r="D138" t="str">
            <v/>
          </cell>
          <cell r="E138" t="str">
            <v>PJ</v>
          </cell>
          <cell r="F138" t="str">
            <v>COM,DEM,ANNUAL,RES</v>
          </cell>
        </row>
        <row r="139">
          <cell r="A139" t="str">
            <v>*</v>
          </cell>
          <cell r="B139" t="str">
            <v>E</v>
          </cell>
          <cell r="C139">
            <v>2</v>
          </cell>
          <cell r="D139" t="str">
            <v/>
          </cell>
          <cell r="E139" t="str">
            <v>PJ</v>
          </cell>
          <cell r="F139" t="str">
            <v>COM,DEM,ANNUAL,RES</v>
          </cell>
        </row>
        <row r="140">
          <cell r="A140" t="str">
            <v>*</v>
          </cell>
          <cell r="B140" t="str">
            <v>E</v>
          </cell>
          <cell r="C140" t="str">
            <v>INMK</v>
          </cell>
          <cell r="D140" t="str">
            <v/>
          </cell>
          <cell r="E140" t="str">
            <v>PJ</v>
          </cell>
          <cell r="F140" t="str">
            <v>COM,DEM,ANNUAL,RES</v>
          </cell>
        </row>
        <row r="141">
          <cell r="A141" t="str">
            <v>*</v>
          </cell>
          <cell r="B141" t="str">
            <v>E</v>
          </cell>
          <cell r="C141" t="str">
            <v>INMA</v>
          </cell>
          <cell r="D141" t="str">
            <v/>
          </cell>
          <cell r="E141" t="str">
            <v>PJ</v>
          </cell>
          <cell r="F141" t="str">
            <v>COM,DEM,ANNUAL,RES</v>
          </cell>
        </row>
        <row r="142">
          <cell r="A142" t="str">
            <v>*</v>
          </cell>
          <cell r="B142" t="str">
            <v>E</v>
          </cell>
          <cell r="C142" t="str">
            <v>INML</v>
          </cell>
          <cell r="D142" t="str">
            <v/>
          </cell>
          <cell r="E142" t="str">
            <v>PJ</v>
          </cell>
          <cell r="F142" t="str">
            <v>COM,DEM,ANNUAL,RES</v>
          </cell>
        </row>
        <row r="143">
          <cell r="A143" t="str">
            <v>*</v>
          </cell>
          <cell r="B143" t="str">
            <v>E</v>
          </cell>
          <cell r="C143" t="str">
            <v>INMC</v>
          </cell>
          <cell r="D143" t="str">
            <v/>
          </cell>
          <cell r="E143" t="str">
            <v>PJ</v>
          </cell>
          <cell r="F143" t="str">
            <v>COM,DEM,ANNUAL,RES</v>
          </cell>
        </row>
        <row r="144">
          <cell r="A144" t="str">
            <v>*</v>
          </cell>
          <cell r="B144" t="str">
            <v>E</v>
          </cell>
          <cell r="C144" t="str">
            <v>INMH</v>
          </cell>
          <cell r="D144" t="str">
            <v/>
          </cell>
          <cell r="E144" t="str">
            <v>PJ</v>
          </cell>
          <cell r="F144" t="str">
            <v>COM,DEM,ANNUAL,RES</v>
          </cell>
        </row>
        <row r="145">
          <cell r="A145" t="str">
            <v>*</v>
          </cell>
          <cell r="B145" t="str">
            <v>E</v>
          </cell>
          <cell r="C145" t="str">
            <v>INMP</v>
          </cell>
          <cell r="D145" t="str">
            <v/>
          </cell>
          <cell r="E145" t="str">
            <v>PJ</v>
          </cell>
          <cell r="F145" t="str">
            <v>COM,DEM,ANNUAL,RES</v>
          </cell>
        </row>
        <row r="146">
          <cell r="A146" t="str">
            <v>*</v>
          </cell>
          <cell r="B146" t="str">
            <v>E</v>
          </cell>
          <cell r="C146" t="str">
            <v>INMF</v>
          </cell>
          <cell r="D146" t="str">
            <v/>
          </cell>
          <cell r="E146" t="str">
            <v>PJ</v>
          </cell>
          <cell r="F146" t="str">
            <v>COM,DEM,ANNUAL,RES</v>
          </cell>
        </row>
        <row r="147">
          <cell r="A147" t="str">
            <v>*</v>
          </cell>
          <cell r="B147" t="str">
            <v>E</v>
          </cell>
          <cell r="C147" t="str">
            <v>INMO</v>
          </cell>
          <cell r="D147" t="str">
            <v/>
          </cell>
          <cell r="E147" t="str">
            <v>PJ</v>
          </cell>
          <cell r="F147" t="str">
            <v>COM,DEM,ANNUAL,RES</v>
          </cell>
        </row>
        <row r="148">
          <cell r="A148" t="str">
            <v>*</v>
          </cell>
          <cell r="B148" t="str">
            <v>E</v>
          </cell>
          <cell r="C148" t="str">
            <v>INME</v>
          </cell>
          <cell r="D148" t="str">
            <v/>
          </cell>
          <cell r="E148" t="str">
            <v>PJ</v>
          </cell>
          <cell r="F148" t="str">
            <v>COM,DEM,ANNUAL,RES</v>
          </cell>
        </row>
        <row r="149">
          <cell r="A149" t="str">
            <v>*</v>
          </cell>
          <cell r="B149" t="str">
            <v>E</v>
          </cell>
          <cell r="C149" t="str">
            <v xml:space="preserve"> </v>
          </cell>
          <cell r="D149" t="str">
            <v/>
          </cell>
          <cell r="E149" t="str">
            <v>PJ</v>
          </cell>
          <cell r="F149" t="str">
            <v>COM,DEM,ANNUAL,RES</v>
          </cell>
        </row>
        <row r="150">
          <cell r="A150" t="str">
            <v>*</v>
          </cell>
          <cell r="B150" t="str">
            <v>E</v>
          </cell>
          <cell r="C150" t="str">
            <v>INMS</v>
          </cell>
          <cell r="D150" t="str">
            <v/>
          </cell>
          <cell r="E150" t="str">
            <v>PJ</v>
          </cell>
          <cell r="F150" t="str">
            <v>COM,DEM,ANNUAL,RES</v>
          </cell>
        </row>
        <row r="151">
          <cell r="A151" t="str">
            <v>*</v>
          </cell>
          <cell r="B151" t="str">
            <v>E</v>
          </cell>
          <cell r="C151" t="str">
            <v>INMS</v>
          </cell>
          <cell r="D151" t="str">
            <v/>
          </cell>
          <cell r="E151" t="str">
            <v>PJ</v>
          </cell>
          <cell r="F151" t="str">
            <v>COM,DEM,ANNUAL,RES</v>
          </cell>
        </row>
        <row r="152">
          <cell r="A152" t="str">
            <v>*</v>
          </cell>
          <cell r="B152" t="str">
            <v>E</v>
          </cell>
          <cell r="C152" t="str">
            <v>INMS</v>
          </cell>
          <cell r="D152" t="str">
            <v/>
          </cell>
          <cell r="E152" t="str">
            <v>PJ</v>
          </cell>
          <cell r="F152" t="str">
            <v>COM,DEM,ANNUAL,RES</v>
          </cell>
        </row>
        <row r="153">
          <cell r="A153" t="str">
            <v>*</v>
          </cell>
          <cell r="B153" t="str">
            <v>E</v>
          </cell>
          <cell r="C153" t="str">
            <v>INMS</v>
          </cell>
          <cell r="D153" t="str">
            <v/>
          </cell>
          <cell r="E153" t="str">
            <v>PJ</v>
          </cell>
          <cell r="F153" t="str">
            <v>COM,DEM,ANNUAL,RES</v>
          </cell>
        </row>
        <row r="154">
          <cell r="A154" t="str">
            <v>*</v>
          </cell>
          <cell r="B154" t="str">
            <v>E</v>
          </cell>
          <cell r="C154" t="str">
            <v>INMS</v>
          </cell>
          <cell r="D154" t="str">
            <v/>
          </cell>
          <cell r="E154" t="str">
            <v>PJ</v>
          </cell>
          <cell r="F154" t="str">
            <v>COM,DEM,ANNUAL,RES</v>
          </cell>
        </row>
        <row r="155">
          <cell r="A155" t="str">
            <v>*</v>
          </cell>
          <cell r="B155" t="str">
            <v>E</v>
          </cell>
          <cell r="C155" t="str">
            <v>INMS</v>
          </cell>
          <cell r="D155" t="str">
            <v/>
          </cell>
          <cell r="E155" t="str">
            <v>PJ</v>
          </cell>
          <cell r="F155" t="str">
            <v>COM,DEM,ANNUAL,RES</v>
          </cell>
        </row>
        <row r="156">
          <cell r="A156" t="str">
            <v>*</v>
          </cell>
          <cell r="B156" t="str">
            <v>E</v>
          </cell>
          <cell r="C156" t="str">
            <v>Useful Energy Service</v>
          </cell>
          <cell r="D156" t="str">
            <v/>
          </cell>
          <cell r="E156" t="str">
            <v>PJ</v>
          </cell>
          <cell r="F156" t="str">
            <v>COM,DEM,ANNUAL,RES</v>
          </cell>
        </row>
        <row r="157">
          <cell r="A157" t="str">
            <v>*</v>
          </cell>
          <cell r="B157" t="str">
            <v>E</v>
          </cell>
          <cell r="C157">
            <v>0</v>
          </cell>
          <cell r="D157" t="str">
            <v/>
          </cell>
          <cell r="E157" t="str">
            <v>PJ</v>
          </cell>
          <cell r="F157" t="str">
            <v>COM,DEM,ANNUAL,RES</v>
          </cell>
        </row>
        <row r="158">
          <cell r="A158" t="str">
            <v>*</v>
          </cell>
          <cell r="B158" t="str">
            <v>E</v>
          </cell>
          <cell r="C158">
            <v>2</v>
          </cell>
          <cell r="D158" t="str">
            <v/>
          </cell>
          <cell r="E158" t="str">
            <v>PJ</v>
          </cell>
          <cell r="F158" t="str">
            <v>COM,DEM,ANNUAL,RES</v>
          </cell>
        </row>
        <row r="159">
          <cell r="A159" t="str">
            <v/>
          </cell>
          <cell r="B159" t="str">
            <v>E</v>
          </cell>
          <cell r="C159" t="str">
            <v>IFBK</v>
          </cell>
          <cell r="D159" t="str">
            <v>Industry-Food, Beverage &amp; Tabacco-Elec Heating - Electricity</v>
          </cell>
          <cell r="E159" t="str">
            <v>PJ</v>
          </cell>
          <cell r="F159" t="str">
            <v>COM,DEM,ANNUAL,RES</v>
          </cell>
        </row>
        <row r="160">
          <cell r="A160" t="str">
            <v/>
          </cell>
          <cell r="B160" t="str">
            <v>E</v>
          </cell>
          <cell r="C160" t="str">
            <v>IFBA</v>
          </cell>
          <cell r="D160" t="str">
            <v>Industry-Food, Beverage &amp; Tabacco-Compressed air - Electricity</v>
          </cell>
          <cell r="E160" t="str">
            <v>PJ</v>
          </cell>
          <cell r="F160" t="str">
            <v>COM,DEM,ANNUAL,RES</v>
          </cell>
        </row>
        <row r="161">
          <cell r="A161" t="str">
            <v/>
          </cell>
          <cell r="B161" t="str">
            <v>E</v>
          </cell>
          <cell r="C161" t="str">
            <v>IFBL</v>
          </cell>
          <cell r="D161" t="str">
            <v>Industry-Food, Beverage &amp; Tabacco-Lighting - Electricity</v>
          </cell>
          <cell r="E161" t="str">
            <v>PJ</v>
          </cell>
          <cell r="F161" t="str">
            <v>COM,DEM,ANNUAL,RES</v>
          </cell>
        </row>
        <row r="162">
          <cell r="A162" t="str">
            <v/>
          </cell>
          <cell r="B162" t="str">
            <v>E</v>
          </cell>
          <cell r="C162" t="str">
            <v>IFBC</v>
          </cell>
          <cell r="D162" t="str">
            <v>Industry-Food, Beverage &amp; Tabacco-Cooling - Electricity</v>
          </cell>
          <cell r="E162" t="str">
            <v>PJ</v>
          </cell>
          <cell r="F162" t="str">
            <v>COM,DEM,ANNUAL,RES</v>
          </cell>
        </row>
        <row r="163">
          <cell r="A163" t="str">
            <v/>
          </cell>
          <cell r="B163" t="str">
            <v>E</v>
          </cell>
          <cell r="C163" t="str">
            <v>IFBH</v>
          </cell>
          <cell r="D163" t="str">
            <v>Industry-Food, Beverage &amp; Tabacco-HVAC - Electricity</v>
          </cell>
          <cell r="E163" t="str">
            <v>PJ</v>
          </cell>
          <cell r="F163" t="str">
            <v>COM,DEM,ANNUAL,RES</v>
          </cell>
        </row>
        <row r="164">
          <cell r="A164" t="str">
            <v/>
          </cell>
          <cell r="B164" t="str">
            <v>E</v>
          </cell>
          <cell r="C164" t="str">
            <v>IFBP</v>
          </cell>
          <cell r="D164" t="str">
            <v>Industry-Food, Beverage &amp; Tabacco-Pumping - Electricity</v>
          </cell>
          <cell r="E164" t="str">
            <v>PJ</v>
          </cell>
          <cell r="F164" t="str">
            <v>COM,DEM,ANNUAL,RES</v>
          </cell>
        </row>
        <row r="165">
          <cell r="A165" t="str">
            <v/>
          </cell>
          <cell r="B165" t="str">
            <v>E</v>
          </cell>
          <cell r="C165" t="str">
            <v>IFBF</v>
          </cell>
          <cell r="D165" t="str">
            <v>Industry-Food, Beverage &amp; Tabacco-Fans - Electricity</v>
          </cell>
          <cell r="E165" t="str">
            <v>PJ</v>
          </cell>
          <cell r="F165" t="str">
            <v>COM,DEM,ANNUAL,RES</v>
          </cell>
        </row>
        <row r="166">
          <cell r="A166" t="str">
            <v/>
          </cell>
          <cell r="B166" t="str">
            <v>E</v>
          </cell>
          <cell r="C166" t="str">
            <v>IFBO</v>
          </cell>
          <cell r="D166" t="str">
            <v>Industry-Food, Beverage &amp; Tabacco-Other motive - Electricity</v>
          </cell>
          <cell r="E166" t="str">
            <v>PJ</v>
          </cell>
          <cell r="F166" t="str">
            <v>COM,DEM,ANNUAL,RES</v>
          </cell>
        </row>
        <row r="167">
          <cell r="A167" t="str">
            <v/>
          </cell>
          <cell r="B167" t="str">
            <v>E</v>
          </cell>
          <cell r="C167" t="str">
            <v>IFBE</v>
          </cell>
          <cell r="D167" t="str">
            <v>Industry-Food, Beverage &amp; Tabacco-Electrochemical - Electricity</v>
          </cell>
          <cell r="E167" t="str">
            <v>PJ</v>
          </cell>
          <cell r="F167" t="str">
            <v>COM,DEM,ANNUAL,RES</v>
          </cell>
        </row>
        <row r="168">
          <cell r="A168" t="str">
            <v>*</v>
          </cell>
          <cell r="B168" t="str">
            <v>E</v>
          </cell>
          <cell r="C168" t="str">
            <v xml:space="preserve"> </v>
          </cell>
          <cell r="D168" t="str">
            <v/>
          </cell>
          <cell r="E168" t="str">
            <v>PJ</v>
          </cell>
          <cell r="F168" t="str">
            <v>COM,DEM,ANNUAL,RES</v>
          </cell>
        </row>
        <row r="169">
          <cell r="A169" t="str">
            <v/>
          </cell>
          <cell r="B169" t="str">
            <v>E</v>
          </cell>
          <cell r="C169" t="str">
            <v>IFBS</v>
          </cell>
          <cell r="D169" t="str">
            <v>Industry-Food, Beverage &amp; Tabacco-boiler/process heating - Coal - Existing</v>
          </cell>
          <cell r="E169" t="str">
            <v>PJ</v>
          </cell>
          <cell r="F169" t="str">
            <v>COM,DEM,ANNUAL,RES</v>
          </cell>
        </row>
        <row r="170">
          <cell r="A170" t="str">
            <v/>
          </cell>
          <cell r="B170" t="str">
            <v>E</v>
          </cell>
          <cell r="C170" t="str">
            <v>IFBS</v>
          </cell>
          <cell r="D170" t="str">
            <v>Industry-Food, Beverage &amp; Tabacco-boiler/process heating - Gas - Existing</v>
          </cell>
          <cell r="E170" t="str">
            <v>PJ</v>
          </cell>
          <cell r="F170" t="str">
            <v>COM,DEM,ANNUAL,RES</v>
          </cell>
        </row>
        <row r="171">
          <cell r="A171" t="str">
            <v/>
          </cell>
          <cell r="B171" t="str">
            <v>E</v>
          </cell>
          <cell r="C171" t="str">
            <v>IFBS</v>
          </cell>
          <cell r="D171" t="str">
            <v>Industry-Food, Beverage &amp; Tabacco-boiler/process heating - Oil HFO - Existing</v>
          </cell>
          <cell r="E171" t="str">
            <v>PJ</v>
          </cell>
          <cell r="F171" t="str">
            <v>COM,DEM,ANNUAL,RES</v>
          </cell>
        </row>
        <row r="172">
          <cell r="A172" t="str">
            <v/>
          </cell>
          <cell r="B172" t="str">
            <v>E</v>
          </cell>
          <cell r="C172" t="str">
            <v>IFBS</v>
          </cell>
          <cell r="D172" t="str">
            <v>Industry-Food, Beverage &amp; Tabacco-boiler/process heating - Oil LPG - Existing</v>
          </cell>
          <cell r="E172" t="str">
            <v>PJ</v>
          </cell>
          <cell r="F172" t="str">
            <v>COM,DEM,ANNUAL,RES</v>
          </cell>
        </row>
        <row r="173">
          <cell r="A173" t="str">
            <v/>
          </cell>
          <cell r="B173" t="str">
            <v>E</v>
          </cell>
          <cell r="C173" t="str">
            <v>IFBS</v>
          </cell>
          <cell r="D173" t="str">
            <v>Industry-Food, Beverage &amp; Tabacco-boiler/process heating - Electricity - Existing</v>
          </cell>
          <cell r="E173" t="str">
            <v>PJ</v>
          </cell>
          <cell r="F173" t="str">
            <v>COM,DEM,ANNUAL,RES</v>
          </cell>
        </row>
        <row r="174">
          <cell r="A174" t="str">
            <v/>
          </cell>
          <cell r="B174" t="str">
            <v>E</v>
          </cell>
          <cell r="C174" t="str">
            <v>IFBS</v>
          </cell>
          <cell r="D174" t="str">
            <v>Industry-Food, Beverage &amp; Tabacco-boiler/process heating - Biomass bagasse - Existing</v>
          </cell>
          <cell r="E174" t="str">
            <v>PJ</v>
          </cell>
          <cell r="F174" t="str">
            <v>COM,DEM,ANNUAL,RES</v>
          </cell>
        </row>
        <row r="175">
          <cell r="A175" t="str">
            <v/>
          </cell>
          <cell r="B175" t="str">
            <v>E</v>
          </cell>
          <cell r="C175" t="str">
            <v>IFBS</v>
          </cell>
          <cell r="D175" t="str">
            <v>Industry-Food, Beverage &amp; Tabacco-boiler/process heating - Waste - Existing</v>
          </cell>
          <cell r="E175" t="str">
            <v>PJ</v>
          </cell>
          <cell r="F175" t="str">
            <v>COM,DEM,ANNUAL,RES</v>
          </cell>
        </row>
        <row r="176">
          <cell r="A176" t="str">
            <v>*</v>
          </cell>
          <cell r="B176" t="str">
            <v>E</v>
          </cell>
          <cell r="C176" t="str">
            <v>Useful Energy Service</v>
          </cell>
          <cell r="D176" t="str">
            <v/>
          </cell>
          <cell r="E176" t="str">
            <v>PJ</v>
          </cell>
          <cell r="F176" t="str">
            <v>COM,DEM,ANNUAL,RES</v>
          </cell>
        </row>
        <row r="177">
          <cell r="A177" t="str">
            <v>*</v>
          </cell>
          <cell r="B177" t="str">
            <v>E</v>
          </cell>
          <cell r="C177">
            <v>0</v>
          </cell>
          <cell r="D177" t="str">
            <v/>
          </cell>
          <cell r="E177" t="str">
            <v>PJ</v>
          </cell>
          <cell r="F177" t="str">
            <v>COM,DEM,ANNUAL,RES</v>
          </cell>
        </row>
        <row r="178">
          <cell r="A178" t="str">
            <v>*</v>
          </cell>
          <cell r="B178" t="str">
            <v>E</v>
          </cell>
          <cell r="C178">
            <v>2</v>
          </cell>
          <cell r="D178" t="str">
            <v/>
          </cell>
          <cell r="E178" t="str">
            <v>PJ</v>
          </cell>
          <cell r="F178" t="str">
            <v>COM,DEM,ANNUAL,RES</v>
          </cell>
        </row>
        <row r="179">
          <cell r="A179" t="str">
            <v>*</v>
          </cell>
          <cell r="B179" t="str">
            <v>E</v>
          </cell>
          <cell r="C179" t="str">
            <v>IPPK</v>
          </cell>
          <cell r="D179" t="str">
            <v/>
          </cell>
          <cell r="E179" t="str">
            <v>PJ</v>
          </cell>
          <cell r="F179" t="str">
            <v>COM,DEM,ANNUAL,RES</v>
          </cell>
        </row>
        <row r="180">
          <cell r="A180" t="str">
            <v>*</v>
          </cell>
          <cell r="B180" t="str">
            <v>E</v>
          </cell>
          <cell r="C180" t="str">
            <v>IPPA</v>
          </cell>
          <cell r="D180" t="str">
            <v/>
          </cell>
          <cell r="E180" t="str">
            <v>PJ</v>
          </cell>
          <cell r="F180" t="str">
            <v>COM,DEM,ANNUAL,RES</v>
          </cell>
        </row>
        <row r="181">
          <cell r="A181" t="str">
            <v>*</v>
          </cell>
          <cell r="B181" t="str">
            <v>E</v>
          </cell>
          <cell r="C181" t="str">
            <v>IPPL</v>
          </cell>
          <cell r="D181" t="str">
            <v/>
          </cell>
          <cell r="E181" t="str">
            <v>PJ</v>
          </cell>
          <cell r="F181" t="str">
            <v>COM,DEM,ANNUAL,RES</v>
          </cell>
        </row>
        <row r="182">
          <cell r="A182" t="str">
            <v>*</v>
          </cell>
          <cell r="B182" t="str">
            <v>E</v>
          </cell>
          <cell r="C182" t="str">
            <v>IPPC</v>
          </cell>
          <cell r="D182" t="str">
            <v/>
          </cell>
          <cell r="E182" t="str">
            <v>PJ</v>
          </cell>
          <cell r="F182" t="str">
            <v>COM,DEM,ANNUAL,RES</v>
          </cell>
        </row>
        <row r="183">
          <cell r="A183" t="str">
            <v>*</v>
          </cell>
          <cell r="B183" t="str">
            <v>E</v>
          </cell>
          <cell r="C183" t="str">
            <v>IPPH</v>
          </cell>
          <cell r="D183" t="str">
            <v/>
          </cell>
          <cell r="E183" t="str">
            <v>PJ</v>
          </cell>
          <cell r="F183" t="str">
            <v>COM,DEM,ANNUAL,RES</v>
          </cell>
        </row>
        <row r="184">
          <cell r="A184" t="str">
            <v>*</v>
          </cell>
          <cell r="B184" t="str">
            <v>E</v>
          </cell>
          <cell r="C184" t="str">
            <v>IPPP</v>
          </cell>
          <cell r="D184" t="str">
            <v/>
          </cell>
          <cell r="E184" t="str">
            <v>PJ</v>
          </cell>
          <cell r="F184" t="str">
            <v>COM,DEM,ANNUAL,RES</v>
          </cell>
        </row>
        <row r="185">
          <cell r="A185" t="str">
            <v>*</v>
          </cell>
          <cell r="B185" t="str">
            <v>E</v>
          </cell>
          <cell r="C185" t="str">
            <v>IPPF</v>
          </cell>
          <cell r="D185" t="str">
            <v/>
          </cell>
          <cell r="E185" t="str">
            <v>PJ</v>
          </cell>
          <cell r="F185" t="str">
            <v>COM,DEM,ANNUAL,RES</v>
          </cell>
        </row>
        <row r="186">
          <cell r="A186" t="str">
            <v>*</v>
          </cell>
          <cell r="B186" t="str">
            <v>E</v>
          </cell>
          <cell r="C186" t="str">
            <v>IPPO</v>
          </cell>
          <cell r="D186" t="str">
            <v/>
          </cell>
          <cell r="E186" t="str">
            <v>PJ</v>
          </cell>
          <cell r="F186" t="str">
            <v>COM,DEM,ANNUAL,RES</v>
          </cell>
        </row>
        <row r="187">
          <cell r="A187" t="str">
            <v>*</v>
          </cell>
          <cell r="B187" t="str">
            <v>E</v>
          </cell>
          <cell r="C187" t="str">
            <v>IPPE</v>
          </cell>
          <cell r="D187" t="str">
            <v/>
          </cell>
          <cell r="E187" t="str">
            <v>PJ</v>
          </cell>
          <cell r="F187" t="str">
            <v>COM,DEM,ANNUAL,RES</v>
          </cell>
        </row>
        <row r="188">
          <cell r="A188" t="str">
            <v>*</v>
          </cell>
          <cell r="B188" t="str">
            <v>E</v>
          </cell>
          <cell r="C188" t="str">
            <v xml:space="preserve"> </v>
          </cell>
          <cell r="D188" t="str">
            <v/>
          </cell>
          <cell r="E188" t="str">
            <v>PJ</v>
          </cell>
          <cell r="F188" t="str">
            <v>COM,DEM,ANNUAL,RES</v>
          </cell>
        </row>
        <row r="189">
          <cell r="A189" t="str">
            <v>*</v>
          </cell>
          <cell r="B189" t="str">
            <v>E</v>
          </cell>
          <cell r="C189" t="str">
            <v>IPPS</v>
          </cell>
          <cell r="D189" t="str">
            <v/>
          </cell>
          <cell r="E189" t="str">
            <v>PJ</v>
          </cell>
          <cell r="F189" t="str">
            <v>COM,DEM,ANNUAL,RES</v>
          </cell>
        </row>
        <row r="190">
          <cell r="A190" t="str">
            <v>*</v>
          </cell>
          <cell r="B190" t="str">
            <v>E</v>
          </cell>
          <cell r="C190" t="str">
            <v>IPPS</v>
          </cell>
          <cell r="D190" t="str">
            <v/>
          </cell>
          <cell r="E190" t="str">
            <v>PJ</v>
          </cell>
          <cell r="F190" t="str">
            <v>COM,DEM,ANNUAL,RES</v>
          </cell>
        </row>
      </sheetData>
      <sheetData sheetId="72"/>
      <sheetData sheetId="73"/>
      <sheetData sheetId="74"/>
      <sheetData sheetId="75">
        <row r="10">
          <cell r="A10" t="str">
            <v/>
          </cell>
          <cell r="D10" t="str">
            <v>IMIK</v>
          </cell>
          <cell r="J10">
            <v>2.1376388478991801</v>
          </cell>
          <cell r="O10">
            <v>2.2014400000000003</v>
          </cell>
        </row>
        <row r="11">
          <cell r="A11" t="str">
            <v/>
          </cell>
          <cell r="D11" t="str">
            <v>IMIA</v>
          </cell>
          <cell r="J11">
            <v>0.99318058118269725</v>
          </cell>
          <cell r="O11">
            <v>1.0228235984706235</v>
          </cell>
        </row>
        <row r="12">
          <cell r="A12" t="str">
            <v/>
          </cell>
          <cell r="D12" t="str">
            <v>IMIL</v>
          </cell>
          <cell r="J12">
            <v>1.4429062223319464</v>
          </cell>
          <cell r="O12">
            <v>1.4859720000000001</v>
          </cell>
        </row>
        <row r="13">
          <cell r="A13" t="str">
            <v/>
          </cell>
          <cell r="D13" t="str">
            <v>IMIC</v>
          </cell>
          <cell r="J13">
            <v>17.35324025908308</v>
          </cell>
          <cell r="O13">
            <v>17.871174671764589</v>
          </cell>
        </row>
        <row r="14">
          <cell r="A14" t="str">
            <v/>
          </cell>
          <cell r="D14" t="str">
            <v>IMIH</v>
          </cell>
          <cell r="J14">
            <v>7.6954998524370488</v>
          </cell>
          <cell r="O14">
            <v>7.9251840000000016</v>
          </cell>
        </row>
        <row r="15">
          <cell r="A15" t="str">
            <v/>
          </cell>
          <cell r="D15" t="str">
            <v>IMIP</v>
          </cell>
          <cell r="J15">
            <v>15.294517272248457</v>
          </cell>
          <cell r="O15">
            <v>15.751005899293361</v>
          </cell>
        </row>
        <row r="16">
          <cell r="A16" t="str">
            <v/>
          </cell>
          <cell r="D16" t="str">
            <v>IMIF</v>
          </cell>
          <cell r="J16">
            <v>5.8889063414920679</v>
          </cell>
          <cell r="O16">
            <v>6.0646698992933636</v>
          </cell>
        </row>
        <row r="17">
          <cell r="A17" t="str">
            <v/>
          </cell>
          <cell r="D17" t="str">
            <v>IMIO</v>
          </cell>
          <cell r="J17">
            <v>28.894976807848312</v>
          </cell>
          <cell r="O17">
            <v>29.757392277177463</v>
          </cell>
        </row>
        <row r="18">
          <cell r="A18" t="str">
            <v/>
          </cell>
          <cell r="D18" t="str">
            <v>IMIE</v>
          </cell>
          <cell r="J18">
            <v>0.18682963530638833</v>
          </cell>
          <cell r="O18">
            <v>0.19240585599999999</v>
          </cell>
        </row>
        <row r="19">
          <cell r="A19" t="str">
            <v>*</v>
          </cell>
          <cell r="D19">
            <v>0</v>
          </cell>
          <cell r="J19" t="str">
            <v/>
          </cell>
          <cell r="O19" t="str">
            <v/>
          </cell>
        </row>
        <row r="20">
          <cell r="A20" t="str">
            <v/>
          </cell>
          <cell r="D20" t="str">
            <v>IMIS</v>
          </cell>
          <cell r="J20">
            <v>20.275122960000004</v>
          </cell>
          <cell r="O20">
            <v>0.90805719120000006</v>
          </cell>
        </row>
        <row r="21">
          <cell r="A21" t="str">
            <v>*</v>
          </cell>
          <cell r="D21" t="str">
            <v>IMIS</v>
          </cell>
          <cell r="J21" t="str">
            <v/>
          </cell>
          <cell r="O21" t="str">
            <v/>
          </cell>
        </row>
        <row r="22">
          <cell r="A22" t="str">
            <v>*</v>
          </cell>
          <cell r="D22" t="str">
            <v>IMIS</v>
          </cell>
          <cell r="J22" t="str">
            <v/>
          </cell>
          <cell r="O22" t="str">
            <v/>
          </cell>
        </row>
        <row r="23">
          <cell r="A23" t="str">
            <v>*</v>
          </cell>
          <cell r="D23" t="str">
            <v>IMIS</v>
          </cell>
          <cell r="J23" t="str">
            <v/>
          </cell>
          <cell r="O23" t="str">
            <v/>
          </cell>
        </row>
        <row r="24">
          <cell r="A24" t="str">
            <v>*</v>
          </cell>
          <cell r="D24" t="str">
            <v>IMIS</v>
          </cell>
          <cell r="J24" t="str">
            <v/>
          </cell>
          <cell r="O24" t="str">
            <v/>
          </cell>
        </row>
        <row r="25">
          <cell r="A25" t="str">
            <v>*</v>
          </cell>
          <cell r="D25" t="str">
            <v>IMIS</v>
          </cell>
          <cell r="J25" t="str">
            <v/>
          </cell>
          <cell r="O25" t="str">
            <v/>
          </cell>
        </row>
        <row r="26">
          <cell r="A26" t="str">
            <v>*</v>
          </cell>
          <cell r="D26">
            <v>0</v>
          </cell>
          <cell r="J26" t="str">
            <v/>
          </cell>
          <cell r="O26" t="str">
            <v/>
          </cell>
        </row>
        <row r="27">
          <cell r="A27" t="str">
            <v/>
          </cell>
          <cell r="D27" t="str">
            <v>IMIR</v>
          </cell>
          <cell r="J27">
            <v>51.488523217763458</v>
          </cell>
          <cell r="O27">
            <v>46.045999999999999</v>
          </cell>
        </row>
        <row r="28">
          <cell r="A28" t="str">
            <v>*</v>
          </cell>
          <cell r="D28" t="str">
            <v>Useful Energy Service</v>
          </cell>
          <cell r="J28" t="str">
            <v/>
          </cell>
          <cell r="O28" t="str">
            <v/>
          </cell>
        </row>
        <row r="29">
          <cell r="A29" t="str">
            <v>*</v>
          </cell>
          <cell r="D29">
            <v>0</v>
          </cell>
          <cell r="J29" t="str">
            <v/>
          </cell>
          <cell r="O29" t="str">
            <v/>
          </cell>
        </row>
        <row r="30">
          <cell r="A30" t="str">
            <v>*</v>
          </cell>
          <cell r="D30">
            <v>2</v>
          </cell>
          <cell r="J30" t="str">
            <v/>
          </cell>
          <cell r="O30" t="str">
            <v/>
          </cell>
        </row>
        <row r="31">
          <cell r="A31" t="str">
            <v>*</v>
          </cell>
          <cell r="D31" t="str">
            <v>IFAK</v>
          </cell>
          <cell r="J31" t="str">
            <v/>
          </cell>
          <cell r="O31" t="str">
            <v/>
          </cell>
        </row>
        <row r="32">
          <cell r="A32" t="str">
            <v>*</v>
          </cell>
          <cell r="D32" t="str">
            <v>IFAA</v>
          </cell>
          <cell r="J32" t="str">
            <v/>
          </cell>
          <cell r="O32" t="str">
            <v/>
          </cell>
        </row>
        <row r="33">
          <cell r="A33" t="str">
            <v>*</v>
          </cell>
          <cell r="D33" t="str">
            <v>IFAL</v>
          </cell>
          <cell r="J33" t="str">
            <v/>
          </cell>
          <cell r="O33" t="str">
            <v/>
          </cell>
        </row>
        <row r="34">
          <cell r="A34" t="str">
            <v>*</v>
          </cell>
          <cell r="D34" t="str">
            <v>IFAC</v>
          </cell>
          <cell r="J34" t="str">
            <v/>
          </cell>
          <cell r="O34" t="str">
            <v/>
          </cell>
        </row>
        <row r="35">
          <cell r="A35" t="str">
            <v>*</v>
          </cell>
          <cell r="D35" t="str">
            <v>IFAH</v>
          </cell>
          <cell r="J35" t="str">
            <v/>
          </cell>
          <cell r="O35" t="str">
            <v/>
          </cell>
        </row>
        <row r="36">
          <cell r="A36" t="str">
            <v>*</v>
          </cell>
          <cell r="D36" t="str">
            <v>IFAP</v>
          </cell>
          <cell r="J36" t="str">
            <v/>
          </cell>
          <cell r="O36" t="str">
            <v/>
          </cell>
        </row>
        <row r="37">
          <cell r="A37" t="str">
            <v>*</v>
          </cell>
          <cell r="D37" t="str">
            <v>IFAF</v>
          </cell>
          <cell r="J37" t="str">
            <v/>
          </cell>
          <cell r="O37" t="str">
            <v/>
          </cell>
        </row>
        <row r="38">
          <cell r="A38" t="str">
            <v>*</v>
          </cell>
          <cell r="D38" t="str">
            <v>IFAO</v>
          </cell>
          <cell r="J38" t="str">
            <v/>
          </cell>
          <cell r="O38" t="str">
            <v/>
          </cell>
        </row>
        <row r="39">
          <cell r="A39" t="str">
            <v>*</v>
          </cell>
          <cell r="D39" t="str">
            <v>IFAE</v>
          </cell>
          <cell r="J39" t="str">
            <v/>
          </cell>
          <cell r="O39" t="str">
            <v/>
          </cell>
        </row>
        <row r="40">
          <cell r="A40" t="str">
            <v>*</v>
          </cell>
          <cell r="D40">
            <v>0</v>
          </cell>
          <cell r="J40" t="str">
            <v/>
          </cell>
          <cell r="O40" t="str">
            <v/>
          </cell>
        </row>
        <row r="41">
          <cell r="A41" t="str">
            <v>*</v>
          </cell>
          <cell r="D41" t="str">
            <v>IFAS</v>
          </cell>
          <cell r="J41" t="str">
            <v/>
          </cell>
          <cell r="O41" t="str">
            <v/>
          </cell>
        </row>
        <row r="42">
          <cell r="A42" t="str">
            <v>*</v>
          </cell>
          <cell r="D42" t="str">
            <v>IFAS</v>
          </cell>
          <cell r="J42" t="str">
            <v/>
          </cell>
          <cell r="O42" t="str">
            <v/>
          </cell>
        </row>
        <row r="43">
          <cell r="A43" t="str">
            <v>*</v>
          </cell>
          <cell r="D43" t="str">
            <v>IFAS</v>
          </cell>
          <cell r="J43" t="str">
            <v/>
          </cell>
          <cell r="O43" t="str">
            <v/>
          </cell>
        </row>
        <row r="44">
          <cell r="A44" t="str">
            <v>*</v>
          </cell>
          <cell r="D44" t="str">
            <v>IFAS</v>
          </cell>
          <cell r="J44" t="str">
            <v/>
          </cell>
          <cell r="O44" t="str">
            <v/>
          </cell>
        </row>
        <row r="45">
          <cell r="A45" t="str">
            <v>*</v>
          </cell>
          <cell r="D45" t="str">
            <v>IFAS</v>
          </cell>
          <cell r="J45" t="str">
            <v/>
          </cell>
          <cell r="O45" t="str">
            <v/>
          </cell>
        </row>
        <row r="46">
          <cell r="A46" t="str">
            <v>*</v>
          </cell>
          <cell r="D46" t="str">
            <v>IFAS</v>
          </cell>
          <cell r="J46" t="str">
            <v/>
          </cell>
          <cell r="O46" t="str">
            <v/>
          </cell>
        </row>
        <row r="47">
          <cell r="A47" t="str">
            <v>*</v>
          </cell>
          <cell r="D47">
            <v>0</v>
          </cell>
          <cell r="J47" t="str">
            <v/>
          </cell>
          <cell r="O47" t="str">
            <v/>
          </cell>
        </row>
        <row r="48">
          <cell r="A48" t="str">
            <v>*</v>
          </cell>
          <cell r="D48" t="str">
            <v>IFAR</v>
          </cell>
          <cell r="J48" t="str">
            <v/>
          </cell>
          <cell r="O48" t="str">
            <v/>
          </cell>
        </row>
        <row r="49">
          <cell r="A49" t="str">
            <v>*</v>
          </cell>
          <cell r="D49" t="str">
            <v>Useful Energy Service</v>
          </cell>
          <cell r="J49" t="str">
            <v/>
          </cell>
          <cell r="O49" t="str">
            <v/>
          </cell>
        </row>
        <row r="50">
          <cell r="A50" t="str">
            <v>*</v>
          </cell>
          <cell r="D50">
            <v>0</v>
          </cell>
          <cell r="J50" t="str">
            <v/>
          </cell>
          <cell r="O50" t="str">
            <v/>
          </cell>
        </row>
        <row r="51">
          <cell r="A51" t="str">
            <v>*</v>
          </cell>
          <cell r="D51">
            <v>2</v>
          </cell>
          <cell r="J51" t="str">
            <v/>
          </cell>
          <cell r="O51" t="str">
            <v/>
          </cell>
        </row>
        <row r="52">
          <cell r="A52" t="str">
            <v>*</v>
          </cell>
          <cell r="D52" t="str">
            <v>IISK</v>
          </cell>
          <cell r="J52" t="str">
            <v/>
          </cell>
          <cell r="O52" t="str">
            <v/>
          </cell>
        </row>
        <row r="53">
          <cell r="A53" t="str">
            <v>*</v>
          </cell>
          <cell r="D53" t="str">
            <v>IISA</v>
          </cell>
          <cell r="J53" t="str">
            <v/>
          </cell>
          <cell r="O53" t="str">
            <v/>
          </cell>
        </row>
        <row r="54">
          <cell r="A54" t="str">
            <v>*</v>
          </cell>
          <cell r="D54" t="str">
            <v>IISL</v>
          </cell>
          <cell r="J54" t="str">
            <v/>
          </cell>
          <cell r="O54" t="str">
            <v/>
          </cell>
        </row>
        <row r="55">
          <cell r="A55" t="str">
            <v>*</v>
          </cell>
          <cell r="D55" t="str">
            <v>IISC</v>
          </cell>
          <cell r="J55" t="str">
            <v/>
          </cell>
          <cell r="O55" t="str">
            <v/>
          </cell>
        </row>
        <row r="56">
          <cell r="A56" t="str">
            <v>*</v>
          </cell>
          <cell r="D56" t="str">
            <v>IISH</v>
          </cell>
          <cell r="J56" t="str">
            <v/>
          </cell>
          <cell r="O56" t="str">
            <v/>
          </cell>
        </row>
        <row r="57">
          <cell r="A57" t="str">
            <v>*</v>
          </cell>
          <cell r="D57" t="str">
            <v>IISP</v>
          </cell>
          <cell r="J57" t="str">
            <v/>
          </cell>
          <cell r="O57" t="str">
            <v/>
          </cell>
        </row>
        <row r="58">
          <cell r="A58" t="str">
            <v>*</v>
          </cell>
          <cell r="D58" t="str">
            <v>IISF</v>
          </cell>
          <cell r="J58" t="str">
            <v/>
          </cell>
          <cell r="O58" t="str">
            <v/>
          </cell>
        </row>
        <row r="59">
          <cell r="A59" t="str">
            <v>*</v>
          </cell>
          <cell r="D59" t="str">
            <v>IISO</v>
          </cell>
          <cell r="J59" t="str">
            <v/>
          </cell>
          <cell r="O59" t="str">
            <v/>
          </cell>
        </row>
        <row r="60">
          <cell r="A60" t="str">
            <v>*</v>
          </cell>
          <cell r="D60" t="str">
            <v>IISE</v>
          </cell>
          <cell r="J60" t="str">
            <v/>
          </cell>
          <cell r="O60" t="str">
            <v/>
          </cell>
        </row>
        <row r="61">
          <cell r="A61" t="str">
            <v>*</v>
          </cell>
          <cell r="D61" t="str">
            <v xml:space="preserve"> </v>
          </cell>
          <cell r="J61" t="str">
            <v/>
          </cell>
          <cell r="O61" t="str">
            <v/>
          </cell>
        </row>
        <row r="62">
          <cell r="A62" t="str">
            <v>*</v>
          </cell>
          <cell r="D62" t="str">
            <v>IISS</v>
          </cell>
          <cell r="J62" t="str">
            <v/>
          </cell>
          <cell r="O62" t="str">
            <v/>
          </cell>
        </row>
        <row r="63">
          <cell r="A63" t="str">
            <v>*</v>
          </cell>
          <cell r="D63" t="str">
            <v>IISS</v>
          </cell>
          <cell r="J63" t="str">
            <v/>
          </cell>
          <cell r="O63" t="str">
            <v/>
          </cell>
        </row>
        <row r="64">
          <cell r="A64" t="str">
            <v>*</v>
          </cell>
          <cell r="D64" t="str">
            <v>IISS</v>
          </cell>
          <cell r="J64" t="str">
            <v/>
          </cell>
          <cell r="O64" t="str">
            <v/>
          </cell>
        </row>
        <row r="65">
          <cell r="A65" t="str">
            <v>*</v>
          </cell>
          <cell r="D65" t="str">
            <v>IISS</v>
          </cell>
          <cell r="J65" t="str">
            <v/>
          </cell>
          <cell r="O65" t="str">
            <v/>
          </cell>
        </row>
        <row r="66">
          <cell r="A66" t="str">
            <v>*</v>
          </cell>
          <cell r="D66" t="str">
            <v>IISS</v>
          </cell>
          <cell r="J66" t="str">
            <v/>
          </cell>
          <cell r="O66" t="str">
            <v/>
          </cell>
        </row>
        <row r="67">
          <cell r="A67" t="str">
            <v>*</v>
          </cell>
          <cell r="D67" t="str">
            <v>IISS</v>
          </cell>
          <cell r="J67" t="str">
            <v/>
          </cell>
          <cell r="O67" t="str">
            <v/>
          </cell>
        </row>
        <row r="68">
          <cell r="A68" t="str">
            <v>*</v>
          </cell>
          <cell r="D68">
            <v>0</v>
          </cell>
          <cell r="J68" t="str">
            <v/>
          </cell>
          <cell r="O68" t="str">
            <v/>
          </cell>
        </row>
        <row r="69">
          <cell r="A69" t="str">
            <v>*</v>
          </cell>
          <cell r="D69" t="str">
            <v>IIST</v>
          </cell>
          <cell r="J69" t="str">
            <v/>
          </cell>
          <cell r="O69" t="str">
            <v/>
          </cell>
        </row>
        <row r="70">
          <cell r="A70" t="str">
            <v>*</v>
          </cell>
          <cell r="D70" t="str">
            <v>Useful Energy Service</v>
          </cell>
          <cell r="J70" t="str">
            <v/>
          </cell>
          <cell r="O70" t="str">
            <v/>
          </cell>
        </row>
        <row r="71">
          <cell r="A71" t="str">
            <v>*</v>
          </cell>
          <cell r="D71">
            <v>0</v>
          </cell>
          <cell r="J71" t="str">
            <v/>
          </cell>
          <cell r="O71" t="str">
            <v/>
          </cell>
        </row>
        <row r="72">
          <cell r="D72">
            <v>2</v>
          </cell>
          <cell r="J72" t="str">
            <v/>
          </cell>
          <cell r="O72" t="str">
            <v/>
          </cell>
        </row>
        <row r="73">
          <cell r="A73" t="str">
            <v/>
          </cell>
          <cell r="D73" t="str">
            <v>ICPK</v>
          </cell>
          <cell r="J73">
            <v>0.55647663194961794</v>
          </cell>
          <cell r="O73">
            <v>0.80918000000000012</v>
          </cell>
        </row>
        <row r="74">
          <cell r="A74" t="str">
            <v/>
          </cell>
          <cell r="D74" t="str">
            <v>ICPA</v>
          </cell>
          <cell r="J74">
            <v>0.2086787369811067</v>
          </cell>
          <cell r="O74">
            <v>0.30344250000000006</v>
          </cell>
        </row>
        <row r="75">
          <cell r="A75" t="str">
            <v/>
          </cell>
          <cell r="D75" t="str">
            <v>ICPL</v>
          </cell>
          <cell r="J75">
            <v>0.3338859791697707</v>
          </cell>
          <cell r="O75">
            <v>0.48550800000000005</v>
          </cell>
        </row>
        <row r="76">
          <cell r="A76" t="str">
            <v/>
          </cell>
          <cell r="D76" t="str">
            <v>ICPC</v>
          </cell>
          <cell r="J76">
            <v>2.7823831597480893</v>
          </cell>
          <cell r="O76">
            <v>4.0459000000000005</v>
          </cell>
        </row>
        <row r="77">
          <cell r="A77" t="str">
            <v/>
          </cell>
          <cell r="D77" t="str">
            <v>ICPH</v>
          </cell>
          <cell r="J77">
            <v>0.5008289687546561</v>
          </cell>
          <cell r="O77">
            <v>0.72826200000000008</v>
          </cell>
        </row>
        <row r="78">
          <cell r="A78" t="str">
            <v/>
          </cell>
          <cell r="D78" t="str">
            <v>ICPP</v>
          </cell>
          <cell r="J78">
            <v>7.7906728472946494</v>
          </cell>
          <cell r="O78">
            <v>11.328520000000001</v>
          </cell>
        </row>
        <row r="79">
          <cell r="A79" t="str">
            <v/>
          </cell>
          <cell r="D79" t="str">
            <v>ICPF</v>
          </cell>
          <cell r="J79">
            <v>1.7807252222387775</v>
          </cell>
          <cell r="O79">
            <v>2.5893760000000006</v>
          </cell>
        </row>
        <row r="80">
          <cell r="A80" t="str">
            <v/>
          </cell>
          <cell r="D80" t="str">
            <v>ICPO</v>
          </cell>
          <cell r="J80">
            <v>4.4518130555969435</v>
          </cell>
          <cell r="O80">
            <v>6.473440000000001</v>
          </cell>
        </row>
        <row r="81">
          <cell r="A81" t="str">
            <v/>
          </cell>
          <cell r="D81" t="str">
            <v>ICPE</v>
          </cell>
          <cell r="J81">
            <v>1.6916889611268384</v>
          </cell>
          <cell r="O81">
            <v>2.4599072000000004</v>
          </cell>
        </row>
        <row r="82">
          <cell r="A82" t="str">
            <v>*</v>
          </cell>
          <cell r="D82" t="str">
            <v xml:space="preserve"> </v>
          </cell>
          <cell r="J82" t="str">
            <v/>
          </cell>
          <cell r="O82" t="str">
            <v/>
          </cell>
        </row>
        <row r="83">
          <cell r="A83" t="str">
            <v/>
          </cell>
          <cell r="D83" t="str">
            <v>ICPS</v>
          </cell>
          <cell r="J83">
            <v>27.288197120140854</v>
          </cell>
          <cell r="O83">
            <v>16.650368400000001</v>
          </cell>
        </row>
        <row r="84">
          <cell r="A84" t="str">
            <v>*</v>
          </cell>
          <cell r="D84" t="str">
            <v>ICPS</v>
          </cell>
          <cell r="J84" t="str">
            <v/>
          </cell>
          <cell r="O84" t="str">
            <v/>
          </cell>
        </row>
        <row r="85">
          <cell r="A85" t="str">
            <v>*</v>
          </cell>
          <cell r="D85" t="str">
            <v>ICPS</v>
          </cell>
          <cell r="J85" t="str">
            <v/>
          </cell>
          <cell r="O85" t="str">
            <v/>
          </cell>
        </row>
        <row r="86">
          <cell r="A86" t="str">
            <v>*</v>
          </cell>
          <cell r="D86" t="str">
            <v>ICPS</v>
          </cell>
          <cell r="J86" t="str">
            <v/>
          </cell>
          <cell r="O86" t="str">
            <v/>
          </cell>
        </row>
        <row r="87">
          <cell r="A87" t="str">
            <v>*</v>
          </cell>
          <cell r="D87" t="str">
            <v>ICPS</v>
          </cell>
          <cell r="J87" t="str">
            <v/>
          </cell>
          <cell r="O87" t="str">
            <v/>
          </cell>
        </row>
        <row r="88">
          <cell r="A88" t="str">
            <v>*</v>
          </cell>
          <cell r="D88" t="str">
            <v>ICPS</v>
          </cell>
          <cell r="J88" t="str">
            <v/>
          </cell>
          <cell r="O88" t="str">
            <v/>
          </cell>
        </row>
        <row r="89">
          <cell r="A89" t="str">
            <v>*</v>
          </cell>
          <cell r="D89">
            <v>0</v>
          </cell>
          <cell r="J89" t="str">
            <v/>
          </cell>
          <cell r="O89" t="str">
            <v/>
          </cell>
        </row>
        <row r="90">
          <cell r="A90" t="str">
            <v/>
          </cell>
          <cell r="D90" t="str">
            <v>ICPT</v>
          </cell>
          <cell r="J90">
            <v>39.004000030517574</v>
          </cell>
          <cell r="O90">
            <v>28.64</v>
          </cell>
        </row>
        <row r="91">
          <cell r="A91" t="str">
            <v>*</v>
          </cell>
          <cell r="D91" t="str">
            <v>Useful Energy Service</v>
          </cell>
          <cell r="J91" t="str">
            <v/>
          </cell>
          <cell r="O91" t="str">
            <v/>
          </cell>
        </row>
        <row r="92">
          <cell r="A92" t="str">
            <v>*</v>
          </cell>
          <cell r="D92">
            <v>0</v>
          </cell>
          <cell r="J92" t="str">
            <v/>
          </cell>
          <cell r="O92" t="str">
            <v/>
          </cell>
        </row>
        <row r="93">
          <cell r="D93">
            <v>2</v>
          </cell>
          <cell r="J93" t="str">
            <v/>
          </cell>
          <cell r="O93" t="str">
            <v/>
          </cell>
        </row>
        <row r="94">
          <cell r="A94" t="str">
            <v/>
          </cell>
          <cell r="D94" t="str">
            <v>INFK</v>
          </cell>
          <cell r="J94">
            <v>0.66789588210349726</v>
          </cell>
          <cell r="O94">
            <v>0.16707000000000002</v>
          </cell>
        </row>
        <row r="95">
          <cell r="A95" t="str">
            <v/>
          </cell>
          <cell r="D95" t="str">
            <v>INFA</v>
          </cell>
          <cell r="J95">
            <v>0</v>
          </cell>
          <cell r="O95">
            <v>0</v>
          </cell>
        </row>
        <row r="96">
          <cell r="A96" t="str">
            <v/>
          </cell>
          <cell r="D96" t="str">
            <v>INFL</v>
          </cell>
          <cell r="J96">
            <v>0.20036876463104916</v>
          </cell>
          <cell r="O96">
            <v>5.0121000000000006E-2</v>
          </cell>
        </row>
        <row r="97">
          <cell r="A97" t="str">
            <v/>
          </cell>
          <cell r="D97" t="str">
            <v>INFC</v>
          </cell>
          <cell r="J97">
            <v>0</v>
          </cell>
          <cell r="O97">
            <v>0</v>
          </cell>
        </row>
        <row r="98">
          <cell r="A98" t="str">
            <v/>
          </cell>
          <cell r="D98" t="str">
            <v>INFH</v>
          </cell>
          <cell r="J98">
            <v>0.60110629389314751</v>
          </cell>
          <cell r="O98">
            <v>0.15036300000000002</v>
          </cell>
        </row>
        <row r="99">
          <cell r="A99" t="str">
            <v/>
          </cell>
          <cell r="D99" t="str">
            <v>INFP</v>
          </cell>
          <cell r="J99">
            <v>0</v>
          </cell>
          <cell r="O99">
            <v>0</v>
          </cell>
        </row>
        <row r="100">
          <cell r="A100" t="str">
            <v/>
          </cell>
          <cell r="D100" t="str">
            <v>INFF</v>
          </cell>
          <cell r="J100">
            <v>0</v>
          </cell>
          <cell r="O100">
            <v>0</v>
          </cell>
        </row>
        <row r="101">
          <cell r="A101" t="str">
            <v/>
          </cell>
          <cell r="D101" t="str">
            <v>INFO</v>
          </cell>
          <cell r="J101">
            <v>3.7402169397795855</v>
          </cell>
          <cell r="O101">
            <v>0.9355920000000002</v>
          </cell>
        </row>
        <row r="102">
          <cell r="A102" t="str">
            <v/>
          </cell>
          <cell r="D102" t="str">
            <v>INFE</v>
          </cell>
          <cell r="J102">
            <v>45.684078335879221</v>
          </cell>
          <cell r="O102">
            <v>11.427588</v>
          </cell>
        </row>
        <row r="103">
          <cell r="A103" t="str">
            <v>*</v>
          </cell>
          <cell r="D103" t="str">
            <v xml:space="preserve"> </v>
          </cell>
          <cell r="J103" t="str">
            <v/>
          </cell>
          <cell r="O103" t="str">
            <v/>
          </cell>
        </row>
        <row r="104">
          <cell r="A104" t="str">
            <v/>
          </cell>
          <cell r="D104" t="str">
            <v>INFS</v>
          </cell>
          <cell r="J104">
            <v>2.487856608</v>
          </cell>
          <cell r="O104">
            <v>0.65368000000000004</v>
          </cell>
        </row>
        <row r="105">
          <cell r="A105" t="str">
            <v>*</v>
          </cell>
          <cell r="D105" t="str">
            <v>INFS</v>
          </cell>
          <cell r="J105" t="str">
            <v/>
          </cell>
          <cell r="O105" t="str">
            <v/>
          </cell>
        </row>
        <row r="106">
          <cell r="A106" t="str">
            <v>*</v>
          </cell>
          <cell r="D106" t="str">
            <v>INFS</v>
          </cell>
          <cell r="J106" t="str">
            <v/>
          </cell>
          <cell r="O106" t="str">
            <v/>
          </cell>
        </row>
        <row r="107">
          <cell r="A107" t="str">
            <v>*</v>
          </cell>
          <cell r="D107" t="str">
            <v>INFS</v>
          </cell>
          <cell r="J107" t="str">
            <v/>
          </cell>
          <cell r="O107" t="str">
            <v/>
          </cell>
        </row>
        <row r="108">
          <cell r="A108" t="str">
            <v>*</v>
          </cell>
          <cell r="D108" t="str">
            <v>INFS</v>
          </cell>
          <cell r="J108" t="str">
            <v/>
          </cell>
          <cell r="O108" t="str">
            <v/>
          </cell>
        </row>
        <row r="109">
          <cell r="A109" t="str">
            <v>*</v>
          </cell>
          <cell r="D109" t="str">
            <v>INFS</v>
          </cell>
          <cell r="J109" t="str">
            <v/>
          </cell>
          <cell r="O109" t="str">
            <v/>
          </cell>
        </row>
        <row r="110">
          <cell r="A110" t="str">
            <v>*</v>
          </cell>
          <cell r="D110" t="str">
            <v>Useful Energy Service</v>
          </cell>
          <cell r="J110" t="str">
            <v/>
          </cell>
          <cell r="O110" t="str">
            <v/>
          </cell>
        </row>
        <row r="111">
          <cell r="A111" t="str">
            <v>*</v>
          </cell>
          <cell r="D111">
            <v>0</v>
          </cell>
          <cell r="J111" t="str">
            <v/>
          </cell>
          <cell r="O111" t="str">
            <v/>
          </cell>
        </row>
        <row r="112">
          <cell r="D112">
            <v>2</v>
          </cell>
          <cell r="J112" t="str">
            <v/>
          </cell>
          <cell r="O112" t="str">
            <v/>
          </cell>
        </row>
        <row r="113">
          <cell r="A113" t="str">
            <v>*</v>
          </cell>
          <cell r="D113" t="str">
            <v>INMK</v>
          </cell>
          <cell r="J113" t="str">
            <v/>
          </cell>
          <cell r="O113" t="str">
            <v/>
          </cell>
        </row>
        <row r="114">
          <cell r="A114" t="str">
            <v>*</v>
          </cell>
          <cell r="D114" t="str">
            <v>INMA</v>
          </cell>
          <cell r="J114" t="str">
            <v/>
          </cell>
          <cell r="O114" t="str">
            <v/>
          </cell>
        </row>
        <row r="115">
          <cell r="A115" t="str">
            <v>*</v>
          </cell>
          <cell r="D115" t="str">
            <v>INML</v>
          </cell>
          <cell r="J115" t="str">
            <v/>
          </cell>
          <cell r="O115" t="str">
            <v/>
          </cell>
        </row>
        <row r="116">
          <cell r="A116" t="str">
            <v>*</v>
          </cell>
          <cell r="D116" t="str">
            <v>INMC</v>
          </cell>
          <cell r="J116" t="str">
            <v/>
          </cell>
          <cell r="O116" t="str">
            <v/>
          </cell>
        </row>
        <row r="117">
          <cell r="A117" t="str">
            <v>*</v>
          </cell>
          <cell r="D117" t="str">
            <v>INMH</v>
          </cell>
          <cell r="J117" t="str">
            <v/>
          </cell>
          <cell r="O117" t="str">
            <v/>
          </cell>
        </row>
        <row r="118">
          <cell r="A118" t="str">
            <v>*</v>
          </cell>
          <cell r="D118" t="str">
            <v>INMP</v>
          </cell>
          <cell r="J118" t="str">
            <v/>
          </cell>
          <cell r="O118" t="str">
            <v/>
          </cell>
        </row>
        <row r="119">
          <cell r="A119" t="str">
            <v>*</v>
          </cell>
          <cell r="D119" t="str">
            <v>INMF</v>
          </cell>
          <cell r="J119" t="str">
            <v/>
          </cell>
          <cell r="O119" t="str">
            <v/>
          </cell>
        </row>
        <row r="120">
          <cell r="A120" t="str">
            <v>*</v>
          </cell>
          <cell r="D120" t="str">
            <v>INMO</v>
          </cell>
          <cell r="J120" t="str">
            <v/>
          </cell>
          <cell r="O120" t="str">
            <v/>
          </cell>
        </row>
        <row r="121">
          <cell r="A121" t="str">
            <v>*</v>
          </cell>
          <cell r="D121" t="str">
            <v>INME</v>
          </cell>
          <cell r="J121" t="str">
            <v/>
          </cell>
          <cell r="O121" t="str">
            <v/>
          </cell>
        </row>
        <row r="122">
          <cell r="A122" t="str">
            <v>*</v>
          </cell>
          <cell r="D122" t="str">
            <v xml:space="preserve"> </v>
          </cell>
          <cell r="J122" t="str">
            <v/>
          </cell>
          <cell r="O122" t="str">
            <v/>
          </cell>
        </row>
        <row r="123">
          <cell r="A123" t="str">
            <v>*</v>
          </cell>
          <cell r="D123" t="str">
            <v>INMS</v>
          </cell>
          <cell r="J123" t="str">
            <v/>
          </cell>
          <cell r="O123" t="str">
            <v/>
          </cell>
        </row>
        <row r="124">
          <cell r="A124" t="str">
            <v>*</v>
          </cell>
          <cell r="D124" t="str">
            <v>INMS</v>
          </cell>
          <cell r="J124" t="str">
            <v/>
          </cell>
          <cell r="O124" t="str">
            <v/>
          </cell>
        </row>
        <row r="125">
          <cell r="A125" t="str">
            <v>*</v>
          </cell>
          <cell r="D125" t="str">
            <v>INMS</v>
          </cell>
          <cell r="J125" t="str">
            <v/>
          </cell>
          <cell r="O125" t="str">
            <v/>
          </cell>
        </row>
        <row r="126">
          <cell r="A126" t="str">
            <v>*</v>
          </cell>
          <cell r="D126" t="str">
            <v>INMS</v>
          </cell>
          <cell r="J126" t="str">
            <v/>
          </cell>
          <cell r="O126" t="str">
            <v/>
          </cell>
        </row>
        <row r="127">
          <cell r="A127" t="str">
            <v>*</v>
          </cell>
          <cell r="D127" t="str">
            <v>INMS</v>
          </cell>
          <cell r="J127" t="str">
            <v/>
          </cell>
          <cell r="O127" t="str">
            <v/>
          </cell>
        </row>
        <row r="128">
          <cell r="A128" t="str">
            <v>*</v>
          </cell>
          <cell r="D128" t="str">
            <v>INMS</v>
          </cell>
          <cell r="J128" t="str">
            <v/>
          </cell>
          <cell r="O128" t="str">
            <v/>
          </cell>
        </row>
        <row r="129">
          <cell r="A129" t="str">
            <v>*</v>
          </cell>
          <cell r="D129" t="str">
            <v>Useful Energy Service</v>
          </cell>
          <cell r="J129" t="str">
            <v/>
          </cell>
          <cell r="O129" t="str">
            <v/>
          </cell>
        </row>
        <row r="130">
          <cell r="A130" t="str">
            <v>*</v>
          </cell>
          <cell r="D130">
            <v>0</v>
          </cell>
          <cell r="J130" t="str">
            <v/>
          </cell>
          <cell r="O130" t="str">
            <v/>
          </cell>
        </row>
        <row r="131">
          <cell r="D131">
            <v>2</v>
          </cell>
          <cell r="J131" t="str">
            <v/>
          </cell>
          <cell r="O131" t="str">
            <v/>
          </cell>
        </row>
        <row r="132">
          <cell r="A132" t="str">
            <v/>
          </cell>
          <cell r="D132" t="str">
            <v>IFBK</v>
          </cell>
          <cell r="J132">
            <v>1.1176071642017353</v>
          </cell>
          <cell r="O132">
            <v>1.04664</v>
          </cell>
        </row>
        <row r="133">
          <cell r="A133" t="str">
            <v/>
          </cell>
          <cell r="D133" t="str">
            <v>IFBA</v>
          </cell>
          <cell r="J133">
            <v>3.1931633262906718E-2</v>
          </cell>
          <cell r="O133">
            <v>2.9904000000000003E-2</v>
          </cell>
        </row>
        <row r="134">
          <cell r="A134" t="str">
            <v/>
          </cell>
          <cell r="D134" t="str">
            <v>IFBL</v>
          </cell>
          <cell r="J134">
            <v>0.23948724947180039</v>
          </cell>
          <cell r="O134">
            <v>0.22428000000000001</v>
          </cell>
        </row>
        <row r="135">
          <cell r="A135" t="str">
            <v/>
          </cell>
          <cell r="D135" t="str">
            <v>IFBC</v>
          </cell>
          <cell r="J135">
            <v>7.3442756504685454</v>
          </cell>
          <cell r="O135">
            <v>6.8779200000000005</v>
          </cell>
        </row>
        <row r="136">
          <cell r="A136" t="str">
            <v/>
          </cell>
          <cell r="D136" t="str">
            <v>IFBH</v>
          </cell>
          <cell r="J136">
            <v>0.86215409809848131</v>
          </cell>
          <cell r="O136">
            <v>0.8074079999999999</v>
          </cell>
        </row>
        <row r="137">
          <cell r="A137" t="str">
            <v/>
          </cell>
          <cell r="D137" t="str">
            <v>IFBP</v>
          </cell>
          <cell r="J137">
            <v>3.576342925445553</v>
          </cell>
          <cell r="O137">
            <v>3.3492480000000002</v>
          </cell>
        </row>
        <row r="138">
          <cell r="A138" t="str">
            <v/>
          </cell>
          <cell r="D138" t="str">
            <v>IFBF</v>
          </cell>
          <cell r="J138">
            <v>0.51090613220650749</v>
          </cell>
          <cell r="O138">
            <v>0.47846400000000006</v>
          </cell>
        </row>
        <row r="139">
          <cell r="A139" t="str">
            <v/>
          </cell>
          <cell r="D139" t="str">
            <v>IFBO</v>
          </cell>
          <cell r="J139">
            <v>2.6822571940841642</v>
          </cell>
          <cell r="O139">
            <v>2.5119360000000004</v>
          </cell>
        </row>
        <row r="140">
          <cell r="A140" t="str">
            <v/>
          </cell>
          <cell r="D140" t="str">
            <v>IFBE</v>
          </cell>
          <cell r="J140">
            <v>0</v>
          </cell>
          <cell r="O140">
            <v>0</v>
          </cell>
        </row>
        <row r="141">
          <cell r="A141" t="str">
            <v>*</v>
          </cell>
          <cell r="D141" t="str">
            <v xml:space="preserve"> </v>
          </cell>
          <cell r="J141" t="str">
            <v/>
          </cell>
          <cell r="O141" t="str">
            <v/>
          </cell>
        </row>
        <row r="142">
          <cell r="A142" t="str">
            <v/>
          </cell>
          <cell r="D142" t="str">
            <v>IFBS</v>
          </cell>
          <cell r="J142">
            <v>20.421862032418336</v>
          </cell>
          <cell r="O142">
            <v>6.8922304000000008</v>
          </cell>
        </row>
        <row r="143">
          <cell r="A143" t="str">
            <v>*</v>
          </cell>
          <cell r="D143" t="str">
            <v>IFBS</v>
          </cell>
          <cell r="J143" t="str">
            <v/>
          </cell>
          <cell r="O143" t="str">
            <v/>
          </cell>
        </row>
        <row r="144">
          <cell r="A144" t="str">
            <v>*</v>
          </cell>
          <cell r="D144" t="str">
            <v>IFBS</v>
          </cell>
          <cell r="J144" t="str">
            <v/>
          </cell>
          <cell r="O144" t="str">
            <v/>
          </cell>
        </row>
        <row r="145">
          <cell r="A145" t="str">
            <v>*</v>
          </cell>
          <cell r="D145" t="str">
            <v>IFBS</v>
          </cell>
          <cell r="J145" t="str">
            <v/>
          </cell>
          <cell r="O145" t="str">
            <v/>
          </cell>
        </row>
        <row r="146">
          <cell r="A146" t="str">
            <v>*</v>
          </cell>
          <cell r="D146" t="str">
            <v>IFBS</v>
          </cell>
          <cell r="J146" t="str">
            <v/>
          </cell>
          <cell r="O146" t="str">
            <v/>
          </cell>
        </row>
        <row r="147">
          <cell r="A147" t="str">
            <v>*</v>
          </cell>
          <cell r="D147" t="str">
            <v>IFBS</v>
          </cell>
          <cell r="J147" t="str">
            <v/>
          </cell>
          <cell r="O147" t="str">
            <v/>
          </cell>
        </row>
        <row r="148">
          <cell r="A148" t="str">
            <v>*</v>
          </cell>
          <cell r="D148" t="str">
            <v>IFBS</v>
          </cell>
          <cell r="J148" t="str">
            <v/>
          </cell>
          <cell r="O148" t="str">
            <v/>
          </cell>
        </row>
        <row r="149">
          <cell r="A149" t="str">
            <v>*</v>
          </cell>
          <cell r="D149" t="str">
            <v>Useful Energy Service</v>
          </cell>
          <cell r="J149" t="str">
            <v/>
          </cell>
          <cell r="O149" t="str">
            <v/>
          </cell>
        </row>
        <row r="150">
          <cell r="D150">
            <v>0</v>
          </cell>
          <cell r="J150" t="str">
            <v/>
          </cell>
          <cell r="O150" t="str">
            <v/>
          </cell>
        </row>
        <row r="151">
          <cell r="A151" t="str">
            <v>*</v>
          </cell>
          <cell r="D151">
            <v>2</v>
          </cell>
          <cell r="J151" t="str">
            <v/>
          </cell>
          <cell r="O151" t="str">
            <v/>
          </cell>
        </row>
        <row r="152">
          <cell r="A152" t="str">
            <v>*</v>
          </cell>
          <cell r="D152" t="str">
            <v>IPPK</v>
          </cell>
          <cell r="J152" t="str">
            <v/>
          </cell>
          <cell r="O152" t="str">
            <v/>
          </cell>
        </row>
        <row r="153">
          <cell r="A153" t="str">
            <v>*</v>
          </cell>
          <cell r="D153" t="str">
            <v>IPPA</v>
          </cell>
          <cell r="J153" t="str">
            <v/>
          </cell>
          <cell r="O153" t="str">
            <v/>
          </cell>
        </row>
        <row r="154">
          <cell r="A154" t="str">
            <v>*</v>
          </cell>
          <cell r="D154" t="str">
            <v>IPPL</v>
          </cell>
          <cell r="J154" t="str">
            <v/>
          </cell>
          <cell r="O154" t="str">
            <v/>
          </cell>
        </row>
        <row r="155">
          <cell r="A155" t="str">
            <v>*</v>
          </cell>
          <cell r="D155" t="str">
            <v>IPPC</v>
          </cell>
          <cell r="J155" t="str">
            <v/>
          </cell>
          <cell r="O155" t="str">
            <v/>
          </cell>
        </row>
        <row r="156">
          <cell r="A156" t="str">
            <v>*</v>
          </cell>
          <cell r="D156" t="str">
            <v>IPPH</v>
          </cell>
          <cell r="J156" t="str">
            <v/>
          </cell>
          <cell r="O156" t="str">
            <v/>
          </cell>
        </row>
        <row r="157">
          <cell r="A157" t="str">
            <v>*</v>
          </cell>
          <cell r="D157" t="str">
            <v>IPPP</v>
          </cell>
          <cell r="J157" t="str">
            <v/>
          </cell>
          <cell r="O157" t="str">
            <v/>
          </cell>
        </row>
        <row r="158">
          <cell r="A158" t="str">
            <v>*</v>
          </cell>
          <cell r="D158" t="str">
            <v>IPPF</v>
          </cell>
          <cell r="J158" t="str">
            <v/>
          </cell>
          <cell r="O158" t="str">
            <v/>
          </cell>
        </row>
        <row r="159">
          <cell r="A159" t="str">
            <v>*</v>
          </cell>
          <cell r="D159" t="str">
            <v>IPPO</v>
          </cell>
          <cell r="J159" t="str">
            <v/>
          </cell>
          <cell r="O159" t="str">
            <v/>
          </cell>
        </row>
        <row r="160">
          <cell r="A160" t="str">
            <v>*</v>
          </cell>
          <cell r="D160" t="str">
            <v>IPPE</v>
          </cell>
          <cell r="J160" t="str">
            <v/>
          </cell>
          <cell r="O160" t="str">
            <v/>
          </cell>
        </row>
        <row r="161">
          <cell r="A161" t="str">
            <v>*</v>
          </cell>
          <cell r="D161" t="str">
            <v xml:space="preserve"> </v>
          </cell>
          <cell r="J161" t="str">
            <v/>
          </cell>
          <cell r="O161" t="str">
            <v/>
          </cell>
        </row>
        <row r="162">
          <cell r="A162" t="str">
            <v>*</v>
          </cell>
          <cell r="D162" t="str">
            <v>IPPS</v>
          </cell>
          <cell r="J162" t="str">
            <v/>
          </cell>
          <cell r="O162" t="str">
            <v/>
          </cell>
        </row>
        <row r="163">
          <cell r="A163" t="str">
            <v>*</v>
          </cell>
          <cell r="D163" t="str">
            <v>IPPS</v>
          </cell>
          <cell r="J163" t="str">
            <v/>
          </cell>
          <cell r="O163" t="str">
            <v/>
          </cell>
        </row>
        <row r="164">
          <cell r="A164" t="str">
            <v>*</v>
          </cell>
          <cell r="D164" t="str">
            <v>IPPS</v>
          </cell>
          <cell r="J164" t="str">
            <v/>
          </cell>
          <cell r="O164" t="str">
            <v/>
          </cell>
        </row>
        <row r="165">
          <cell r="A165" t="str">
            <v>*</v>
          </cell>
          <cell r="D165" t="str">
            <v>IPPS</v>
          </cell>
          <cell r="J165" t="str">
            <v/>
          </cell>
          <cell r="O165" t="str">
            <v/>
          </cell>
        </row>
        <row r="166">
          <cell r="A166" t="str">
            <v>*</v>
          </cell>
          <cell r="D166" t="str">
            <v>IPPS</v>
          </cell>
          <cell r="J166" t="str">
            <v/>
          </cell>
          <cell r="O166" t="str">
            <v/>
          </cell>
        </row>
        <row r="167">
          <cell r="A167" t="str">
            <v>*</v>
          </cell>
          <cell r="D167" t="str">
            <v>IPPS</v>
          </cell>
          <cell r="J167" t="str">
            <v/>
          </cell>
          <cell r="O167" t="str">
            <v/>
          </cell>
        </row>
        <row r="168">
          <cell r="A168" t="str">
            <v>*</v>
          </cell>
          <cell r="D168" t="str">
            <v>IPPS</v>
          </cell>
          <cell r="J168" t="str">
            <v/>
          </cell>
          <cell r="O168" t="str">
            <v/>
          </cell>
        </row>
        <row r="169">
          <cell r="D169" t="str">
            <v>Useful Energy Service</v>
          </cell>
          <cell r="J169" t="str">
            <v/>
          </cell>
          <cell r="O169" t="str">
            <v/>
          </cell>
        </row>
        <row r="170">
          <cell r="A170" t="str">
            <v>*</v>
          </cell>
          <cell r="D170">
            <v>0</v>
          </cell>
          <cell r="J170" t="str">
            <v/>
          </cell>
          <cell r="O170" t="str">
            <v/>
          </cell>
        </row>
        <row r="171">
          <cell r="A171" t="str">
            <v>*</v>
          </cell>
          <cell r="D171">
            <v>2</v>
          </cell>
          <cell r="J171" t="str">
            <v/>
          </cell>
          <cell r="O171" t="str">
            <v/>
          </cell>
        </row>
        <row r="172">
          <cell r="A172" t="str">
            <v/>
          </cell>
          <cell r="D172" t="str">
            <v>IOTK</v>
          </cell>
          <cell r="J172">
            <v>4.0241553496851505</v>
          </cell>
          <cell r="O172">
            <v>2.1816720000000003</v>
          </cell>
        </row>
        <row r="173">
          <cell r="A173" t="str">
            <v/>
          </cell>
          <cell r="D173" t="str">
            <v>IOTA</v>
          </cell>
          <cell r="J173">
            <v>0.22789646617646991</v>
          </cell>
          <cell r="O173">
            <v>0.12355272</v>
          </cell>
        </row>
        <row r="174">
          <cell r="A174" t="str">
            <v/>
          </cell>
          <cell r="D174" t="str">
            <v>IOTL</v>
          </cell>
          <cell r="J174">
            <v>1.0095834302163471</v>
          </cell>
          <cell r="O174">
            <v>0.54733968</v>
          </cell>
        </row>
        <row r="175">
          <cell r="A175" t="str">
            <v/>
          </cell>
          <cell r="D175" t="str">
            <v>IOTC</v>
          </cell>
          <cell r="J175">
            <v>4.2868722274366169</v>
          </cell>
          <cell r="O175">
            <v>2.3241024000000006</v>
          </cell>
        </row>
        <row r="176">
          <cell r="A176" t="str">
            <v/>
          </cell>
          <cell r="D176" t="str">
            <v>IOTH</v>
          </cell>
          <cell r="J176">
            <v>3.1863804172999206</v>
          </cell>
          <cell r="O176">
            <v>1.7274772800000002</v>
          </cell>
        </row>
        <row r="177">
          <cell r="A177" t="str">
            <v/>
          </cell>
          <cell r="D177" t="str">
            <v>IOTP</v>
          </cell>
          <cell r="J177">
            <v>4.3369135374845138</v>
          </cell>
          <cell r="O177">
            <v>2.3512320000000004</v>
          </cell>
        </row>
        <row r="178">
          <cell r="A178" t="str">
            <v/>
          </cell>
          <cell r="D178" t="str">
            <v>IOTF</v>
          </cell>
          <cell r="J178">
            <v>1.8465243407674456</v>
          </cell>
          <cell r="O178">
            <v>1.0010822400000001</v>
          </cell>
        </row>
        <row r="179">
          <cell r="A179" t="str">
            <v/>
          </cell>
          <cell r="D179" t="str">
            <v>IOTO</v>
          </cell>
          <cell r="J179">
            <v>12.304490923310874</v>
          </cell>
          <cell r="O179">
            <v>6.6708069120000006</v>
          </cell>
        </row>
        <row r="180">
          <cell r="A180" t="str">
            <v/>
          </cell>
          <cell r="D180" t="str">
            <v>IOTE</v>
          </cell>
          <cell r="J180">
            <v>0.41264064265496897</v>
          </cell>
          <cell r="O180">
            <v>0.22371068160000002</v>
          </cell>
        </row>
        <row r="181">
          <cell r="A181" t="str">
            <v>*</v>
          </cell>
          <cell r="D181" t="str">
            <v xml:space="preserve"> </v>
          </cell>
          <cell r="J181" t="str">
            <v/>
          </cell>
          <cell r="O181" t="str">
            <v/>
          </cell>
        </row>
        <row r="182">
          <cell r="A182" t="str">
            <v/>
          </cell>
          <cell r="D182" t="str">
            <v>IOTS</v>
          </cell>
          <cell r="J182">
            <v>73.690487252999532</v>
          </cell>
          <cell r="O182">
            <v>61.561340800000004</v>
          </cell>
        </row>
        <row r="183">
          <cell r="A183" t="str">
            <v>*</v>
          </cell>
          <cell r="D183" t="str">
            <v>IOTS</v>
          </cell>
          <cell r="J183" t="str">
            <v/>
          </cell>
          <cell r="O183" t="str">
            <v/>
          </cell>
        </row>
        <row r="184">
          <cell r="A184" t="str">
            <v>*</v>
          </cell>
          <cell r="D184" t="str">
            <v>IOTS</v>
          </cell>
          <cell r="J184" t="str">
            <v/>
          </cell>
          <cell r="O184" t="str">
            <v/>
          </cell>
        </row>
        <row r="185">
          <cell r="A185" t="str">
            <v>*</v>
          </cell>
          <cell r="D185" t="str">
            <v>IOTS</v>
          </cell>
          <cell r="J185" t="str">
            <v/>
          </cell>
          <cell r="O185" t="str">
            <v/>
          </cell>
        </row>
        <row r="186">
          <cell r="A186" t="str">
            <v>*</v>
          </cell>
          <cell r="D186" t="str">
            <v>IOTS</v>
          </cell>
          <cell r="J186" t="str">
            <v/>
          </cell>
          <cell r="O186" t="str">
            <v/>
          </cell>
        </row>
        <row r="187">
          <cell r="A187" t="str">
            <v>*</v>
          </cell>
          <cell r="D187" t="str">
            <v>IOTS</v>
          </cell>
          <cell r="J187" t="str">
            <v/>
          </cell>
          <cell r="O187" t="str">
            <v/>
          </cell>
        </row>
        <row r="188">
          <cell r="A188" t="str">
            <v/>
          </cell>
          <cell r="D188" t="str">
            <v>IOTR</v>
          </cell>
          <cell r="J188">
            <v>9.4685659246785185</v>
          </cell>
          <cell r="O188">
            <v>37.630000000000003</v>
          </cell>
        </row>
        <row r="189">
          <cell r="A189" t="str">
            <v>*</v>
          </cell>
          <cell r="D189">
            <v>0</v>
          </cell>
          <cell r="J189" t="str">
            <v/>
          </cell>
          <cell r="O189" t="str">
            <v/>
          </cell>
        </row>
        <row r="190">
          <cell r="D190">
            <v>0</v>
          </cell>
          <cell r="J190" t="str">
            <v/>
          </cell>
          <cell r="O190" t="str">
            <v/>
          </cell>
        </row>
        <row r="191">
          <cell r="D191">
            <v>0</v>
          </cell>
          <cell r="J191" t="str">
            <v/>
          </cell>
          <cell r="O191" t="str">
            <v/>
          </cell>
        </row>
        <row r="192">
          <cell r="D192">
            <v>0</v>
          </cell>
          <cell r="J192" t="str">
            <v/>
          </cell>
          <cell r="O192" t="str">
            <v/>
          </cell>
        </row>
        <row r="193">
          <cell r="D193">
            <v>0</v>
          </cell>
          <cell r="J193" t="str">
            <v/>
          </cell>
          <cell r="O193" t="str">
            <v/>
          </cell>
        </row>
        <row r="194">
          <cell r="D194">
            <v>0</v>
          </cell>
          <cell r="J194" t="str">
            <v/>
          </cell>
          <cell r="O194" t="str">
            <v/>
          </cell>
        </row>
        <row r="195">
          <cell r="D195">
            <v>0</v>
          </cell>
          <cell r="J195" t="str">
            <v/>
          </cell>
          <cell r="O195" t="str">
            <v/>
          </cell>
        </row>
        <row r="196">
          <cell r="D196">
            <v>0</v>
          </cell>
          <cell r="J196" t="str">
            <v/>
          </cell>
          <cell r="O196" t="str">
            <v/>
          </cell>
        </row>
        <row r="197">
          <cell r="D197">
            <v>0</v>
          </cell>
          <cell r="J197" t="str">
            <v/>
          </cell>
          <cell r="O197" t="str">
            <v/>
          </cell>
        </row>
        <row r="198">
          <cell r="D198">
            <v>0</v>
          </cell>
          <cell r="J198" t="str">
            <v/>
          </cell>
          <cell r="O198" t="str">
            <v/>
          </cell>
        </row>
        <row r="199">
          <cell r="D199">
            <v>0</v>
          </cell>
          <cell r="J199" t="str">
            <v/>
          </cell>
          <cell r="O199" t="str">
            <v/>
          </cell>
        </row>
        <row r="200">
          <cell r="D200">
            <v>0</v>
          </cell>
          <cell r="J200" t="str">
            <v/>
          </cell>
          <cell r="O200" t="str">
            <v/>
          </cell>
        </row>
        <row r="201">
          <cell r="D201">
            <v>0</v>
          </cell>
          <cell r="J201" t="str">
            <v/>
          </cell>
          <cell r="O201" t="str">
            <v/>
          </cell>
        </row>
        <row r="202">
          <cell r="D202">
            <v>0</v>
          </cell>
          <cell r="J202" t="str">
            <v/>
          </cell>
          <cell r="O202" t="str">
            <v/>
          </cell>
        </row>
        <row r="203">
          <cell r="D203">
            <v>0</v>
          </cell>
          <cell r="J203" t="str">
            <v/>
          </cell>
          <cell r="O203" t="str">
            <v/>
          </cell>
        </row>
      </sheetData>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utoolsforExcel"/>
      <sheetName val="Index"/>
      <sheetName val="Log of Changes"/>
      <sheetName val="conversion factors"/>
      <sheetName val="Other sources"/>
      <sheetName val="Geyser"/>
      <sheetName val="SAPIA"/>
      <sheetName val="Fuel Supply"/>
      <sheetName val="NERSA Sales Sum"/>
      <sheetName val="Appliances"/>
      <sheetName val="REGIONS"/>
      <sheetName val="References"/>
      <sheetName val="bottom-up-enduse"/>
      <sheetName val="AMPS Geysers"/>
      <sheetName val="access to services"/>
      <sheetName val="Fridges"/>
      <sheetName val="Lighting"/>
      <sheetName val="RES_TCH_Database"/>
      <sheetName val="Census 2011"/>
      <sheetName val="electrification"/>
      <sheetName val="2017 end use splits"/>
      <sheetName val="Community survey 2016"/>
      <sheetName val="Energy_Balance"/>
      <sheetName val="RES 2012"/>
      <sheetName val="RES"/>
      <sheetName val="Scenarios"/>
      <sheetName val="Model energy input 2012"/>
      <sheetName val="Model energy input"/>
      <sheetName val="Graphs"/>
      <sheetName val="ITEMS_Tech"/>
      <sheetName val="TS DTech"/>
      <sheetName val="TS DMARK"/>
      <sheetName val="TS ZTechs"/>
      <sheetName val="TID ZTechs"/>
      <sheetName val="TID DTech"/>
      <sheetName val="TID Const"/>
      <sheetName val="TS Const"/>
      <sheetName val="ITEMS_Comm"/>
      <sheetName val="TS NCAP_AF"/>
      <sheetName val="TS BYDem"/>
      <sheetName val="TS COMFR"/>
      <sheetName val="TS COMFR_10"/>
      <sheetName val="NameConv"/>
      <sheetName val="Sets in RES"/>
      <sheetName val="AFA"/>
      <sheetName val="TS FTech"/>
      <sheetName val="TID FTech"/>
      <sheetName val="TS Emiss"/>
      <sheetName val="TID Emiss"/>
      <sheetName val="Sheet1"/>
      <sheetName val="hhld fuel use calibration"/>
      <sheetName val="SW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26">
          <cell r="A26" t="str">
            <v>Low Income Electrified</v>
          </cell>
          <cell r="B26" t="str">
            <v>LE</v>
          </cell>
        </row>
        <row r="27">
          <cell r="A27" t="str">
            <v>Middle Income Electrified</v>
          </cell>
          <cell r="B27" t="str">
            <v>ME</v>
          </cell>
        </row>
        <row r="28">
          <cell r="A28" t="str">
            <v>High Income Electrified</v>
          </cell>
          <cell r="B28" t="str">
            <v>HE</v>
          </cell>
        </row>
        <row r="29">
          <cell r="A29" t="str">
            <v>Low Income Non-Electrified</v>
          </cell>
          <cell r="B29" t="str">
            <v>LN</v>
          </cell>
        </row>
        <row r="30">
          <cell r="A30" t="str">
            <v>Middle Income Non-Electrified</v>
          </cell>
          <cell r="B30" t="str">
            <v>MN</v>
          </cell>
        </row>
        <row r="32">
          <cell r="A32" t="str">
            <v>USE the names but not the numbers in the greyed out stuff, all the balance numbers are taken directly from the energy balance sheet</v>
          </cell>
          <cell r="B32"/>
        </row>
        <row r="33">
          <cell r="A33" t="str">
            <v>End use demands</v>
          </cell>
          <cell r="B33" t="str">
            <v>Demand</v>
          </cell>
        </row>
        <row r="34">
          <cell r="A34" t="str">
            <v>Lighting</v>
          </cell>
          <cell r="B34" t="str">
            <v>L</v>
          </cell>
        </row>
        <row r="35">
          <cell r="A35" t="str">
            <v>Cooking</v>
          </cell>
          <cell r="B35" t="str">
            <v>K</v>
          </cell>
        </row>
        <row r="36">
          <cell r="A36" t="str">
            <v>Space Heating</v>
          </cell>
          <cell r="B36" t="str">
            <v>H</v>
          </cell>
        </row>
        <row r="37">
          <cell r="A37" t="str">
            <v>Water Heating Geyser</v>
          </cell>
          <cell r="B37" t="str">
            <v>WG</v>
          </cell>
        </row>
        <row r="38">
          <cell r="A38" t="str">
            <v>Water Heating</v>
          </cell>
          <cell r="B38" t="str">
            <v>W</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row r="27">
          <cell r="A27" t="str">
            <v/>
          </cell>
          <cell r="B27" t="str">
            <v>E</v>
          </cell>
          <cell r="C27" t="str">
            <v>RLEL</v>
          </cell>
          <cell r="D27" t="str">
            <v>Residential - Lighting - Low Income Electrified</v>
          </cell>
          <cell r="E27" t="str">
            <v>PJ</v>
          </cell>
          <cell r="F27" t="str">
            <v>COM,DEM,DAYNITE,RES</v>
          </cell>
        </row>
        <row r="28">
          <cell r="A28" t="str">
            <v/>
          </cell>
          <cell r="B28" t="str">
            <v>E</v>
          </cell>
          <cell r="C28" t="str">
            <v>RLNL</v>
          </cell>
          <cell r="D28" t="str">
            <v>Residential - Lighting - Low Income Electrified paraffin</v>
          </cell>
          <cell r="E28" t="str">
            <v>PJ</v>
          </cell>
          <cell r="F28" t="str">
            <v>COM,DEM,DAYNITE,RES</v>
          </cell>
        </row>
        <row r="29">
          <cell r="A29" t="str">
            <v/>
          </cell>
          <cell r="B29" t="str">
            <v>E</v>
          </cell>
          <cell r="C29" t="str">
            <v>RLEK</v>
          </cell>
          <cell r="D29" t="str">
            <v>Residential - Cooking - Low Income Electrified</v>
          </cell>
          <cell r="E29" t="str">
            <v>PJ</v>
          </cell>
          <cell r="F29" t="str">
            <v>COM,DEM,DAYNITE,RES</v>
          </cell>
        </row>
        <row r="30">
          <cell r="A30" t="str">
            <v/>
          </cell>
          <cell r="B30" t="str">
            <v>E</v>
          </cell>
          <cell r="C30" t="str">
            <v>RLEH</v>
          </cell>
          <cell r="D30" t="str">
            <v>Residential - Space Heating - Low Income Electrified</v>
          </cell>
          <cell r="E30" t="str">
            <v>PJ</v>
          </cell>
          <cell r="F30" t="str">
            <v>COM,DEM,DAYNITE,RES</v>
          </cell>
        </row>
        <row r="31">
          <cell r="A31" t="str">
            <v/>
          </cell>
          <cell r="B31" t="str">
            <v>E</v>
          </cell>
          <cell r="C31" t="str">
            <v>RLEWG</v>
          </cell>
          <cell r="D31" t="str">
            <v>Residential - Water Heating Geyser - Low Income Electrified</v>
          </cell>
          <cell r="E31" t="str">
            <v>PJ</v>
          </cell>
          <cell r="F31" t="str">
            <v>COM,DEM,DAYNITE,RES</v>
          </cell>
        </row>
        <row r="32">
          <cell r="A32" t="str">
            <v/>
          </cell>
          <cell r="B32" t="str">
            <v>E</v>
          </cell>
          <cell r="C32" t="str">
            <v>RLEW</v>
          </cell>
          <cell r="D32" t="str">
            <v>Residential - Water Heating - Low Income Electrified</v>
          </cell>
          <cell r="E32" t="str">
            <v>PJ</v>
          </cell>
          <cell r="F32" t="str">
            <v>COM,DEM,DAYNITE,RES</v>
          </cell>
        </row>
        <row r="33">
          <cell r="A33" t="str">
            <v/>
          </cell>
          <cell r="B33" t="str">
            <v>E</v>
          </cell>
          <cell r="C33" t="str">
            <v>RLER</v>
          </cell>
          <cell r="D33" t="str">
            <v>Residential - Refrigeration - Low Income Electrified</v>
          </cell>
          <cell r="E33" t="str">
            <v>PJ</v>
          </cell>
          <cell r="F33" t="str">
            <v>COM,DEM,DAYNITE,RES</v>
          </cell>
        </row>
        <row r="34">
          <cell r="A34" t="str">
            <v/>
          </cell>
          <cell r="B34" t="str">
            <v>E</v>
          </cell>
          <cell r="C34" t="str">
            <v>RLEO</v>
          </cell>
          <cell r="D34" t="str">
            <v>Residential - Other - Low Income Electrified</v>
          </cell>
          <cell r="E34" t="str">
            <v>PJ</v>
          </cell>
          <cell r="F34" t="str">
            <v>COM,DEM,DAYNITE,RES</v>
          </cell>
        </row>
        <row r="35">
          <cell r="A35" t="str">
            <v>*</v>
          </cell>
          <cell r="B35" t="str">
            <v>E</v>
          </cell>
          <cell r="C35">
            <v>0</v>
          </cell>
          <cell r="D35" t="str">
            <v/>
          </cell>
          <cell r="E35" t="str">
            <v/>
          </cell>
          <cell r="F35" t="str">
            <v/>
          </cell>
        </row>
        <row r="36">
          <cell r="A36" t="str">
            <v>*</v>
          </cell>
          <cell r="B36" t="str">
            <v>E</v>
          </cell>
          <cell r="C36">
            <v>0</v>
          </cell>
          <cell r="D36" t="str">
            <v/>
          </cell>
          <cell r="E36" t="str">
            <v/>
          </cell>
          <cell r="F36" t="str">
            <v/>
          </cell>
        </row>
        <row r="37">
          <cell r="A37" t="str">
            <v>*</v>
          </cell>
          <cell r="B37" t="str">
            <v>E</v>
          </cell>
          <cell r="C37">
            <v>0</v>
          </cell>
          <cell r="D37" t="str">
            <v/>
          </cell>
          <cell r="E37" t="str">
            <v/>
          </cell>
          <cell r="F37" t="str">
            <v/>
          </cell>
        </row>
        <row r="38">
          <cell r="A38" t="str">
            <v/>
          </cell>
          <cell r="B38" t="str">
            <v>E</v>
          </cell>
          <cell r="C38" t="str">
            <v>RMEL</v>
          </cell>
          <cell r="D38" t="str">
            <v>Residential - Lighting - Middle Income Electrified</v>
          </cell>
          <cell r="E38" t="str">
            <v>PJ</v>
          </cell>
          <cell r="F38" t="str">
            <v>COM,DEM,DAYNITE,RES</v>
          </cell>
        </row>
        <row r="39">
          <cell r="A39" t="str">
            <v/>
          </cell>
          <cell r="B39" t="str">
            <v>E</v>
          </cell>
          <cell r="C39" t="str">
            <v>RMNL</v>
          </cell>
          <cell r="D39" t="str">
            <v>Residential - Lighting - Middle Income Electrified paraffin</v>
          </cell>
          <cell r="E39" t="str">
            <v>PJ</v>
          </cell>
          <cell r="F39" t="str">
            <v>COM,DEM,DAYNITE,RES</v>
          </cell>
        </row>
        <row r="40">
          <cell r="A40" t="str">
            <v/>
          </cell>
          <cell r="B40" t="str">
            <v>E</v>
          </cell>
          <cell r="C40" t="str">
            <v>RMEK</v>
          </cell>
          <cell r="D40" t="str">
            <v>Residential - Cooking - Middle Income Electrified</v>
          </cell>
          <cell r="E40" t="str">
            <v>PJ</v>
          </cell>
          <cell r="F40" t="str">
            <v>COM,DEM,DAYNITE,RES</v>
          </cell>
        </row>
        <row r="41">
          <cell r="A41" t="str">
            <v/>
          </cell>
          <cell r="B41" t="str">
            <v>E</v>
          </cell>
          <cell r="C41" t="str">
            <v>RMEH</v>
          </cell>
          <cell r="D41" t="str">
            <v>Residential - Space Heating - Middle Income Electrified</v>
          </cell>
          <cell r="E41" t="str">
            <v>PJ</v>
          </cell>
          <cell r="F41" t="str">
            <v>COM,DEM,DAYNITE,RES</v>
          </cell>
        </row>
        <row r="42">
          <cell r="A42" t="str">
            <v/>
          </cell>
          <cell r="B42" t="str">
            <v>E</v>
          </cell>
          <cell r="C42" t="str">
            <v>RMEWG</v>
          </cell>
          <cell r="D42" t="str">
            <v>Residential - Water Heating Geyser - Middle Income Electrified</v>
          </cell>
          <cell r="E42" t="str">
            <v>PJ</v>
          </cell>
          <cell r="F42" t="str">
            <v>COM,DEM,DAYNITE,RES</v>
          </cell>
        </row>
        <row r="43">
          <cell r="A43" t="str">
            <v/>
          </cell>
          <cell r="B43" t="str">
            <v>E</v>
          </cell>
          <cell r="C43" t="str">
            <v>RMEW</v>
          </cell>
          <cell r="D43">
            <v>0</v>
          </cell>
          <cell r="E43" t="str">
            <v>PJ</v>
          </cell>
          <cell r="F43" t="str">
            <v>COM,DEM,DAYNITE,RES</v>
          </cell>
        </row>
        <row r="44">
          <cell r="A44" t="str">
            <v/>
          </cell>
          <cell r="B44" t="str">
            <v>E</v>
          </cell>
          <cell r="C44" t="str">
            <v>RMER</v>
          </cell>
          <cell r="D44" t="str">
            <v>Residential - Refrigeration - Middle Income Electrified</v>
          </cell>
          <cell r="E44" t="str">
            <v>PJ</v>
          </cell>
          <cell r="F44" t="str">
            <v>COM,DEM,DAYNITE,RES</v>
          </cell>
        </row>
        <row r="45">
          <cell r="A45" t="str">
            <v/>
          </cell>
          <cell r="B45" t="str">
            <v>E</v>
          </cell>
          <cell r="C45" t="str">
            <v>RMEO</v>
          </cell>
          <cell r="D45" t="str">
            <v>Residential - Other - Middle Income Electrified</v>
          </cell>
          <cell r="E45" t="str">
            <v>PJ</v>
          </cell>
          <cell r="F45" t="str">
            <v>COM,DEM,DAYNITE,RES</v>
          </cell>
        </row>
        <row r="46">
          <cell r="A46" t="str">
            <v>*</v>
          </cell>
          <cell r="B46" t="str">
            <v>E</v>
          </cell>
          <cell r="C46">
            <v>0</v>
          </cell>
          <cell r="D46" t="str">
            <v/>
          </cell>
          <cell r="E46" t="str">
            <v/>
          </cell>
          <cell r="F46" t="str">
            <v/>
          </cell>
        </row>
        <row r="47">
          <cell r="A47" t="str">
            <v>*</v>
          </cell>
          <cell r="B47" t="str">
            <v>E</v>
          </cell>
          <cell r="C47">
            <v>0</v>
          </cell>
          <cell r="D47" t="str">
            <v/>
          </cell>
          <cell r="E47" t="str">
            <v/>
          </cell>
          <cell r="F47" t="str">
            <v/>
          </cell>
        </row>
        <row r="48">
          <cell r="A48" t="str">
            <v>*</v>
          </cell>
          <cell r="B48" t="str">
            <v>E</v>
          </cell>
          <cell r="C48">
            <v>0</v>
          </cell>
          <cell r="D48" t="str">
            <v/>
          </cell>
          <cell r="E48" t="str">
            <v/>
          </cell>
          <cell r="F48" t="str">
            <v/>
          </cell>
        </row>
        <row r="49">
          <cell r="A49" t="str">
            <v/>
          </cell>
          <cell r="B49" t="str">
            <v>E</v>
          </cell>
          <cell r="C49" t="str">
            <v>RHEL</v>
          </cell>
          <cell r="D49" t="str">
            <v>Residential - Lighting - High Income Electrified</v>
          </cell>
          <cell r="E49" t="str">
            <v>PJ</v>
          </cell>
          <cell r="F49" t="str">
            <v>COM,DEM,DAYNITE,RES</v>
          </cell>
        </row>
        <row r="50">
          <cell r="A50" t="str">
            <v/>
          </cell>
          <cell r="B50" t="str">
            <v>E</v>
          </cell>
          <cell r="C50" t="str">
            <v>RHEK</v>
          </cell>
          <cell r="D50" t="str">
            <v>Residential - Cooking - High Income Electrified</v>
          </cell>
          <cell r="E50" t="str">
            <v>PJ</v>
          </cell>
          <cell r="F50" t="str">
            <v>COM,DEM,DAYNITE,RES</v>
          </cell>
        </row>
        <row r="51">
          <cell r="A51" t="str">
            <v/>
          </cell>
          <cell r="B51" t="str">
            <v>E</v>
          </cell>
          <cell r="C51" t="str">
            <v>RHEH</v>
          </cell>
          <cell r="D51" t="str">
            <v>Residential - Space Heating - High Income Electrified</v>
          </cell>
          <cell r="E51" t="str">
            <v>PJ</v>
          </cell>
          <cell r="F51" t="str">
            <v>COM,DEM,DAYNITE,RES</v>
          </cell>
        </row>
        <row r="52">
          <cell r="A52" t="str">
            <v/>
          </cell>
          <cell r="B52" t="str">
            <v>E</v>
          </cell>
          <cell r="C52" t="str">
            <v>RHEWG</v>
          </cell>
          <cell r="D52" t="str">
            <v>Residential - Water Heating Geyser - High Income Electrified</v>
          </cell>
          <cell r="E52" t="str">
            <v>PJ</v>
          </cell>
          <cell r="F52" t="str">
            <v>COM,DEM,DAYNITE,RES</v>
          </cell>
        </row>
        <row r="53">
          <cell r="A53" t="str">
            <v/>
          </cell>
          <cell r="B53" t="str">
            <v>E</v>
          </cell>
          <cell r="C53" t="str">
            <v>RHEW</v>
          </cell>
          <cell r="D53" t="str">
            <v xml:space="preserve">Residential -water heating non geyser high income </v>
          </cell>
          <cell r="E53" t="str">
            <v>PJ</v>
          </cell>
          <cell r="F53" t="str">
            <v>COM,DEM,DAYNITE,RES</v>
          </cell>
        </row>
        <row r="54">
          <cell r="A54" t="str">
            <v/>
          </cell>
          <cell r="B54" t="str">
            <v>E</v>
          </cell>
          <cell r="C54" t="str">
            <v>RHER</v>
          </cell>
          <cell r="D54" t="str">
            <v>Residential - Refrigeration - High Income Electrified</v>
          </cell>
          <cell r="E54" t="str">
            <v>PJ</v>
          </cell>
          <cell r="F54" t="str">
            <v>COM,DEM,DAYNITE,RES</v>
          </cell>
        </row>
        <row r="55">
          <cell r="A55" t="str">
            <v/>
          </cell>
          <cell r="B55" t="str">
            <v>E</v>
          </cell>
          <cell r="C55" t="str">
            <v>RHEO</v>
          </cell>
          <cell r="D55" t="str">
            <v>Residential - Other - High Income Electrified</v>
          </cell>
          <cell r="E55" t="str">
            <v>PJ</v>
          </cell>
          <cell r="F55" t="str">
            <v>COM,DEM,DAYNITE,RES</v>
          </cell>
        </row>
        <row r="56">
          <cell r="A56" t="str">
            <v>*</v>
          </cell>
          <cell r="B56" t="str">
            <v>E</v>
          </cell>
          <cell r="C56">
            <v>0</v>
          </cell>
          <cell r="D56" t="str">
            <v/>
          </cell>
          <cell r="E56" t="str">
            <v/>
          </cell>
          <cell r="F56" t="str">
            <v/>
          </cell>
        </row>
        <row r="57">
          <cell r="A57" t="str">
            <v>*</v>
          </cell>
          <cell r="B57" t="str">
            <v>E</v>
          </cell>
          <cell r="C57">
            <v>0</v>
          </cell>
          <cell r="E57"/>
          <cell r="F57"/>
        </row>
        <row r="58">
          <cell r="A58" t="str">
            <v>*</v>
          </cell>
          <cell r="B58" t="str">
            <v>E</v>
          </cell>
          <cell r="C58">
            <v>0</v>
          </cell>
          <cell r="E58"/>
          <cell r="F58"/>
        </row>
        <row r="59">
          <cell r="A59" t="str">
            <v>*</v>
          </cell>
          <cell r="B59" t="str">
            <v>E</v>
          </cell>
          <cell r="C59">
            <v>0</v>
          </cell>
          <cell r="E59"/>
          <cell r="F59"/>
        </row>
        <row r="60">
          <cell r="A60" t="str">
            <v>*</v>
          </cell>
          <cell r="B60" t="str">
            <v>E</v>
          </cell>
          <cell r="C60">
            <v>0</v>
          </cell>
          <cell r="E60"/>
          <cell r="F60"/>
        </row>
        <row r="61">
          <cell r="A61" t="str">
            <v>*</v>
          </cell>
          <cell r="B61" t="str">
            <v>E</v>
          </cell>
          <cell r="C61">
            <v>0</v>
          </cell>
          <cell r="E61"/>
          <cell r="F61"/>
        </row>
        <row r="62">
          <cell r="A62" t="str">
            <v>*</v>
          </cell>
          <cell r="B62" t="str">
            <v>E</v>
          </cell>
          <cell r="C62">
            <v>0</v>
          </cell>
          <cell r="E62"/>
          <cell r="F62"/>
        </row>
        <row r="63">
          <cell r="A63" t="str">
            <v>*</v>
          </cell>
          <cell r="B63" t="str">
            <v>E</v>
          </cell>
          <cell r="C63">
            <v>0</v>
          </cell>
          <cell r="E63"/>
          <cell r="F63"/>
        </row>
        <row r="64">
          <cell r="A64" t="str">
            <v>*</v>
          </cell>
          <cell r="B64" t="str">
            <v>E</v>
          </cell>
          <cell r="C64">
            <v>0</v>
          </cell>
          <cell r="E64"/>
          <cell r="F64"/>
        </row>
        <row r="65">
          <cell r="A65" t="str">
            <v>*</v>
          </cell>
          <cell r="B65" t="str">
            <v>E</v>
          </cell>
          <cell r="C65">
            <v>0</v>
          </cell>
          <cell r="E65"/>
          <cell r="F65"/>
        </row>
        <row r="66">
          <cell r="A66" t="str">
            <v>*</v>
          </cell>
          <cell r="B66" t="str">
            <v>E</v>
          </cell>
          <cell r="C66">
            <v>0</v>
          </cell>
          <cell r="E66"/>
          <cell r="F66"/>
        </row>
        <row r="67">
          <cell r="A67" t="str">
            <v>*</v>
          </cell>
          <cell r="B67" t="str">
            <v>E</v>
          </cell>
          <cell r="C67">
            <v>0</v>
          </cell>
          <cell r="E67"/>
          <cell r="F67"/>
        </row>
        <row r="68">
          <cell r="A68" t="str">
            <v>*</v>
          </cell>
          <cell r="B68" t="str">
            <v>E</v>
          </cell>
          <cell r="C68">
            <v>0</v>
          </cell>
          <cell r="E68"/>
          <cell r="F68"/>
        </row>
        <row r="69">
          <cell r="A69" t="str">
            <v>*</v>
          </cell>
          <cell r="B69" t="str">
            <v>E</v>
          </cell>
          <cell r="C69">
            <v>0</v>
          </cell>
          <cell r="E69"/>
          <cell r="F69"/>
        </row>
      </sheetData>
      <sheetData sheetId="38"/>
      <sheetData sheetId="39">
        <row r="7">
          <cell r="J7">
            <v>2012</v>
          </cell>
        </row>
        <row r="10">
          <cell r="A10" t="str">
            <v/>
          </cell>
          <cell r="B10" t="str">
            <v>COM_PROJ</v>
          </cell>
          <cell r="C10" t="str">
            <v>-</v>
          </cell>
          <cell r="D10" t="str">
            <v>RLEL</v>
          </cell>
          <cell r="E10" t="str">
            <v>-</v>
          </cell>
          <cell r="F10" t="str">
            <v>-</v>
          </cell>
          <cell r="G10" t="str">
            <v>-</v>
          </cell>
          <cell r="H10" t="str">
            <v>-</v>
          </cell>
          <cell r="I10">
            <v>0</v>
          </cell>
          <cell r="J10">
            <v>10.675871970797223</v>
          </cell>
          <cell r="O10">
            <v>20.154214924188423</v>
          </cell>
        </row>
        <row r="11">
          <cell r="A11" t="str">
            <v/>
          </cell>
          <cell r="B11" t="str">
            <v>COM_PROJ</v>
          </cell>
          <cell r="C11" t="str">
            <v>-</v>
          </cell>
          <cell r="D11" t="str">
            <v>RLNL</v>
          </cell>
          <cell r="J11">
            <v>4.742986727829742E-2</v>
          </cell>
          <cell r="O11">
            <v>3.8860041473915911E-2</v>
          </cell>
        </row>
        <row r="12">
          <cell r="A12" t="str">
            <v/>
          </cell>
          <cell r="B12" t="str">
            <v>COM_PROJ</v>
          </cell>
          <cell r="C12" t="str">
            <v>-</v>
          </cell>
          <cell r="D12" t="str">
            <v>RLEK</v>
          </cell>
          <cell r="J12">
            <v>10.057139730159809</v>
          </cell>
          <cell r="O12">
            <v>12.829462767418228</v>
          </cell>
        </row>
        <row r="13">
          <cell r="A13" t="str">
            <v/>
          </cell>
          <cell r="B13" t="str">
            <v>COM_PROJ</v>
          </cell>
          <cell r="C13" t="str">
            <v>-</v>
          </cell>
          <cell r="D13" t="str">
            <v>RLEH</v>
          </cell>
          <cell r="J13">
            <v>14.6766565883431</v>
          </cell>
          <cell r="O13">
            <v>11.596937963827553</v>
          </cell>
        </row>
        <row r="14">
          <cell r="A14" t="str">
            <v/>
          </cell>
          <cell r="B14" t="str">
            <v>COM_PROJ</v>
          </cell>
          <cell r="C14" t="str">
            <v>-</v>
          </cell>
          <cell r="D14" t="str">
            <v>RLEWG</v>
          </cell>
          <cell r="J14">
            <v>0</v>
          </cell>
          <cell r="O14">
            <v>0</v>
          </cell>
        </row>
        <row r="15">
          <cell r="A15" t="str">
            <v/>
          </cell>
          <cell r="B15" t="str">
            <v>COM_PROJ</v>
          </cell>
          <cell r="C15" t="str">
            <v>-</v>
          </cell>
          <cell r="D15" t="str">
            <v>RLEW</v>
          </cell>
          <cell r="J15">
            <v>5.6663373040102876</v>
          </cell>
          <cell r="O15">
            <v>7.4259444503304239</v>
          </cell>
        </row>
        <row r="16">
          <cell r="A16" t="str">
            <v/>
          </cell>
          <cell r="B16" t="str">
            <v>COM_PROJ</v>
          </cell>
          <cell r="C16" t="str">
            <v>-</v>
          </cell>
          <cell r="D16" t="str">
            <v>RLER</v>
          </cell>
          <cell r="J16">
            <v>1.4352211531349246</v>
          </cell>
          <cell r="O16">
            <v>2.7055064282646422</v>
          </cell>
        </row>
        <row r="17">
          <cell r="A17" t="str">
            <v/>
          </cell>
          <cell r="B17" t="str">
            <v>COM_PROJ</v>
          </cell>
          <cell r="C17" t="str">
            <v>-</v>
          </cell>
          <cell r="D17" t="str">
            <v>RLEO</v>
          </cell>
          <cell r="J17">
            <v>1.9876880086386437</v>
          </cell>
          <cell r="O17">
            <v>2.7849840872577669</v>
          </cell>
        </row>
        <row r="18">
          <cell r="A18" t="str">
            <v>*</v>
          </cell>
          <cell r="B18" t="str">
            <v>COM_PROJ</v>
          </cell>
          <cell r="C18" t="str">
            <v>-</v>
          </cell>
          <cell r="D18">
            <v>0</v>
          </cell>
          <cell r="J18">
            <v>0</v>
          </cell>
          <cell r="O18">
            <v>0</v>
          </cell>
        </row>
        <row r="19">
          <cell r="A19" t="str">
            <v>*</v>
          </cell>
          <cell r="B19" t="str">
            <v>COM_PROJ</v>
          </cell>
          <cell r="C19" t="str">
            <v>-</v>
          </cell>
          <cell r="D19">
            <v>0</v>
          </cell>
          <cell r="J19">
            <v>0</v>
          </cell>
          <cell r="O19">
            <v>0</v>
          </cell>
        </row>
        <row r="20">
          <cell r="A20" t="str">
            <v>*</v>
          </cell>
          <cell r="B20" t="str">
            <v>COM_PROJ</v>
          </cell>
          <cell r="C20" t="str">
            <v>-</v>
          </cell>
          <cell r="D20">
            <v>0</v>
          </cell>
          <cell r="J20">
            <v>0</v>
          </cell>
          <cell r="O20">
            <v>0</v>
          </cell>
        </row>
        <row r="21">
          <cell r="A21" t="str">
            <v/>
          </cell>
          <cell r="B21" t="str">
            <v>COM_PROJ</v>
          </cell>
          <cell r="C21" t="str">
            <v>-</v>
          </cell>
          <cell r="D21" t="str">
            <v>RMEL</v>
          </cell>
          <cell r="J21">
            <v>16.048370490489006</v>
          </cell>
          <cell r="O21">
            <v>24.03599347216586</v>
          </cell>
        </row>
        <row r="22">
          <cell r="A22" t="str">
            <v/>
          </cell>
          <cell r="B22" t="str">
            <v>COM_PROJ</v>
          </cell>
          <cell r="C22" t="str">
            <v>-</v>
          </cell>
          <cell r="D22" t="str">
            <v>RMNL</v>
          </cell>
          <cell r="J22">
            <v>3.3422499241462768E-2</v>
          </cell>
          <cell r="O22">
            <v>7.084916950132833E-2</v>
          </cell>
        </row>
        <row r="23">
          <cell r="A23" t="str">
            <v/>
          </cell>
          <cell r="B23" t="str">
            <v>COM_PROJ</v>
          </cell>
          <cell r="C23" t="str">
            <v>-</v>
          </cell>
          <cell r="D23" t="str">
            <v>RMEK</v>
          </cell>
          <cell r="J23">
            <v>9.0463558635584818</v>
          </cell>
          <cell r="O23">
            <v>8.6507445507269178</v>
          </cell>
        </row>
        <row r="24">
          <cell r="A24" t="str">
            <v/>
          </cell>
          <cell r="B24" t="str">
            <v>COM_PROJ</v>
          </cell>
          <cell r="C24" t="str">
            <v>-</v>
          </cell>
          <cell r="D24" t="str">
            <v>RMEH</v>
          </cell>
          <cell r="J24">
            <v>13.162661948752438</v>
          </cell>
          <cell r="O24">
            <v>13.0226805151103</v>
          </cell>
        </row>
        <row r="25">
          <cell r="A25" t="str">
            <v/>
          </cell>
          <cell r="B25" t="str">
            <v>COM_PROJ</v>
          </cell>
          <cell r="C25" t="str">
            <v>-</v>
          </cell>
          <cell r="D25" t="str">
            <v>RMEWG</v>
          </cell>
          <cell r="J25">
            <v>8.7188816642673164</v>
          </cell>
          <cell r="O25">
            <v>11.285082211337523</v>
          </cell>
        </row>
        <row r="26">
          <cell r="A26" t="str">
            <v/>
          </cell>
          <cell r="B26" t="str">
            <v>COM_PROJ</v>
          </cell>
          <cell r="C26" t="str">
            <v>-</v>
          </cell>
          <cell r="D26" t="str">
            <v>RMEW</v>
          </cell>
          <cell r="J26">
            <v>6.0852856077195092</v>
          </cell>
          <cell r="O26">
            <v>5.2314690788023235</v>
          </cell>
        </row>
        <row r="27">
          <cell r="A27" t="str">
            <v/>
          </cell>
          <cell r="B27" t="str">
            <v>COM_PROJ</v>
          </cell>
          <cell r="C27" t="str">
            <v>-</v>
          </cell>
          <cell r="D27" t="str">
            <v>RMER</v>
          </cell>
          <cell r="J27">
            <v>3.2555704876676663</v>
          </cell>
          <cell r="O27">
            <v>4.7198157655950457</v>
          </cell>
        </row>
        <row r="28">
          <cell r="A28" t="str">
            <v/>
          </cell>
          <cell r="B28" t="str">
            <v>COM_PROJ</v>
          </cell>
          <cell r="C28" t="str">
            <v>-</v>
          </cell>
          <cell r="D28" t="str">
            <v>RMEO</v>
          </cell>
          <cell r="J28">
            <v>5.817816552719238</v>
          </cell>
          <cell r="O28">
            <v>8.8790614791833882</v>
          </cell>
        </row>
        <row r="29">
          <cell r="A29" t="str">
            <v>*</v>
          </cell>
          <cell r="B29" t="str">
            <v>COM_PROJ</v>
          </cell>
          <cell r="C29" t="str">
            <v>-</v>
          </cell>
          <cell r="D29">
            <v>0</v>
          </cell>
          <cell r="J29">
            <v>0</v>
          </cell>
          <cell r="O29">
            <v>0</v>
          </cell>
        </row>
        <row r="30">
          <cell r="A30" t="str">
            <v>*</v>
          </cell>
          <cell r="B30" t="str">
            <v>COM_PROJ</v>
          </cell>
          <cell r="C30" t="str">
            <v>-</v>
          </cell>
          <cell r="D30">
            <v>0</v>
          </cell>
          <cell r="J30">
            <v>0</v>
          </cell>
          <cell r="O30">
            <v>0</v>
          </cell>
        </row>
        <row r="31">
          <cell r="A31" t="str">
            <v>*</v>
          </cell>
          <cell r="B31" t="str">
            <v>COM_PROJ</v>
          </cell>
          <cell r="C31" t="str">
            <v>-</v>
          </cell>
          <cell r="D31">
            <v>0</v>
          </cell>
          <cell r="J31">
            <v>0</v>
          </cell>
          <cell r="O31">
            <v>0</v>
          </cell>
        </row>
        <row r="32">
          <cell r="A32" t="str">
            <v/>
          </cell>
          <cell r="B32" t="str">
            <v>COM_PROJ</v>
          </cell>
          <cell r="C32" t="str">
            <v>-</v>
          </cell>
          <cell r="D32" t="str">
            <v>RHEL</v>
          </cell>
          <cell r="J32">
            <v>29.155130644409116</v>
          </cell>
          <cell r="O32">
            <v>33.027612268842255</v>
          </cell>
        </row>
        <row r="33">
          <cell r="A33" t="str">
            <v/>
          </cell>
          <cell r="B33" t="str">
            <v>COM_PROJ</v>
          </cell>
          <cell r="C33" t="str">
            <v>-</v>
          </cell>
          <cell r="D33" t="str">
            <v>RHEK</v>
          </cell>
          <cell r="J33">
            <v>3.8919384966800701</v>
          </cell>
          <cell r="O33">
            <v>5.559977949177469</v>
          </cell>
        </row>
        <row r="34">
          <cell r="A34" t="str">
            <v/>
          </cell>
          <cell r="B34" t="str">
            <v>COM_PROJ</v>
          </cell>
          <cell r="C34" t="str">
            <v>-</v>
          </cell>
          <cell r="D34" t="str">
            <v>RHEH</v>
          </cell>
          <cell r="J34">
            <v>7.0843020492948998</v>
          </cell>
          <cell r="O34">
            <v>7.8285453954360094</v>
          </cell>
        </row>
        <row r="35">
          <cell r="A35" t="str">
            <v/>
          </cell>
          <cell r="B35" t="str">
            <v>COM_PROJ</v>
          </cell>
          <cell r="C35" t="str">
            <v>-</v>
          </cell>
          <cell r="D35" t="str">
            <v>RHEWG</v>
          </cell>
          <cell r="J35">
            <v>31.741961474336566</v>
          </cell>
          <cell r="O35">
            <v>34.126961000956008</v>
          </cell>
        </row>
        <row r="36">
          <cell r="B36" t="str">
            <v>COM_PROJ</v>
          </cell>
          <cell r="C36" t="str">
            <v>-</v>
          </cell>
          <cell r="D36" t="str">
            <v>RHEW</v>
          </cell>
          <cell r="J36">
            <v>0.56043977372187515</v>
          </cell>
          <cell r="O36">
            <v>7.0509615260414105</v>
          </cell>
        </row>
        <row r="37">
          <cell r="A37" t="str">
            <v/>
          </cell>
          <cell r="B37" t="str">
            <v>COM_PROJ</v>
          </cell>
          <cell r="C37" t="str">
            <v>-</v>
          </cell>
          <cell r="D37" t="str">
            <v>RHER</v>
          </cell>
          <cell r="J37">
            <v>5.2230494700907748</v>
          </cell>
          <cell r="O37">
            <v>5.9241796681008534</v>
          </cell>
        </row>
        <row r="38">
          <cell r="A38" t="str">
            <v/>
          </cell>
          <cell r="B38" t="str">
            <v>COM_PROJ</v>
          </cell>
          <cell r="C38" t="str">
            <v>-</v>
          </cell>
          <cell r="D38" t="str">
            <v>RHEO</v>
          </cell>
          <cell r="J38">
            <v>11.690422995158354</v>
          </cell>
          <cell r="O38">
            <v>13.259718602322971</v>
          </cell>
        </row>
        <row r="39">
          <cell r="A39" t="str">
            <v>*</v>
          </cell>
          <cell r="B39" t="str">
            <v>COM_PROJ</v>
          </cell>
          <cell r="C39" t="str">
            <v>-</v>
          </cell>
          <cell r="D39">
            <v>0</v>
          </cell>
          <cell r="J39">
            <v>0</v>
          </cell>
          <cell r="O39">
            <v>0</v>
          </cell>
        </row>
      </sheetData>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ppliances_original"/>
      <sheetName val="Index"/>
      <sheetName val="Change Log"/>
      <sheetName val="Methods"/>
      <sheetName val="sources"/>
      <sheetName val="RES equip"/>
      <sheetName val="floor space projections 1990-19"/>
      <sheetName val="End use share comparison of yea"/>
      <sheetName val="Deflator"/>
      <sheetName val="Technology costs"/>
      <sheetName val="REGIONS"/>
      <sheetName val="Appliances (2)"/>
      <sheetName val="Appliances"/>
      <sheetName val="End use share 2006c (2)"/>
      <sheetName val="End use share 2006c"/>
      <sheetName val="COM_2017"/>
      <sheetName val="COM_N_2017"/>
      <sheetName val="COM_2012"/>
      <sheetName val="COM_N_2012"/>
      <sheetName val="ITEMS_Tech"/>
      <sheetName val="ITEMS_nTech"/>
      <sheetName val="ncapaf"/>
      <sheetName val="TS DTech"/>
      <sheetName val="TS nDTech"/>
      <sheetName val="TS DMARK"/>
      <sheetName val="TS nDMARK"/>
      <sheetName val="TID DTech"/>
      <sheetName val="TID nDTech"/>
      <sheetName val="ITEMS_Comm"/>
      <sheetName val="TID ZZCOM"/>
      <sheetName val="TS BYDem"/>
      <sheetName val="TS COMFR"/>
      <sheetName val="TS COMFR_10"/>
      <sheetName val="TRIGEN-1"/>
      <sheetName val="TRIGEN-2"/>
      <sheetName val="TRIGEN-3"/>
      <sheetName val="NameConv"/>
      <sheetName val="AFA"/>
      <sheetName val="Trigen data MTN + gas boiler"/>
      <sheetName val="Total Light bulbs"/>
      <sheetName val="Instructions for forecast"/>
      <sheetName val="STATSSA_Monthly"/>
      <sheetName val="STATSSA_Annual"/>
      <sheetName val="SA GDP"/>
      <sheetName val="floor space forecast_SA"/>
      <sheetName val="2019 floor space"/>
      <sheetName val="Forecast"/>
      <sheetName val="Forecast Comparison"/>
      <sheetName val="Glossary"/>
      <sheetName val="devilliers floor space projecti"/>
      <sheetName val="Stats SA floor 1993-2006"/>
      <sheetName val="floor space 1993-2007"/>
      <sheetName val="2006 Energy data "/>
      <sheetName val="End use share 1994"/>
      <sheetName val="End use share 2001"/>
      <sheetName val="Technology costs_2010"/>
      <sheetName val="COM"/>
      <sheetName val="COM_N"/>
      <sheetName val="Summary"/>
      <sheetName val="Gas for heating techs"/>
      <sheetName val="floor space_SA"/>
      <sheetName val="TITLE PAGE"/>
      <sheetName val="COM_N_old"/>
      <sheetName val="TS FTech"/>
      <sheetName val="TID FTech"/>
      <sheetName val="TS Emiss"/>
      <sheetName val="TID Emiss"/>
      <sheetName val="Constraints item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ow r="10">
          <cell r="J10">
            <v>139.66439435388435</v>
          </cell>
          <cell r="O10">
            <v>120.28334032399778</v>
          </cell>
        </row>
        <row r="11">
          <cell r="J11">
            <v>7.8517549075018991</v>
          </cell>
          <cell r="O11">
            <v>11.470981711368381</v>
          </cell>
        </row>
        <row r="12">
          <cell r="J12">
            <v>9.894499756529763</v>
          </cell>
          <cell r="O12">
            <v>8.2528207241540805</v>
          </cell>
        </row>
        <row r="13">
          <cell r="J13">
            <v>121.5402719056889</v>
          </cell>
          <cell r="O13">
            <v>104.67427977141128</v>
          </cell>
        </row>
        <row r="14">
          <cell r="J14">
            <v>29.566390373747051</v>
          </cell>
          <cell r="O14">
            <v>25.463499211305457</v>
          </cell>
        </row>
        <row r="15">
          <cell r="J15">
            <v>9.6831090230750316</v>
          </cell>
          <cell r="O15">
            <v>9.6495991200814473</v>
          </cell>
        </row>
        <row r="16">
          <cell r="J16">
            <v>10.30055287377321</v>
          </cell>
          <cell r="O16">
            <v>8.8711579824850144</v>
          </cell>
        </row>
        <row r="17">
          <cell r="J17">
            <v>3.5593512487513528</v>
          </cell>
          <cell r="O17">
            <v>3.0654245097100388</v>
          </cell>
        </row>
        <row r="18">
          <cell r="J18">
            <v>18.760184357078931</v>
          </cell>
          <cell r="O18">
            <v>16.999241745794041</v>
          </cell>
        </row>
      </sheetData>
      <sheetData sheetId="31"/>
      <sheetData sheetId="32"/>
      <sheetData sheetId="33"/>
      <sheetData sheetId="34"/>
      <sheetData sheetId="35"/>
      <sheetData sheetId="36"/>
      <sheetData sheetId="37"/>
      <sheetData sheetId="38"/>
      <sheetData sheetId="39"/>
      <sheetData sheetId="40"/>
      <sheetData sheetId="41"/>
      <sheetData sheetId="42"/>
      <sheetData sheetId="43">
        <row r="30">
          <cell r="I30">
            <v>0.44318133021912642</v>
          </cell>
        </row>
      </sheetData>
      <sheetData sheetId="44"/>
      <sheetData sheetId="45"/>
      <sheetData sheetId="46">
        <row r="8">
          <cell r="I8">
            <v>132.81548999999998</v>
          </cell>
          <cell r="J8">
            <v>134.00787499999998</v>
          </cell>
          <cell r="K8">
            <v>135.598851</v>
          </cell>
          <cell r="L8">
            <v>136.99421599999999</v>
          </cell>
          <cell r="M8">
            <v>138.328236</v>
          </cell>
        </row>
      </sheetData>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ngeLog"/>
      <sheetName val="REGIONS"/>
      <sheetName val="Index_SATIM"/>
      <sheetName val="Index_CGE"/>
      <sheetName val="Index_G2E"/>
      <sheetName val="Index_E2G"/>
      <sheetName val="POP_STATSSA"/>
      <sheetName val="MCDrivers"/>
      <sheetName val="MCEcon"/>
      <sheetName val="DMD"/>
      <sheetName val="hh.inc.regressions"/>
      <sheetName val="ITEMS_AGR"/>
      <sheetName val="AGR"/>
      <sheetName val="ITEMS_IND"/>
      <sheetName val="IND"/>
      <sheetName val="ITEMS_RES"/>
      <sheetName val="RES"/>
      <sheetName val="ITEMS_COM"/>
      <sheetName val="COM"/>
      <sheetName val="ITEMS_TRA"/>
      <sheetName val="FTRA"/>
      <sheetName val="PTRA"/>
      <sheetName val="OtherTRA"/>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ow r="21">
          <cell r="E21">
            <v>2012</v>
          </cell>
          <cell r="F21">
            <v>2020</v>
          </cell>
          <cell r="G21">
            <v>2030</v>
          </cell>
          <cell r="H21">
            <v>2040</v>
          </cell>
          <cell r="I21">
            <v>2050</v>
          </cell>
        </row>
        <row r="22">
          <cell r="C22" t="str">
            <v>Low Income</v>
          </cell>
          <cell r="E22">
            <v>23.44</v>
          </cell>
          <cell r="F22">
            <v>22.864075230945556</v>
          </cell>
          <cell r="G22">
            <v>21.95519667252259</v>
          </cell>
          <cell r="H22">
            <v>20.44192609486554</v>
          </cell>
          <cell r="I22">
            <v>19.567629204601904</v>
          </cell>
        </row>
        <row r="23">
          <cell r="C23" t="str">
            <v>Middle Income</v>
          </cell>
          <cell r="E23">
            <v>16.970364490783776</v>
          </cell>
          <cell r="F23">
            <v>18.982870373304088</v>
          </cell>
          <cell r="G23">
            <v>21.968076242333368</v>
          </cell>
          <cell r="H23">
            <v>25.241391122052022</v>
          </cell>
          <cell r="I23">
            <v>28.64199879238107</v>
          </cell>
        </row>
        <row r="24">
          <cell r="C24" t="str">
            <v>High Income</v>
          </cell>
          <cell r="E24">
            <v>12.622024542915524</v>
          </cell>
          <cell r="F24">
            <v>15.315885695750353</v>
          </cell>
          <cell r="G24">
            <v>18.883034605144044</v>
          </cell>
          <cell r="H24">
            <v>22.904553213082437</v>
          </cell>
          <cell r="I24">
            <v>26.986581433017019</v>
          </cell>
        </row>
      </sheetData>
      <sheetData sheetId="17" refreshError="1"/>
      <sheetData sheetId="18" refreshError="1"/>
      <sheetData sheetId="19"/>
      <sheetData sheetId="20">
        <row r="73">
          <cell r="AA73" t="str">
            <v xml:space="preserve">Corridor Freight </v>
          </cell>
        </row>
      </sheetData>
      <sheetData sheetId="21">
        <row r="11">
          <cell r="M11" t="str">
            <v>Reference</v>
          </cell>
        </row>
      </sheetData>
      <sheetData sheetId="22" refreshError="1"/>
    </sheetDataSet>
  </externalBook>
</externalLink>
</file>

<file path=xl/persons/person.xml><?xml version="1.0" encoding="utf-8"?>
<personList xmlns="http://schemas.microsoft.com/office/spreadsheetml/2018/threadedcomments" xmlns:x="http://schemas.openxmlformats.org/spreadsheetml/2006/main">
  <person displayName="Bruno Merven" id="{B7C6B2EF-E181-4245-9678-869C5B6766FE}" userId="Bruno Merven" providerId="None"/>
  <person displayName="bruno merven" id="{AF42190C-5A17-4FD6-A414-124E76AF6892}" userId="144eb91ed0ec6402" providerId="Windows Live"/>
  <person displayName="Fadiel Ahjum" id="{857EDDC4-360A-45C3-96BC-92EC689F9485}" userId="S::01433536@wf.uct.ac.za::efa8459c-771a-4734-8d17-0dd081898e3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C7" dT="2020-08-19T13:26:15.16" personId="{AF42190C-5A17-4FD6-A414-124E76AF6892}" id="{0509BF8D-DB77-4E5F-B7DB-F332DDF88FE0}">
    <text>Cells in Blue have been fixed and are not moving to avoid infeasabilities between runs.</text>
  </threadedComment>
  <threadedComment ref="C42" dT="2020-08-19T13:26:15.16" personId="{AF42190C-5A17-4FD6-A414-124E76AF6892}" id="{685A3A45-54DC-4C42-A683-FA896CBBDEC9}">
    <text>Cells in Blue have been fixed and are not moving to avoid infeasabilities between runs.</text>
  </threadedComment>
</ThreadedComments>
</file>

<file path=xl/threadedComments/threadedComment2.xml><?xml version="1.0" encoding="utf-8"?>
<ThreadedComments xmlns="http://schemas.microsoft.com/office/spreadsheetml/2018/threadedcomments" xmlns:x="http://schemas.openxmlformats.org/spreadsheetml/2006/main">
  <threadedComment ref="S41" dT="2020-09-22T15:37:29.44" personId="{AF42190C-5A17-4FD6-A414-124E76AF6892}" id="{D319C864-44FA-4593-900B-F72E63D02616}">
    <text>adjusted to get back to 2019 value in 2021</text>
  </threadedComment>
</ThreadedComments>
</file>

<file path=xl/threadedComments/threadedComment3.xml><?xml version="1.0" encoding="utf-8"?>
<ThreadedComments xmlns="http://schemas.microsoft.com/office/spreadsheetml/2018/threadedcomments" xmlns:x="http://schemas.openxmlformats.org/spreadsheetml/2006/main">
  <threadedComment ref="F92" dT="2021-04-08T13:24:47.27" personId="{B7C6B2EF-E181-4245-9678-869C5B6766FE}" id="{4FE577A9-4244-4BEC-812D-80F0E9CC77F9}">
    <text>Get From Analytica Model</text>
  </threadedComment>
</ThreadedComments>
</file>

<file path=xl/threadedComments/threadedComment4.xml><?xml version="1.0" encoding="utf-8"?>
<ThreadedComments xmlns="http://schemas.microsoft.com/office/spreadsheetml/2018/threadedcomments" xmlns:x="http://schemas.openxmlformats.org/spreadsheetml/2006/main">
  <threadedComment ref="G19" dT="2020-06-26T11:19:04.68" personId="{857EDDC4-360A-45C3-96BC-92EC689F9485}" id="{CA0601F7-21A0-4498-876C-54A2DA111A30}">
    <text>needs a proper mapping to RES</text>
  </threadedComment>
  <threadedComment ref="E27" dT="2020-08-05T15:40:22.94" personId="{AF42190C-5A17-4FD6-A414-124E76AF6892}" id="{D83F73A4-4026-4CA1-8B74-47F3F994A01F}">
    <text>Added a 2% adjustment factor in order to hit vehicle parc otherwise get infes in 2017 (after population was upated)</text>
  </threadedComment>
</ThreadedComments>
</file>

<file path=xl/worksheets/_rels/sheet8.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1.bin"/><Relationship Id="rId4" Type="http://schemas.openxmlformats.org/officeDocument/2006/relationships/comments" Target="../comments3.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6.xml"/><Relationship Id="rId1" Type="http://schemas.openxmlformats.org/officeDocument/2006/relationships/printerSettings" Target="../printerSettings/printerSettings2.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7.xml"/><Relationship Id="rId4" Type="http://schemas.microsoft.com/office/2017/10/relationships/threadedComment" Target="../threadedComments/threadedComment3.xml"/></Relationships>
</file>

<file path=xl/worksheets/_rels/sheet20.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3.bin"/><Relationship Id="rId1" Type="http://schemas.openxmlformats.org/officeDocument/2006/relationships/hyperlink" Target="https://dataportal.opendataforafrica.org/nbyenxf/afdb-socio-economic-database-1960-2021" TargetMode="External"/><Relationship Id="rId6" Type="http://schemas.microsoft.com/office/2017/10/relationships/threadedComment" Target="../threadedComments/threadedComment4.xm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21.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hyperlink" Target="https://dataportal.opendataforafrica.org/nbyenxf/afdb-socio-economic-database-1960-202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tabColor rgb="FFFFFF00"/>
  </sheetPr>
  <dimension ref="A1:D41"/>
  <sheetViews>
    <sheetView workbookViewId="0">
      <selection activeCell="D29" sqref="D29"/>
    </sheetView>
    <sheetView workbookViewId="1"/>
  </sheetViews>
  <sheetFormatPr defaultColWidth="8.85546875" defaultRowHeight="15"/>
  <cols>
    <col min="1" max="1" width="15.85546875" customWidth="1"/>
    <col min="2" max="2" width="64.42578125" customWidth="1"/>
    <col min="3" max="3" width="26.85546875" style="4" customWidth="1"/>
    <col min="4" max="4" width="23.42578125" customWidth="1"/>
  </cols>
  <sheetData>
    <row r="1" spans="1:4">
      <c r="A1" s="83" t="s">
        <v>216</v>
      </c>
      <c r="B1" s="83" t="s">
        <v>32</v>
      </c>
      <c r="C1" s="83" t="s">
        <v>218</v>
      </c>
      <c r="D1" s="83" t="s">
        <v>214</v>
      </c>
    </row>
    <row r="2" spans="1:4">
      <c r="A2" s="82">
        <v>41499</v>
      </c>
      <c r="B2" s="81" t="s">
        <v>217</v>
      </c>
      <c r="C2" s="81" t="s">
        <v>219</v>
      </c>
      <c r="D2" t="s">
        <v>215</v>
      </c>
    </row>
    <row r="3" spans="1:4">
      <c r="A3" s="82">
        <v>41500</v>
      </c>
      <c r="B3" t="s">
        <v>222</v>
      </c>
      <c r="C3" s="4" t="s">
        <v>223</v>
      </c>
      <c r="D3" s="4" t="s">
        <v>215</v>
      </c>
    </row>
    <row r="4" spans="1:4">
      <c r="A4" s="82">
        <v>41502</v>
      </c>
      <c r="B4" t="s">
        <v>224</v>
      </c>
      <c r="C4" s="4" t="s">
        <v>223</v>
      </c>
      <c r="D4" s="4" t="s">
        <v>215</v>
      </c>
    </row>
    <row r="5" spans="1:4">
      <c r="A5" s="82">
        <v>41505</v>
      </c>
      <c r="B5" t="s">
        <v>226</v>
      </c>
      <c r="C5" s="4" t="s">
        <v>261</v>
      </c>
      <c r="D5" t="s">
        <v>225</v>
      </c>
    </row>
    <row r="7" spans="1:4">
      <c r="A7" s="82">
        <v>41599</v>
      </c>
      <c r="B7" t="s">
        <v>267</v>
      </c>
      <c r="C7" s="4" t="s">
        <v>4</v>
      </c>
      <c r="D7" t="s">
        <v>225</v>
      </c>
    </row>
    <row r="9" spans="1:4">
      <c r="A9" s="82" t="s">
        <v>407</v>
      </c>
      <c r="B9" t="s">
        <v>408</v>
      </c>
      <c r="D9" t="s">
        <v>409</v>
      </c>
    </row>
    <row r="11" spans="1:4">
      <c r="A11" s="82">
        <v>42467</v>
      </c>
      <c r="B11" t="s">
        <v>430</v>
      </c>
      <c r="C11" s="4" t="s">
        <v>431</v>
      </c>
      <c r="D11" t="s">
        <v>432</v>
      </c>
    </row>
    <row r="13" spans="1:4">
      <c r="A13" s="141">
        <v>42963</v>
      </c>
      <c r="B13" t="s">
        <v>447</v>
      </c>
      <c r="C13" s="4" t="s">
        <v>446</v>
      </c>
      <c r="D13" t="s">
        <v>225</v>
      </c>
    </row>
    <row r="14" spans="1:4">
      <c r="B14" t="s">
        <v>448</v>
      </c>
      <c r="D14" s="4"/>
    </row>
    <row r="15" spans="1:4">
      <c r="B15" t="s">
        <v>449</v>
      </c>
    </row>
    <row r="17" spans="1:4">
      <c r="A17" s="141">
        <v>43007</v>
      </c>
      <c r="B17" t="s">
        <v>501</v>
      </c>
      <c r="D17" t="s">
        <v>225</v>
      </c>
    </row>
    <row r="18" spans="1:4">
      <c r="B18" t="s">
        <v>502</v>
      </c>
    </row>
    <row r="20" spans="1:4">
      <c r="A20" s="141">
        <v>43039</v>
      </c>
      <c r="B20" t="s">
        <v>517</v>
      </c>
      <c r="C20" s="4" t="s">
        <v>518</v>
      </c>
      <c r="D20" t="s">
        <v>519</v>
      </c>
    </row>
    <row r="21" spans="1:4">
      <c r="B21" t="s">
        <v>520</v>
      </c>
      <c r="C21" s="4" t="s">
        <v>4</v>
      </c>
      <c r="D21" t="s">
        <v>519</v>
      </c>
    </row>
    <row r="24" spans="1:4" s="185" customFormat="1">
      <c r="A24" s="216">
        <v>44007.756886921299</v>
      </c>
      <c r="B24" s="185" t="s">
        <v>602</v>
      </c>
      <c r="C24" s="185" t="s">
        <v>603</v>
      </c>
      <c r="D24" s="185" t="s">
        <v>604</v>
      </c>
    </row>
    <row r="25" spans="1:4" s="185" customFormat="1"/>
    <row r="26" spans="1:4" s="185" customFormat="1">
      <c r="A26" s="82">
        <v>44061</v>
      </c>
      <c r="B26" s="185" t="s">
        <v>650</v>
      </c>
      <c r="C26" s="185" t="s">
        <v>540</v>
      </c>
      <c r="D26" s="185" t="s">
        <v>409</v>
      </c>
    </row>
    <row r="27" spans="1:4" s="185" customFormat="1">
      <c r="B27" s="185" t="s">
        <v>651</v>
      </c>
      <c r="C27" s="185" t="s">
        <v>540</v>
      </c>
      <c r="D27" s="185" t="s">
        <v>409</v>
      </c>
    </row>
    <row r="28" spans="1:4" s="185" customFormat="1">
      <c r="B28" s="185" t="s">
        <v>652</v>
      </c>
      <c r="C28" s="185" t="s">
        <v>540</v>
      </c>
      <c r="D28" s="185" t="s">
        <v>409</v>
      </c>
    </row>
    <row r="29" spans="1:4" s="185" customFormat="1"/>
    <row r="30" spans="1:4" s="185" customFormat="1"/>
    <row r="31" spans="1:4" s="185" customFormat="1"/>
    <row r="32" spans="1:4" s="185" customFormat="1"/>
    <row r="33" spans="1:2" s="185" customFormat="1"/>
    <row r="34" spans="1:2" s="185" customFormat="1"/>
    <row r="35" spans="1:2" s="185" customFormat="1"/>
    <row r="37" spans="1:2">
      <c r="A37" s="216">
        <f ca="1">NOW()</f>
        <v>44295.615726041666</v>
      </c>
    </row>
    <row r="38" spans="1:2">
      <c r="A38" t="s">
        <v>505</v>
      </c>
      <c r="B38" t="s">
        <v>506</v>
      </c>
    </row>
    <row r="39" spans="1:2">
      <c r="B39" t="s">
        <v>509</v>
      </c>
    </row>
    <row r="40" spans="1:2">
      <c r="B40" t="s">
        <v>507</v>
      </c>
    </row>
    <row r="41" spans="1:2">
      <c r="B41" t="s">
        <v>508</v>
      </c>
    </row>
  </sheetData>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81"/>
  <dimension ref="A1:B1"/>
  <sheetViews>
    <sheetView workbookViewId="0"/>
    <sheetView workbookViewId="1"/>
  </sheetViews>
  <sheetFormatPr defaultColWidth="9.140625" defaultRowHeight="11.25"/>
  <cols>
    <col min="1" max="1" width="12.140625" style="18" customWidth="1"/>
    <col min="2" max="2" width="42.42578125" style="18" customWidth="1"/>
    <col min="3" max="3" width="28.42578125" style="18" customWidth="1"/>
    <col min="4" max="4" width="21.85546875" style="18" customWidth="1"/>
    <col min="5" max="16384" width="9.140625" style="18"/>
  </cols>
  <sheetData>
    <row r="1" spans="1:2">
      <c r="A1" s="16" t="s">
        <v>26</v>
      </c>
      <c r="B1" s="18" t="s">
        <v>27</v>
      </c>
    </row>
  </sheetData>
  <pageMargins left="0.75" right="0.75" top="1" bottom="1" header="0.5" footer="0.5"/>
  <pageSetup paperSize="9" orientation="portrait" horizontalDpi="1200"/>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tabColor theme="9" tint="-0.249977111117893"/>
  </sheetPr>
  <dimension ref="B2:AB157"/>
  <sheetViews>
    <sheetView workbookViewId="0">
      <selection activeCell="C7" sqref="C7"/>
    </sheetView>
    <sheetView workbookViewId="1"/>
  </sheetViews>
  <sheetFormatPr defaultColWidth="8.85546875" defaultRowHeight="15"/>
  <cols>
    <col min="2" max="2" width="31.42578125" customWidth="1"/>
    <col min="6" max="6" width="13.140625" customWidth="1"/>
  </cols>
  <sheetData>
    <row r="2" spans="2:28">
      <c r="B2" s="4"/>
      <c r="C2" s="4"/>
      <c r="D2" s="4"/>
      <c r="E2" s="5"/>
      <c r="F2" s="4"/>
      <c r="G2" s="4"/>
    </row>
    <row r="3" spans="2:28" ht="18" thickBot="1">
      <c r="B3" s="37" t="s">
        <v>404</v>
      </c>
      <c r="C3" s="4"/>
      <c r="E3" s="4"/>
    </row>
    <row r="4" spans="2:28" ht="18.75" thickTop="1" thickBot="1">
      <c r="B4" s="37" t="s">
        <v>286</v>
      </c>
      <c r="C4" s="4"/>
      <c r="E4" s="4"/>
    </row>
    <row r="5" spans="2:28" s="4" customFormat="1" ht="15.75" thickTop="1"/>
    <row r="6" spans="2:28" ht="18" thickBot="1">
      <c r="B6" s="37" t="s">
        <v>287</v>
      </c>
      <c r="C6" s="4"/>
    </row>
    <row r="7" spans="2:28" ht="15.75" thickTop="1">
      <c r="B7" s="4" t="s">
        <v>1</v>
      </c>
      <c r="C7" s="29">
        <v>1</v>
      </c>
      <c r="D7" s="5"/>
    </row>
    <row r="8" spans="2:28">
      <c r="B8" s="4" t="s">
        <v>3</v>
      </c>
      <c r="C8" s="29">
        <v>1</v>
      </c>
      <c r="D8" s="5"/>
    </row>
    <row r="9" spans="2:28">
      <c r="B9" s="4" t="s">
        <v>139</v>
      </c>
      <c r="C9" s="29">
        <v>1</v>
      </c>
      <c r="D9" s="5"/>
    </row>
    <row r="10" spans="2:28">
      <c r="B10" s="4" t="s">
        <v>140</v>
      </c>
      <c r="C10" s="29">
        <v>1</v>
      </c>
      <c r="D10" s="5"/>
    </row>
    <row r="11" spans="2:28">
      <c r="B11" s="4" t="s">
        <v>2</v>
      </c>
      <c r="C11" s="29">
        <v>1</v>
      </c>
      <c r="D11" s="5"/>
    </row>
    <row r="12" spans="2:28">
      <c r="B12" s="4"/>
      <c r="C12" s="4"/>
      <c r="D12" s="4"/>
      <c r="E12" s="4"/>
      <c r="F12" s="4"/>
      <c r="G12" s="4"/>
    </row>
    <row r="13" spans="2:28">
      <c r="B13" s="5" t="s">
        <v>278</v>
      </c>
      <c r="C13" s="4"/>
      <c r="D13" s="4"/>
      <c r="E13" s="4"/>
      <c r="F13" s="4"/>
      <c r="G13" s="4"/>
      <c r="H13" s="2"/>
      <c r="I13" s="2"/>
      <c r="J13" s="4"/>
      <c r="K13" s="4"/>
      <c r="L13" s="4"/>
      <c r="M13" s="2"/>
      <c r="N13" s="2"/>
      <c r="O13" s="2"/>
      <c r="P13" s="2"/>
      <c r="Q13" s="4"/>
      <c r="R13" s="4"/>
      <c r="S13" s="4"/>
      <c r="T13" s="1"/>
      <c r="U13" s="1"/>
      <c r="V13" s="1"/>
      <c r="W13" s="1"/>
      <c r="X13" s="1"/>
      <c r="Y13" s="1"/>
      <c r="Z13" s="1"/>
      <c r="AA13" s="1"/>
      <c r="AB13" s="1"/>
    </row>
    <row r="14" spans="2:28">
      <c r="B14" s="2" t="s">
        <v>271</v>
      </c>
      <c r="C14" s="4"/>
      <c r="D14" s="4"/>
      <c r="E14" s="4"/>
      <c r="F14" s="4"/>
      <c r="G14" s="4"/>
      <c r="H14" s="2"/>
      <c r="I14" s="2"/>
      <c r="J14" s="4"/>
      <c r="K14" s="4"/>
      <c r="L14" s="4"/>
      <c r="M14" s="2"/>
      <c r="N14" s="2"/>
      <c r="O14" s="2"/>
      <c r="P14" s="2"/>
      <c r="Q14" s="4"/>
      <c r="R14" s="4"/>
      <c r="S14" s="4"/>
    </row>
    <row r="15" spans="2:28">
      <c r="B15" s="2" t="s">
        <v>272</v>
      </c>
      <c r="C15" s="4"/>
      <c r="D15" s="4"/>
      <c r="E15" s="4"/>
      <c r="F15" s="4"/>
      <c r="G15" s="4"/>
      <c r="H15" s="2"/>
      <c r="I15" s="2"/>
      <c r="J15" s="4"/>
      <c r="K15" s="4"/>
      <c r="L15" s="4"/>
      <c r="M15" s="2"/>
      <c r="N15" s="2"/>
      <c r="O15" s="2"/>
      <c r="P15" s="2"/>
      <c r="Q15" s="4"/>
      <c r="R15" s="4"/>
      <c r="S15" s="4"/>
    </row>
    <row r="16" spans="2:28">
      <c r="B16" s="2" t="s">
        <v>273</v>
      </c>
      <c r="C16" s="4"/>
      <c r="D16" s="4"/>
      <c r="E16" s="4"/>
      <c r="F16" s="4"/>
      <c r="G16" s="4"/>
      <c r="H16" s="2"/>
      <c r="I16" s="2"/>
      <c r="J16" s="4"/>
      <c r="K16" s="4"/>
      <c r="L16" s="4"/>
      <c r="M16" s="2"/>
      <c r="N16" s="2"/>
      <c r="O16" s="2"/>
      <c r="P16" s="2"/>
      <c r="Q16" s="4"/>
      <c r="R16" s="4"/>
      <c r="S16" s="4"/>
    </row>
    <row r="17" spans="2:19">
      <c r="B17" s="2" t="s">
        <v>274</v>
      </c>
      <c r="C17" s="4"/>
      <c r="D17" s="4"/>
      <c r="E17" s="4"/>
      <c r="F17" s="4"/>
      <c r="G17" s="4" t="s">
        <v>472</v>
      </c>
      <c r="H17" s="2"/>
      <c r="I17" s="2"/>
      <c r="J17" s="4"/>
      <c r="K17" s="4"/>
      <c r="L17" s="4"/>
      <c r="M17" s="2"/>
      <c r="N17" s="2"/>
      <c r="O17" s="2"/>
      <c r="P17" s="2"/>
      <c r="Q17" s="4"/>
      <c r="R17" s="4"/>
      <c r="S17" s="4"/>
    </row>
    <row r="18" spans="2:19">
      <c r="B18" s="4"/>
      <c r="C18" s="4"/>
      <c r="D18" s="4"/>
      <c r="E18" s="4"/>
      <c r="F18" s="4"/>
      <c r="G18" s="4" t="s">
        <v>471</v>
      </c>
      <c r="H18" s="2" t="s">
        <v>473</v>
      </c>
      <c r="I18" s="2"/>
      <c r="J18" s="4"/>
      <c r="K18" s="4"/>
      <c r="L18" s="4"/>
      <c r="M18" s="2"/>
      <c r="N18" s="2"/>
      <c r="O18" s="2"/>
      <c r="P18" s="2"/>
      <c r="Q18" s="4"/>
      <c r="R18" s="4"/>
      <c r="S18" s="4"/>
    </row>
    <row r="19" spans="2:19">
      <c r="B19" s="4" t="s">
        <v>470</v>
      </c>
      <c r="C19" s="29">
        <v>1</v>
      </c>
      <c r="D19" s="4"/>
      <c r="E19" s="4"/>
      <c r="F19" s="4"/>
      <c r="G19" s="4">
        <v>1</v>
      </c>
      <c r="H19" s="30">
        <v>0</v>
      </c>
      <c r="I19" s="2"/>
      <c r="J19" s="4"/>
      <c r="K19" s="4"/>
      <c r="L19" s="4"/>
      <c r="M19" s="2"/>
      <c r="N19" s="2"/>
      <c r="O19" s="2"/>
      <c r="P19" s="2"/>
      <c r="Q19" s="4"/>
      <c r="R19" s="4"/>
      <c r="S19" s="4"/>
    </row>
    <row r="20" spans="2:19">
      <c r="B20" s="4"/>
      <c r="C20" s="4"/>
      <c r="D20" s="4"/>
      <c r="E20" s="4"/>
      <c r="F20" s="4"/>
      <c r="G20" s="4">
        <v>2</v>
      </c>
      <c r="H20" s="30">
        <v>0.04</v>
      </c>
      <c r="I20" s="2"/>
      <c r="J20" s="4"/>
      <c r="K20" s="4"/>
      <c r="L20" s="4"/>
      <c r="M20" s="2"/>
      <c r="N20" s="2"/>
      <c r="O20" s="2"/>
      <c r="P20" s="2"/>
      <c r="Q20" s="4"/>
      <c r="R20" s="4"/>
      <c r="S20" s="4"/>
    </row>
    <row r="21" spans="2:19">
      <c r="B21" s="4"/>
      <c r="C21" s="4"/>
      <c r="D21" s="4"/>
      <c r="E21" s="4"/>
      <c r="F21" s="4"/>
      <c r="G21" s="4">
        <v>3</v>
      </c>
      <c r="H21" s="30">
        <v>0.06</v>
      </c>
      <c r="I21" s="2"/>
      <c r="J21" s="4"/>
      <c r="K21" s="4"/>
      <c r="L21" s="4"/>
      <c r="M21" s="2"/>
      <c r="N21" s="2"/>
      <c r="O21" s="2"/>
      <c r="P21" s="2"/>
      <c r="Q21" s="4"/>
      <c r="R21" s="4"/>
      <c r="S21" s="4"/>
    </row>
    <row r="22" spans="2:19">
      <c r="B22" s="4"/>
      <c r="C22" s="4"/>
      <c r="D22" s="4"/>
      <c r="E22" s="4"/>
      <c r="F22" s="4"/>
      <c r="G22" s="4">
        <v>4</v>
      </c>
      <c r="H22" s="30">
        <v>0.08</v>
      </c>
      <c r="I22" s="2"/>
      <c r="J22" s="4"/>
      <c r="K22" s="4"/>
      <c r="L22" s="4"/>
      <c r="M22" s="2"/>
      <c r="N22" s="2"/>
      <c r="O22" s="2"/>
      <c r="P22" s="2"/>
      <c r="Q22" s="4"/>
      <c r="R22" s="4"/>
      <c r="S22" s="4"/>
    </row>
    <row r="23" spans="2:19">
      <c r="B23" s="4"/>
      <c r="C23" s="4"/>
      <c r="D23" s="4"/>
      <c r="E23" s="4"/>
      <c r="F23" s="4"/>
      <c r="G23" s="4">
        <v>5</v>
      </c>
      <c r="H23" s="30">
        <v>0.1</v>
      </c>
      <c r="I23" s="2"/>
      <c r="J23" s="4"/>
      <c r="K23" s="4"/>
      <c r="L23" s="4"/>
      <c r="M23" s="2"/>
      <c r="N23" s="2"/>
      <c r="O23" s="2"/>
      <c r="P23" s="2"/>
      <c r="Q23" s="4"/>
      <c r="R23" s="4"/>
      <c r="S23" s="4"/>
    </row>
    <row r="24" spans="2:19">
      <c r="B24" s="4"/>
      <c r="C24" s="4"/>
      <c r="D24" s="4"/>
      <c r="E24" s="4"/>
      <c r="F24" s="4"/>
      <c r="G24" s="4"/>
      <c r="H24" s="2"/>
      <c r="I24" s="2"/>
      <c r="J24" s="4"/>
      <c r="K24" s="4"/>
      <c r="L24" s="4"/>
      <c r="M24" s="2"/>
      <c r="N24" s="2"/>
      <c r="O24" s="2"/>
      <c r="P24" s="2"/>
      <c r="Q24" s="4"/>
      <c r="R24" s="4"/>
      <c r="S24" s="4"/>
    </row>
    <row r="25" spans="2:19">
      <c r="B25" s="4"/>
      <c r="C25" s="4"/>
      <c r="D25" s="4"/>
      <c r="E25" s="4"/>
      <c r="F25" s="4"/>
      <c r="G25" s="4"/>
      <c r="H25" s="2"/>
      <c r="I25" s="2"/>
      <c r="J25" s="4"/>
      <c r="K25" s="4"/>
      <c r="L25" s="4"/>
      <c r="M25" s="2"/>
      <c r="N25" s="2"/>
      <c r="O25" s="2"/>
      <c r="P25" s="2"/>
      <c r="Q25" s="4"/>
      <c r="R25" s="4"/>
      <c r="S25" s="4"/>
    </row>
    <row r="26" spans="2:19">
      <c r="B26" s="4"/>
      <c r="C26" s="4"/>
      <c r="D26" s="4"/>
      <c r="E26" s="4"/>
      <c r="F26" s="4"/>
      <c r="G26" s="4"/>
      <c r="H26" s="2"/>
      <c r="I26" s="2"/>
      <c r="J26" s="4"/>
      <c r="K26" s="4"/>
      <c r="L26" s="4"/>
      <c r="M26" s="2"/>
      <c r="N26" s="2"/>
      <c r="O26" s="2"/>
      <c r="P26" s="2"/>
      <c r="Q26" s="4"/>
      <c r="R26" s="4"/>
      <c r="S26" s="4"/>
    </row>
    <row r="27" spans="2:19">
      <c r="B27" s="4"/>
      <c r="C27" s="4"/>
      <c r="D27" s="4"/>
      <c r="E27" s="4"/>
      <c r="F27" s="4"/>
      <c r="G27" s="4"/>
      <c r="H27" s="2"/>
      <c r="I27" s="2"/>
      <c r="J27" s="4"/>
      <c r="K27" s="4"/>
      <c r="L27" s="4"/>
      <c r="M27" s="2"/>
      <c r="N27" s="2"/>
      <c r="O27" s="2"/>
      <c r="P27" s="2"/>
      <c r="Q27" s="4"/>
      <c r="R27" s="4"/>
      <c r="S27" s="4"/>
    </row>
    <row r="28" spans="2:19">
      <c r="B28" s="4"/>
      <c r="C28" s="4"/>
      <c r="D28" s="4"/>
      <c r="E28" s="4"/>
      <c r="F28" s="4"/>
      <c r="G28" s="4"/>
      <c r="H28" s="2"/>
      <c r="I28" s="2"/>
      <c r="J28" s="4"/>
      <c r="K28" s="4"/>
      <c r="L28" s="4"/>
      <c r="M28" s="2"/>
      <c r="N28" s="2"/>
      <c r="O28" s="2"/>
      <c r="P28" s="2"/>
      <c r="Q28" s="4"/>
      <c r="R28" s="4"/>
      <c r="S28" s="4"/>
    </row>
    <row r="29" spans="2:19">
      <c r="B29" s="4" t="s">
        <v>126</v>
      </c>
      <c r="C29" s="31">
        <v>1E-8</v>
      </c>
      <c r="D29" s="4"/>
      <c r="E29" s="4"/>
      <c r="F29" s="4"/>
      <c r="G29" s="4"/>
      <c r="H29" s="2"/>
      <c r="I29" s="2"/>
      <c r="J29" s="4"/>
      <c r="K29" s="4"/>
      <c r="L29" s="4"/>
      <c r="M29" s="2"/>
      <c r="N29" s="2"/>
      <c r="O29" s="2"/>
      <c r="P29" s="2"/>
      <c r="Q29" s="4"/>
      <c r="R29" s="4"/>
      <c r="S29" s="4"/>
    </row>
    <row r="30" spans="2:19">
      <c r="B30" s="4"/>
      <c r="C30" s="4"/>
      <c r="D30" s="4"/>
      <c r="E30" s="4"/>
      <c r="F30" s="4"/>
      <c r="G30" s="4"/>
      <c r="H30" s="2"/>
      <c r="I30" s="2"/>
      <c r="J30" s="4"/>
      <c r="K30" s="4"/>
      <c r="L30" s="4"/>
      <c r="M30" s="2"/>
      <c r="N30" s="2"/>
      <c r="O30" s="2"/>
      <c r="P30" s="2"/>
      <c r="Q30" s="4"/>
      <c r="R30" s="4"/>
      <c r="S30" s="4"/>
    </row>
    <row r="31" spans="2:19">
      <c r="B31" s="4"/>
      <c r="C31" s="4"/>
      <c r="D31" s="4"/>
      <c r="E31" s="4"/>
      <c r="F31" s="4"/>
      <c r="G31" s="4"/>
      <c r="H31" s="2"/>
      <c r="I31" s="2"/>
      <c r="J31" s="4"/>
      <c r="K31" s="4"/>
      <c r="L31" s="4"/>
      <c r="Q31" s="4"/>
      <c r="R31" s="4"/>
      <c r="S31" s="4"/>
    </row>
    <row r="32" spans="2:19">
      <c r="B32" s="4"/>
      <c r="C32" s="4"/>
      <c r="D32" s="4"/>
      <c r="E32" s="4"/>
      <c r="F32" s="4"/>
      <c r="G32" s="4"/>
      <c r="H32" s="2"/>
      <c r="I32" s="2"/>
      <c r="J32" s="4"/>
      <c r="K32" s="4"/>
      <c r="L32" s="4"/>
      <c r="Q32" s="4"/>
      <c r="R32" s="4"/>
      <c r="S32" s="4"/>
    </row>
    <row r="33" spans="2:12">
      <c r="B33" s="4"/>
      <c r="C33" s="4"/>
      <c r="D33" s="4"/>
      <c r="E33" s="4"/>
      <c r="F33" s="4"/>
      <c r="G33" s="4"/>
      <c r="H33" s="2"/>
      <c r="I33" s="2"/>
      <c r="J33" s="4"/>
      <c r="K33" s="4"/>
      <c r="L33" s="4"/>
    </row>
    <row r="34" spans="2:12">
      <c r="B34" s="4"/>
      <c r="C34" s="4"/>
      <c r="D34" s="4"/>
      <c r="E34" s="4"/>
      <c r="F34" s="4"/>
      <c r="G34" s="4"/>
      <c r="H34" s="2"/>
      <c r="I34" s="2"/>
      <c r="J34" s="4"/>
      <c r="K34" s="4"/>
      <c r="L34" s="4"/>
    </row>
    <row r="35" spans="2:12">
      <c r="B35" s="4"/>
      <c r="C35" s="4"/>
      <c r="D35" s="4"/>
      <c r="E35" s="4"/>
      <c r="F35" s="4"/>
      <c r="G35" s="4"/>
      <c r="H35" s="2"/>
      <c r="I35" s="2"/>
      <c r="J35" s="4"/>
      <c r="K35" s="4"/>
      <c r="L35" s="4"/>
    </row>
    <row r="36" spans="2:12">
      <c r="B36" s="4"/>
      <c r="C36" s="4"/>
      <c r="D36" s="4"/>
      <c r="E36" s="4"/>
      <c r="F36" s="4"/>
      <c r="G36" s="4"/>
      <c r="H36" s="2"/>
      <c r="I36" s="2"/>
      <c r="J36" s="4"/>
      <c r="K36" s="4"/>
      <c r="L36" s="4"/>
    </row>
    <row r="37" spans="2:12">
      <c r="B37" s="4"/>
      <c r="C37" s="4"/>
      <c r="D37" s="4"/>
      <c r="E37" s="4"/>
      <c r="F37" s="4"/>
      <c r="G37" s="4"/>
      <c r="H37" s="2"/>
      <c r="I37" s="2"/>
      <c r="J37" s="2"/>
      <c r="K37" s="2"/>
    </row>
    <row r="38" spans="2:12">
      <c r="B38" s="4"/>
      <c r="C38" s="4"/>
      <c r="D38" s="4"/>
      <c r="E38" s="4"/>
      <c r="F38" s="4"/>
      <c r="G38" s="4"/>
      <c r="H38" s="2"/>
      <c r="I38" s="2"/>
      <c r="J38" s="2"/>
      <c r="K38" s="2"/>
    </row>
    <row r="39" spans="2:12">
      <c r="B39" s="4"/>
      <c r="C39" s="4"/>
      <c r="D39" s="4"/>
      <c r="E39" s="4"/>
      <c r="F39" s="4"/>
      <c r="G39" s="4"/>
      <c r="H39" s="2"/>
      <c r="I39" s="2"/>
      <c r="J39" s="2"/>
      <c r="K39" s="2"/>
    </row>
    <row r="40" spans="2:12">
      <c r="B40" s="4"/>
      <c r="C40" s="4"/>
      <c r="D40" s="4"/>
      <c r="E40" s="4"/>
      <c r="F40" s="4"/>
      <c r="G40" s="4"/>
      <c r="H40" s="2"/>
      <c r="I40" s="2"/>
      <c r="K40" s="2"/>
    </row>
    <row r="41" spans="2:12">
      <c r="B41" s="4"/>
      <c r="C41" s="4"/>
      <c r="D41" s="4"/>
      <c r="E41" s="4"/>
      <c r="F41" s="4"/>
      <c r="G41" s="4"/>
      <c r="H41" s="2"/>
      <c r="I41" s="2"/>
    </row>
    <row r="42" spans="2:12">
      <c r="B42" s="4"/>
      <c r="C42" s="4"/>
      <c r="D42" s="4"/>
      <c r="E42" s="4"/>
      <c r="F42" s="4"/>
      <c r="G42" s="4"/>
      <c r="H42" s="2"/>
      <c r="I42" s="2"/>
    </row>
    <row r="43" spans="2:12">
      <c r="B43" s="4"/>
      <c r="C43" s="4"/>
      <c r="D43" s="4"/>
      <c r="E43" s="4"/>
      <c r="F43" s="4"/>
      <c r="G43" s="4"/>
      <c r="H43" s="2"/>
      <c r="I43" s="2"/>
    </row>
    <row r="44" spans="2:12">
      <c r="B44" s="4"/>
      <c r="C44" s="4"/>
      <c r="D44" s="4"/>
      <c r="E44" s="4"/>
      <c r="F44" s="4"/>
      <c r="G44" s="4"/>
      <c r="H44" s="2"/>
      <c r="I44" s="2"/>
    </row>
    <row r="45" spans="2:12">
      <c r="B45" s="4"/>
      <c r="C45" s="4"/>
      <c r="D45" s="4"/>
      <c r="E45" s="4"/>
      <c r="F45" s="4"/>
      <c r="G45" s="4"/>
      <c r="H45" s="2"/>
      <c r="I45" s="2"/>
      <c r="J45" s="2"/>
      <c r="K45" s="2"/>
    </row>
    <row r="46" spans="2:12">
      <c r="B46" s="4"/>
      <c r="C46" s="4"/>
      <c r="D46" s="4"/>
      <c r="E46" s="4"/>
      <c r="F46" s="4"/>
      <c r="G46" s="4"/>
      <c r="H46" s="2"/>
      <c r="I46" s="2"/>
      <c r="J46" s="2"/>
      <c r="K46" s="2"/>
    </row>
    <row r="47" spans="2:12">
      <c r="B47" s="4"/>
      <c r="C47" s="4"/>
      <c r="D47" s="4"/>
      <c r="E47" s="4"/>
      <c r="F47" s="4"/>
      <c r="G47" s="4"/>
    </row>
    <row r="48" spans="2:12">
      <c r="B48" s="4"/>
      <c r="C48" s="4"/>
      <c r="D48" s="4"/>
      <c r="E48" s="4"/>
      <c r="F48" s="4"/>
      <c r="G48" s="4"/>
    </row>
    <row r="49" spans="2:7">
      <c r="B49" s="4"/>
      <c r="C49" s="4"/>
      <c r="D49" s="4"/>
      <c r="E49" s="4"/>
      <c r="F49" s="4"/>
      <c r="G49" s="4"/>
    </row>
    <row r="50" spans="2:7">
      <c r="B50" s="4"/>
      <c r="C50" s="4"/>
      <c r="D50" s="4"/>
      <c r="E50" s="4"/>
      <c r="F50" s="4"/>
      <c r="G50" s="4"/>
    </row>
    <row r="51" spans="2:7">
      <c r="B51" s="4"/>
      <c r="C51" s="4"/>
      <c r="D51" s="4"/>
      <c r="E51" s="4"/>
      <c r="F51" s="4"/>
      <c r="G51" s="4"/>
    </row>
    <row r="52" spans="2:7">
      <c r="B52" s="4"/>
      <c r="C52" s="4"/>
      <c r="D52" s="4"/>
      <c r="E52" s="4"/>
      <c r="F52" s="4"/>
      <c r="G52" s="4"/>
    </row>
    <row r="53" spans="2:7">
      <c r="B53" s="4"/>
      <c r="C53" s="4"/>
      <c r="D53" s="4"/>
      <c r="E53" s="4"/>
      <c r="F53" s="4"/>
      <c r="G53" s="4"/>
    </row>
    <row r="54" spans="2:7">
      <c r="B54" s="4"/>
      <c r="C54" s="4"/>
      <c r="D54" s="4"/>
      <c r="E54" s="4"/>
      <c r="F54" s="4"/>
      <c r="G54" s="4"/>
    </row>
    <row r="55" spans="2:7">
      <c r="B55" s="4"/>
      <c r="C55" s="4"/>
      <c r="D55" s="4"/>
      <c r="E55" s="4"/>
      <c r="F55" s="4"/>
      <c r="G55" s="4"/>
    </row>
    <row r="56" spans="2:7">
      <c r="B56" s="4"/>
      <c r="C56" s="4"/>
      <c r="D56" s="4"/>
      <c r="E56" s="4"/>
      <c r="F56" s="4"/>
      <c r="G56" s="4"/>
    </row>
    <row r="57" spans="2:7">
      <c r="B57" s="4"/>
      <c r="C57" s="4"/>
      <c r="D57" s="4"/>
      <c r="E57" s="4"/>
      <c r="F57" s="4"/>
      <c r="G57" s="4"/>
    </row>
    <row r="58" spans="2:7">
      <c r="B58" s="4"/>
      <c r="C58" s="4"/>
      <c r="D58" s="4"/>
      <c r="E58" s="4"/>
      <c r="F58" s="4"/>
      <c r="G58" s="4"/>
    </row>
    <row r="59" spans="2:7">
      <c r="B59" s="4"/>
      <c r="C59" s="4"/>
      <c r="D59" s="4"/>
      <c r="E59" s="4"/>
      <c r="F59" s="4"/>
      <c r="G59" s="4"/>
    </row>
    <row r="60" spans="2:7">
      <c r="B60" s="4"/>
      <c r="C60" s="4"/>
      <c r="D60" s="4"/>
      <c r="E60" s="4"/>
      <c r="F60" s="4"/>
      <c r="G60" s="4"/>
    </row>
    <row r="61" spans="2:7">
      <c r="B61" s="4"/>
      <c r="C61" s="4"/>
      <c r="D61" s="4"/>
      <c r="E61" s="4"/>
      <c r="F61" s="4"/>
      <c r="G61" s="4"/>
    </row>
    <row r="62" spans="2:7">
      <c r="B62" s="4"/>
      <c r="C62" s="4"/>
      <c r="D62" s="4"/>
      <c r="E62" s="4"/>
      <c r="F62" s="4"/>
      <c r="G62" s="4"/>
    </row>
    <row r="63" spans="2:7">
      <c r="B63" s="4"/>
      <c r="C63" s="4"/>
      <c r="D63" s="4"/>
      <c r="E63" s="4"/>
      <c r="F63" s="4"/>
      <c r="G63" s="4"/>
    </row>
    <row r="64" spans="2:7">
      <c r="B64" s="4"/>
      <c r="C64" s="4"/>
      <c r="D64" s="4"/>
      <c r="E64" s="4"/>
      <c r="F64" s="4"/>
      <c r="G64" s="4"/>
    </row>
    <row r="65" spans="2:7">
      <c r="B65" s="4"/>
      <c r="C65" s="4"/>
      <c r="D65" s="4"/>
      <c r="E65" s="4"/>
      <c r="F65" s="4"/>
      <c r="G65" s="4"/>
    </row>
    <row r="66" spans="2:7">
      <c r="B66" s="4"/>
      <c r="C66" s="4"/>
      <c r="D66" s="4"/>
      <c r="E66" s="4"/>
      <c r="F66" s="4"/>
      <c r="G66" s="4"/>
    </row>
    <row r="67" spans="2:7">
      <c r="B67" s="4"/>
      <c r="C67" s="4"/>
      <c r="D67" s="4"/>
      <c r="E67" s="4"/>
      <c r="F67" s="4"/>
      <c r="G67" s="4"/>
    </row>
    <row r="68" spans="2:7">
      <c r="B68" s="4"/>
      <c r="C68" s="4"/>
      <c r="D68" s="4"/>
      <c r="E68" s="4"/>
      <c r="F68" s="4"/>
      <c r="G68" s="4"/>
    </row>
    <row r="69" spans="2:7">
      <c r="B69" s="4"/>
      <c r="C69" s="4"/>
      <c r="D69" s="4"/>
      <c r="E69" s="4"/>
      <c r="F69" s="4"/>
      <c r="G69" s="4"/>
    </row>
    <row r="70" spans="2:7">
      <c r="B70" s="4"/>
      <c r="C70" s="4"/>
      <c r="D70" s="4"/>
      <c r="E70" s="4"/>
      <c r="F70" s="4"/>
      <c r="G70" s="4"/>
    </row>
    <row r="73" spans="2:7">
      <c r="B73" s="1"/>
      <c r="C73" s="1"/>
    </row>
    <row r="74" spans="2:7">
      <c r="B74" s="1"/>
      <c r="C74" s="1"/>
    </row>
    <row r="75" spans="2:7">
      <c r="B75" s="1"/>
      <c r="C75" s="1"/>
    </row>
    <row r="76" spans="2:7">
      <c r="B76" s="1"/>
      <c r="C76" s="1"/>
    </row>
    <row r="77" spans="2:7">
      <c r="B77" s="1"/>
      <c r="C77" s="1"/>
    </row>
    <row r="78" spans="2:7">
      <c r="B78" s="1"/>
      <c r="C78" s="1"/>
    </row>
    <row r="79" spans="2:7">
      <c r="B79" s="1"/>
      <c r="C79" s="1"/>
    </row>
    <row r="80" spans="2:7">
      <c r="B80" s="1"/>
      <c r="C80" s="1"/>
    </row>
    <row r="81" spans="2:3">
      <c r="B81" s="1"/>
      <c r="C81" s="1"/>
    </row>
    <row r="82" spans="2:3">
      <c r="B82" s="1"/>
      <c r="C82" s="1"/>
    </row>
    <row r="83" spans="2:3">
      <c r="B83" s="1"/>
      <c r="C83" s="1"/>
    </row>
    <row r="84" spans="2:3">
      <c r="B84" s="1"/>
      <c r="C84" s="1"/>
    </row>
    <row r="85" spans="2:3">
      <c r="B85" s="1"/>
      <c r="C85" s="1"/>
    </row>
    <row r="86" spans="2:3">
      <c r="B86" s="1"/>
      <c r="C86" s="1"/>
    </row>
    <row r="87" spans="2:3">
      <c r="B87" s="1"/>
      <c r="C87" s="1"/>
    </row>
    <row r="88" spans="2:3">
      <c r="B88" s="1"/>
      <c r="C88" s="1"/>
    </row>
    <row r="89" spans="2:3">
      <c r="B89" s="1"/>
      <c r="C89" s="1"/>
    </row>
    <row r="90" spans="2:3">
      <c r="B90" s="1"/>
      <c r="C90" s="1"/>
    </row>
    <row r="91" spans="2:3">
      <c r="B91" s="1"/>
      <c r="C91" s="1"/>
    </row>
    <row r="92" spans="2:3">
      <c r="B92" s="1"/>
      <c r="C92" s="1"/>
    </row>
    <row r="93" spans="2:3">
      <c r="B93" s="1"/>
      <c r="C93" s="1"/>
    </row>
    <row r="94" spans="2:3">
      <c r="B94" s="1"/>
      <c r="C94" s="1"/>
    </row>
    <row r="95" spans="2:3">
      <c r="B95" s="1"/>
      <c r="C95" s="1"/>
    </row>
    <row r="96" spans="2:3">
      <c r="B96" s="1"/>
      <c r="C96" s="1"/>
    </row>
    <row r="97" spans="2:28">
      <c r="B97" s="1"/>
      <c r="C97" s="1"/>
      <c r="E97" s="1"/>
    </row>
    <row r="98" spans="2:28">
      <c r="B98" s="1"/>
      <c r="C98" s="1"/>
      <c r="E98" s="1"/>
    </row>
    <row r="99" spans="2:28">
      <c r="B99" s="1"/>
      <c r="C99" s="1"/>
      <c r="E99" s="1"/>
      <c r="F99" s="1"/>
      <c r="G99" s="1"/>
      <c r="H99" s="1"/>
      <c r="I99" s="1"/>
      <c r="J99" s="1"/>
      <c r="K99" s="1"/>
      <c r="L99" s="1"/>
      <c r="M99" s="1"/>
      <c r="N99" s="1"/>
      <c r="O99" s="1"/>
      <c r="P99" s="1"/>
      <c r="Q99" s="1"/>
      <c r="R99" s="1"/>
      <c r="S99" s="1"/>
      <c r="T99" s="1"/>
      <c r="U99" s="1"/>
      <c r="V99" s="1"/>
      <c r="W99" s="1"/>
      <c r="X99" s="1"/>
      <c r="Y99" s="1"/>
      <c r="Z99" s="1"/>
      <c r="AA99" s="1"/>
      <c r="AB99" s="1"/>
    </row>
    <row r="100" spans="2:28">
      <c r="B100" s="1"/>
      <c r="C100" s="1"/>
    </row>
    <row r="101" spans="2:28">
      <c r="B101" s="1"/>
      <c r="C101" s="1"/>
    </row>
    <row r="102" spans="2:28">
      <c r="B102" s="1"/>
      <c r="C102" s="1"/>
    </row>
    <row r="103" spans="2:28">
      <c r="B103" s="1"/>
      <c r="C103" s="1"/>
    </row>
    <row r="104" spans="2:28">
      <c r="B104" s="1"/>
      <c r="C104" s="1"/>
    </row>
    <row r="105" spans="2:28">
      <c r="B105" s="1"/>
      <c r="C105" s="1"/>
    </row>
    <row r="106" spans="2:28">
      <c r="B106" s="1"/>
      <c r="C106" s="1"/>
    </row>
    <row r="107" spans="2:28">
      <c r="B107" s="1"/>
      <c r="C107" s="1"/>
    </row>
    <row r="108" spans="2:28">
      <c r="B108" s="1"/>
      <c r="C108" s="1"/>
    </row>
    <row r="109" spans="2:28">
      <c r="B109" s="1"/>
      <c r="C109" s="1"/>
    </row>
    <row r="110" spans="2:28">
      <c r="B110" s="1"/>
      <c r="C110" s="1"/>
    </row>
    <row r="111" spans="2:28">
      <c r="B111" s="1"/>
      <c r="C111" s="1"/>
    </row>
    <row r="112" spans="2:28">
      <c r="B112" s="1"/>
      <c r="C112" s="1"/>
    </row>
    <row r="113" spans="2:3">
      <c r="B113" s="1"/>
      <c r="C113" s="1"/>
    </row>
    <row r="114" spans="2:3">
      <c r="B114" s="1"/>
      <c r="C114" s="1"/>
    </row>
    <row r="115" spans="2:3">
      <c r="B115" s="1"/>
      <c r="C115" s="1"/>
    </row>
    <row r="116" spans="2:3">
      <c r="B116" s="1"/>
      <c r="C116" s="1"/>
    </row>
    <row r="117" spans="2:3">
      <c r="B117" s="1"/>
      <c r="C117" s="1"/>
    </row>
    <row r="118" spans="2:3">
      <c r="B118" s="1"/>
      <c r="C118" s="1"/>
    </row>
    <row r="119" spans="2:3">
      <c r="B119" s="1"/>
      <c r="C119" s="1"/>
    </row>
    <row r="120" spans="2:3">
      <c r="B120" s="1"/>
      <c r="C120" s="1"/>
    </row>
    <row r="121" spans="2:3">
      <c r="B121" s="1"/>
      <c r="C121" s="1"/>
    </row>
    <row r="122" spans="2:3">
      <c r="B122" s="1"/>
      <c r="C122" s="1"/>
    </row>
    <row r="123" spans="2:3">
      <c r="B123" s="1"/>
      <c r="C123" s="1"/>
    </row>
    <row r="124" spans="2:3">
      <c r="B124" s="1"/>
      <c r="C124" s="1"/>
    </row>
    <row r="125" spans="2:3">
      <c r="B125" s="1"/>
      <c r="C125" s="1"/>
    </row>
    <row r="126" spans="2:3">
      <c r="B126" s="1"/>
      <c r="C126" s="1"/>
    </row>
    <row r="127" spans="2:3">
      <c r="B127" s="1"/>
      <c r="C127" s="1"/>
    </row>
    <row r="128" spans="2:3">
      <c r="B128" s="1"/>
      <c r="C128" s="1"/>
    </row>
    <row r="129" spans="2:3">
      <c r="B129" s="1"/>
      <c r="C129" s="1"/>
    </row>
    <row r="130" spans="2:3">
      <c r="B130" s="1"/>
      <c r="C130" s="1"/>
    </row>
    <row r="131" spans="2:3">
      <c r="B131" s="1"/>
      <c r="C131" s="1"/>
    </row>
    <row r="132" spans="2:3">
      <c r="B132" s="1"/>
      <c r="C132" s="1"/>
    </row>
    <row r="133" spans="2:3">
      <c r="B133" s="1"/>
      <c r="C133" s="1"/>
    </row>
    <row r="134" spans="2:3">
      <c r="B134" s="1"/>
      <c r="C134" s="1"/>
    </row>
    <row r="135" spans="2:3">
      <c r="B135" s="1"/>
      <c r="C135" s="1"/>
    </row>
    <row r="136" spans="2:3">
      <c r="B136" s="1"/>
      <c r="C136" s="1"/>
    </row>
    <row r="137" spans="2:3">
      <c r="B137" s="1"/>
      <c r="C137" s="1"/>
    </row>
    <row r="138" spans="2:3">
      <c r="B138" s="1"/>
      <c r="C138" s="1"/>
    </row>
    <row r="139" spans="2:3">
      <c r="B139" s="1"/>
      <c r="C139" s="1"/>
    </row>
    <row r="140" spans="2:3">
      <c r="B140" s="1"/>
      <c r="C140" s="1"/>
    </row>
    <row r="141" spans="2:3">
      <c r="B141" s="1"/>
      <c r="C141" s="1"/>
    </row>
    <row r="142" spans="2:3">
      <c r="B142" s="1"/>
      <c r="C142" s="1"/>
    </row>
    <row r="143" spans="2:3">
      <c r="B143" s="1"/>
      <c r="C143" s="1"/>
    </row>
    <row r="144" spans="2:3">
      <c r="B144" s="1"/>
      <c r="C144" s="1"/>
    </row>
    <row r="145" spans="2:3">
      <c r="B145" s="1"/>
      <c r="C145" s="1"/>
    </row>
    <row r="146" spans="2:3">
      <c r="B146" s="1"/>
      <c r="C146" s="1"/>
    </row>
    <row r="147" spans="2:3">
      <c r="B147" s="1"/>
      <c r="C147" s="1"/>
    </row>
    <row r="148" spans="2:3">
      <c r="B148" s="1"/>
      <c r="C148" s="1"/>
    </row>
    <row r="149" spans="2:3">
      <c r="B149" s="1"/>
      <c r="C149" s="1"/>
    </row>
    <row r="150" spans="2:3">
      <c r="B150" s="1"/>
      <c r="C150" s="1"/>
    </row>
    <row r="151" spans="2:3">
      <c r="B151" s="1"/>
      <c r="C151" s="1"/>
    </row>
    <row r="152" spans="2:3">
      <c r="B152" s="1"/>
      <c r="C152" s="1"/>
    </row>
    <row r="153" spans="2:3">
      <c r="B153" s="1"/>
      <c r="C153" s="1"/>
    </row>
    <row r="154" spans="2:3">
      <c r="B154" s="1"/>
      <c r="C154" s="1"/>
    </row>
    <row r="155" spans="2:3">
      <c r="B155" s="1"/>
      <c r="C155" s="1"/>
    </row>
    <row r="156" spans="2:3">
      <c r="B156" s="1"/>
      <c r="C156" s="1"/>
    </row>
    <row r="157" spans="2:3">
      <c r="B157" s="1"/>
      <c r="C157" s="1"/>
    </row>
  </sheetData>
  <dataConsolidate link="1"/>
  <dataValidations count="2">
    <dataValidation type="whole" allowBlank="1" showInputMessage="1" showErrorMessage="1" sqref="C7:C11" xr:uid="{00000000-0002-0000-0200-000000000000}">
      <formula1>0</formula1>
      <formula2>1</formula2>
    </dataValidation>
    <dataValidation type="list" allowBlank="1" showInputMessage="1" showErrorMessage="1" sqref="C19" xr:uid="{00000000-0002-0000-0200-000001000000}">
      <formula1>$G$19:$G$23</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dimension ref="A2:F12"/>
  <sheetViews>
    <sheetView workbookViewId="0"/>
    <sheetView workbookViewId="1"/>
  </sheetViews>
  <sheetFormatPr defaultColWidth="8.85546875" defaultRowHeight="15"/>
  <cols>
    <col min="2" max="2" width="14.140625" customWidth="1"/>
    <col min="3" max="3" width="18.140625" customWidth="1"/>
  </cols>
  <sheetData>
    <row r="2" spans="1:6">
      <c r="C2" s="4"/>
      <c r="D2" s="4"/>
      <c r="E2" s="4"/>
    </row>
    <row r="6" spans="1:6">
      <c r="A6" s="4"/>
      <c r="B6" s="4"/>
      <c r="C6" s="4"/>
      <c r="D6" s="4" t="s">
        <v>303</v>
      </c>
      <c r="E6" s="4" t="s">
        <v>304</v>
      </c>
      <c r="F6" s="4" t="s">
        <v>410</v>
      </c>
    </row>
    <row r="7" spans="1:6">
      <c r="A7" s="4" t="s">
        <v>302</v>
      </c>
      <c r="B7" s="4" t="s">
        <v>637</v>
      </c>
      <c r="C7" s="4" t="str">
        <f>"DriversGams!"&amp;ADDRESS(ROW(DriversGams!A5),COLUMN(DriversGams!A5),4)</f>
        <v>DriversGams!A5</v>
      </c>
      <c r="D7" s="4">
        <v>1</v>
      </c>
      <c r="E7" s="4">
        <v>1</v>
      </c>
      <c r="F7" s="4"/>
    </row>
    <row r="8" spans="1:6">
      <c r="A8" s="4" t="s">
        <v>302</v>
      </c>
      <c r="B8" s="4" t="s">
        <v>613</v>
      </c>
      <c r="C8" s="4" t="str">
        <f>"DriversGams!"&amp;ADDRESS(ROW(DriversGams!A42),COLUMN(DriversGams!A42),4)</f>
        <v>DriversGams!A42</v>
      </c>
      <c r="D8" s="4"/>
      <c r="E8" s="4">
        <v>1</v>
      </c>
      <c r="F8" s="4"/>
    </row>
    <row r="9" spans="1:6">
      <c r="A9" s="4" t="s">
        <v>302</v>
      </c>
      <c r="B9" s="4" t="s">
        <v>638</v>
      </c>
      <c r="C9" s="4" t="str">
        <f>"DriversGams!"&amp;ADDRESS(ROW(DriversGams!A60),COLUMN(DriversGams!A60),4)</f>
        <v>DriversGams!A60</v>
      </c>
      <c r="D9" s="4">
        <v>1</v>
      </c>
      <c r="E9" s="4">
        <v>1</v>
      </c>
      <c r="F9" s="4"/>
    </row>
    <row r="10" spans="1:6">
      <c r="A10" s="4" t="s">
        <v>302</v>
      </c>
      <c r="B10" s="4" t="s">
        <v>510</v>
      </c>
      <c r="C10" s="4" t="str">
        <f>"DriversGams!"&amp;ADDRESS(ROW(DriversGams!A70),COLUMN(DriversGams!A70),4)</f>
        <v>DriversGams!A70</v>
      </c>
      <c r="D10" s="4"/>
      <c r="E10" s="4">
        <v>1</v>
      </c>
      <c r="F10" s="4"/>
    </row>
    <row r="11" spans="1:6">
      <c r="A11" s="4" t="s">
        <v>503</v>
      </c>
      <c r="B11" s="4" t="s">
        <v>504</v>
      </c>
      <c r="C11" s="4" t="str">
        <f>"DriversGams!"&amp;ADDRESS(ROW(DriversGams!A101),COLUMN(DriversGams!A101),4)</f>
        <v>DriversGams!A101</v>
      </c>
      <c r="D11" s="4">
        <v>2</v>
      </c>
      <c r="E11" s="4">
        <v>1</v>
      </c>
      <c r="F11" s="4"/>
    </row>
    <row r="12" spans="1:6">
      <c r="A12" t="s">
        <v>302</v>
      </c>
      <c r="B12" t="s">
        <v>640</v>
      </c>
      <c r="C12" s="277" t="str">
        <f>"DriversGams!"&amp;ADDRESS(ROW(DriversGams!A162),COLUMN(DriversGams!A162),4)</f>
        <v>DriversGams!A162</v>
      </c>
      <c r="E12">
        <v>1</v>
      </c>
    </row>
  </sheetData>
  <pageMargins left="0.7" right="0.7" top="0.75" bottom="0.75" header="0.3" footer="0.3"/>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
  <dimension ref="A6:E14"/>
  <sheetViews>
    <sheetView workbookViewId="0"/>
    <sheetView workbookViewId="1"/>
  </sheetViews>
  <sheetFormatPr defaultColWidth="8.85546875" defaultRowHeight="15"/>
  <cols>
    <col min="2" max="2" width="16.140625" customWidth="1"/>
    <col min="3" max="3" width="14.140625" customWidth="1"/>
  </cols>
  <sheetData>
    <row r="6" spans="1:5">
      <c r="A6" s="4"/>
      <c r="B6" s="4"/>
      <c r="C6" s="4"/>
      <c r="D6" s="4" t="s">
        <v>303</v>
      </c>
      <c r="E6" s="4" t="s">
        <v>304</v>
      </c>
    </row>
    <row r="7" spans="1:5">
      <c r="A7" s="4" t="s">
        <v>302</v>
      </c>
      <c r="B7" s="4" t="s">
        <v>390</v>
      </c>
      <c r="C7" s="4" t="s">
        <v>389</v>
      </c>
      <c r="D7" s="4">
        <v>1</v>
      </c>
      <c r="E7" s="4">
        <v>1</v>
      </c>
    </row>
    <row r="8" spans="1:5">
      <c r="A8" s="4"/>
      <c r="B8" s="4"/>
      <c r="C8" s="4"/>
      <c r="D8" s="4"/>
      <c r="E8" s="4"/>
    </row>
    <row r="9" spans="1:5">
      <c r="A9" s="4"/>
      <c r="B9" s="4"/>
      <c r="C9" s="4"/>
      <c r="D9" s="4"/>
      <c r="E9" s="4"/>
    </row>
    <row r="10" spans="1:5">
      <c r="A10" s="4"/>
      <c r="B10" s="4"/>
      <c r="C10" s="185"/>
      <c r="D10" s="4"/>
      <c r="E10" s="4"/>
    </row>
    <row r="11" spans="1:5">
      <c r="D11" s="4"/>
      <c r="E11" s="4"/>
    </row>
    <row r="13" spans="1:5">
      <c r="C13" s="4"/>
      <c r="D13" s="4"/>
      <c r="E13" s="4"/>
    </row>
    <row r="14" spans="1:5" s="4" customFormat="1">
      <c r="A14" s="185"/>
      <c r="B14" s="185"/>
      <c r="C14" s="35"/>
      <c r="D14" s="18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22"/>
  <dimension ref="A1:AE53"/>
  <sheetViews>
    <sheetView workbookViewId="0"/>
    <sheetView workbookViewId="1"/>
  </sheetViews>
  <sheetFormatPr defaultColWidth="9.140625" defaultRowHeight="15"/>
  <cols>
    <col min="1" max="16384" width="9.140625" style="4"/>
  </cols>
  <sheetData>
    <row r="1" spans="1:31">
      <c r="A1" t="s">
        <v>469</v>
      </c>
      <c r="D1" s="4">
        <v>2002</v>
      </c>
      <c r="E1" s="4">
        <v>2003</v>
      </c>
      <c r="F1" s="4">
        <v>2004</v>
      </c>
      <c r="G1" s="4">
        <v>2005</v>
      </c>
      <c r="H1" s="4">
        <v>2006</v>
      </c>
      <c r="I1" s="4">
        <v>2007</v>
      </c>
      <c r="J1" s="4">
        <v>2008</v>
      </c>
      <c r="K1" s="4">
        <v>2009</v>
      </c>
      <c r="L1" s="4">
        <v>2010</v>
      </c>
      <c r="M1" s="4">
        <v>2011</v>
      </c>
      <c r="N1" s="4">
        <v>2012</v>
      </c>
      <c r="O1" s="4">
        <v>2013</v>
      </c>
      <c r="P1" s="4">
        <v>2014</v>
      </c>
      <c r="Q1" s="4">
        <v>2015</v>
      </c>
      <c r="R1" s="4">
        <v>2016</v>
      </c>
      <c r="S1" s="4">
        <v>2017</v>
      </c>
    </row>
    <row r="2" spans="1:31">
      <c r="B2" s="4" t="s">
        <v>450</v>
      </c>
      <c r="C2" s="4" t="s">
        <v>451</v>
      </c>
      <c r="D2" s="8">
        <f>SUM([1]Sheet1!D6,[1]Sheet1!D40,[1]Sheet1!D74,[1]Sheet1!D108)</f>
        <v>2352836.9199662828</v>
      </c>
      <c r="E2" s="8">
        <f>SUM([1]Sheet1!E6,[1]Sheet1!E40,[1]Sheet1!E74,[1]Sheet1!E108)</f>
        <v>2353712.1472010948</v>
      </c>
      <c r="F2" s="8">
        <f>SUM([1]Sheet1!F6,[1]Sheet1!F40,[1]Sheet1!F74,[1]Sheet1!F108)</f>
        <v>2384676.8126227115</v>
      </c>
      <c r="G2" s="8">
        <f>SUM([1]Sheet1!G6,[1]Sheet1!G40,[1]Sheet1!G74,[1]Sheet1!G108)</f>
        <v>2433637.7196340291</v>
      </c>
      <c r="H2" s="8">
        <f>SUM([1]Sheet1!H6,[1]Sheet1!H40,[1]Sheet1!H74,[1]Sheet1!H108)</f>
        <v>2514444.1056430414</v>
      </c>
      <c r="I2" s="8">
        <f>SUM([1]Sheet1!I6,[1]Sheet1!I40,[1]Sheet1!I74,[1]Sheet1!I108)</f>
        <v>2615310.2237567683</v>
      </c>
      <c r="J2" s="8">
        <f>SUM([1]Sheet1!J6,[1]Sheet1!J40,[1]Sheet1!J74,[1]Sheet1!J108)</f>
        <v>2720677.3481308571</v>
      </c>
      <c r="K2" s="8">
        <f>SUM([1]Sheet1!K6,[1]Sheet1!K40,[1]Sheet1!K74,[1]Sheet1!K108)</f>
        <v>2798583.1997686187</v>
      </c>
      <c r="L2" s="8">
        <f>SUM([1]Sheet1!L6,[1]Sheet1!L40,[1]Sheet1!L74,[1]Sheet1!L108)</f>
        <v>2854890.3931614971</v>
      </c>
      <c r="M2" s="8">
        <f>SUM([1]Sheet1!M6,[1]Sheet1!M40,[1]Sheet1!M74,[1]Sheet1!M108)</f>
        <v>2890850.7370394776</v>
      </c>
      <c r="N2" s="8">
        <f>SUM([1]Sheet1!N6,[1]Sheet1!N40,[1]Sheet1!N74,[1]Sheet1!N108)</f>
        <v>2910205.4064366445</v>
      </c>
      <c r="O2" s="8">
        <f>SUM([1]Sheet1!O6,[1]Sheet1!O40,[1]Sheet1!O74,[1]Sheet1!O108)</f>
        <v>2922618.9342035525</v>
      </c>
      <c r="P2" s="8">
        <f>SUM([1]Sheet1!P6,[1]Sheet1!P40,[1]Sheet1!P74,[1]Sheet1!P108)</f>
        <v>2933005.3149803439</v>
      </c>
      <c r="Q2" s="8">
        <f>SUM([1]Sheet1!Q6,[1]Sheet1!Q40,[1]Sheet1!Q74,[1]Sheet1!Q108)</f>
        <v>2941344.4336485704</v>
      </c>
      <c r="R2" s="8">
        <f>SUM([1]Sheet1!R6,[1]Sheet1!R40,[1]Sheet1!R74,[1]Sheet1!R108)</f>
        <v>2946654.5180383818</v>
      </c>
      <c r="S2" s="8">
        <f>SUM([1]Sheet1!S6,[1]Sheet1!S40,[1]Sheet1!S74,[1]Sheet1!S108)</f>
        <v>2946311.8348281723</v>
      </c>
      <c r="T2" s="8"/>
      <c r="U2" s="8"/>
      <c r="V2" s="8"/>
      <c r="W2" s="8"/>
      <c r="X2" s="8"/>
      <c r="Y2" s="8"/>
      <c r="Z2" s="8"/>
      <c r="AA2" s="8"/>
      <c r="AB2" s="8"/>
      <c r="AC2" s="8"/>
      <c r="AD2" s="8"/>
      <c r="AE2" s="8"/>
    </row>
    <row r="3" spans="1:31">
      <c r="B3" s="4" t="s">
        <v>450</v>
      </c>
      <c r="C3" s="4" t="s">
        <v>452</v>
      </c>
      <c r="D3" s="8">
        <f>SUM([1]Sheet1!D7,[1]Sheet1!D41,[1]Sheet1!D75,[1]Sheet1!D109)</f>
        <v>2489008.6259477925</v>
      </c>
      <c r="E3" s="8">
        <f>SUM([1]Sheet1!E7,[1]Sheet1!E41,[1]Sheet1!E75,[1]Sheet1!E109)</f>
        <v>2445518.8424010845</v>
      </c>
      <c r="F3" s="8">
        <f>SUM([1]Sheet1!F7,[1]Sheet1!F41,[1]Sheet1!F75,[1]Sheet1!F109)</f>
        <v>2407557.7983711092</v>
      </c>
      <c r="G3" s="8">
        <f>SUM([1]Sheet1!G7,[1]Sheet1!G41,[1]Sheet1!G75,[1]Sheet1!G109)</f>
        <v>2378852.9311973583</v>
      </c>
      <c r="H3" s="8">
        <f>SUM([1]Sheet1!H7,[1]Sheet1!H41,[1]Sheet1!H75,[1]Sheet1!H109)</f>
        <v>2346392.7334666867</v>
      </c>
      <c r="I3" s="8">
        <f>SUM([1]Sheet1!I7,[1]Sheet1!I41,[1]Sheet1!I75,[1]Sheet1!I109)</f>
        <v>2326969.4787796293</v>
      </c>
      <c r="J3" s="8">
        <f>SUM([1]Sheet1!J7,[1]Sheet1!J41,[1]Sheet1!J75,[1]Sheet1!J109)</f>
        <v>2320049.5271344036</v>
      </c>
      <c r="K3" s="8">
        <f>SUM([1]Sheet1!K7,[1]Sheet1!K41,[1]Sheet1!K75,[1]Sheet1!K109)</f>
        <v>2344311.0089102122</v>
      </c>
      <c r="L3" s="8">
        <f>SUM([1]Sheet1!L7,[1]Sheet1!L41,[1]Sheet1!L75,[1]Sheet1!L109)</f>
        <v>2387315.172413771</v>
      </c>
      <c r="M3" s="8">
        <f>SUM([1]Sheet1!M7,[1]Sheet1!M41,[1]Sheet1!M75,[1]Sheet1!M109)</f>
        <v>2463070.8530652933</v>
      </c>
      <c r="N3" s="8">
        <f>SUM([1]Sheet1!N7,[1]Sheet1!N41,[1]Sheet1!N75,[1]Sheet1!N109)</f>
        <v>2561964.5599117558</v>
      </c>
      <c r="O3" s="8">
        <f>SUM([1]Sheet1!O7,[1]Sheet1!O41,[1]Sheet1!O75,[1]Sheet1!O109)</f>
        <v>2667630.8647058471</v>
      </c>
      <c r="P3" s="8">
        <f>SUM([1]Sheet1!P7,[1]Sheet1!P41,[1]Sheet1!P75,[1]Sheet1!P109)</f>
        <v>2751216.0921220072</v>
      </c>
      <c r="Q3" s="8">
        <f>SUM([1]Sheet1!Q7,[1]Sheet1!Q41,[1]Sheet1!Q75,[1]Sheet1!Q109)</f>
        <v>2815988.9403248057</v>
      </c>
      <c r="R3" s="8">
        <f>SUM([1]Sheet1!R7,[1]Sheet1!R41,[1]Sheet1!R75,[1]Sheet1!R109)</f>
        <v>2860294.571644709</v>
      </c>
      <c r="S3" s="8">
        <f>SUM([1]Sheet1!S7,[1]Sheet1!S41,[1]Sheet1!S75,[1]Sheet1!S109)</f>
        <v>2888924.8204291668</v>
      </c>
      <c r="T3" s="8"/>
      <c r="U3" s="8"/>
      <c r="V3" s="8"/>
      <c r="W3" s="8"/>
      <c r="X3" s="8"/>
      <c r="Y3" s="8"/>
      <c r="Z3" s="8"/>
      <c r="AA3" s="8"/>
      <c r="AB3" s="8"/>
      <c r="AC3" s="8"/>
      <c r="AD3" s="8"/>
      <c r="AE3" s="8"/>
    </row>
    <row r="4" spans="1:31">
      <c r="B4" s="4" t="s">
        <v>450</v>
      </c>
      <c r="C4" s="4" t="s">
        <v>453</v>
      </c>
      <c r="D4" s="8">
        <f>SUM([1]Sheet1!D8,[1]Sheet1!D42,[1]Sheet1!D76,[1]Sheet1!D110)</f>
        <v>2644706.3713786211</v>
      </c>
      <c r="E4" s="8">
        <f>SUM([1]Sheet1!E8,[1]Sheet1!E42,[1]Sheet1!E76,[1]Sheet1!E110)</f>
        <v>2627413.1238008388</v>
      </c>
      <c r="F4" s="8">
        <f>SUM([1]Sheet1!F8,[1]Sheet1!F42,[1]Sheet1!F76,[1]Sheet1!F110)</f>
        <v>2600129.1513205883</v>
      </c>
      <c r="G4" s="8">
        <f>SUM([1]Sheet1!G8,[1]Sheet1!G42,[1]Sheet1!G76,[1]Sheet1!G110)</f>
        <v>2569707.4489742396</v>
      </c>
      <c r="H4" s="8">
        <f>SUM([1]Sheet1!H8,[1]Sheet1!H42,[1]Sheet1!H76,[1]Sheet1!H110)</f>
        <v>2537138.0284069767</v>
      </c>
      <c r="I4" s="8">
        <f>SUM([1]Sheet1!I8,[1]Sheet1!I42,[1]Sheet1!I76,[1]Sheet1!I110)</f>
        <v>2489918.5807916909</v>
      </c>
      <c r="J4" s="8">
        <f>SUM([1]Sheet1!J8,[1]Sheet1!J42,[1]Sheet1!J76,[1]Sheet1!J110)</f>
        <v>2436378.8484816272</v>
      </c>
      <c r="K4" s="8">
        <f>SUM([1]Sheet1!K8,[1]Sheet1!K42,[1]Sheet1!K76,[1]Sheet1!K110)</f>
        <v>2391383.9014847511</v>
      </c>
      <c r="L4" s="8">
        <f>SUM([1]Sheet1!L8,[1]Sheet1!L42,[1]Sheet1!L76,[1]Sheet1!L110)</f>
        <v>2356825.7450504326</v>
      </c>
      <c r="M4" s="8">
        <f>SUM([1]Sheet1!M8,[1]Sheet1!M42,[1]Sheet1!M76,[1]Sheet1!M110)</f>
        <v>2320133.9461123575</v>
      </c>
      <c r="N4" s="8">
        <f>SUM([1]Sheet1!N8,[1]Sheet1!N42,[1]Sheet1!N76,[1]Sheet1!N110)</f>
        <v>2299533.3290045904</v>
      </c>
      <c r="O4" s="8">
        <f>SUM([1]Sheet1!O8,[1]Sheet1!O42,[1]Sheet1!O76,[1]Sheet1!O110)</f>
        <v>2293085.5217066747</v>
      </c>
      <c r="P4" s="8">
        <f>SUM([1]Sheet1!P8,[1]Sheet1!P42,[1]Sheet1!P76,[1]Sheet1!P110)</f>
        <v>2317907.3337784777</v>
      </c>
      <c r="Q4" s="8">
        <f>SUM([1]Sheet1!Q8,[1]Sheet1!Q42,[1]Sheet1!Q76,[1]Sheet1!Q110)</f>
        <v>2363491.5172683401</v>
      </c>
      <c r="R4" s="8">
        <f>SUM([1]Sheet1!R8,[1]Sheet1!R42,[1]Sheet1!R76,[1]Sheet1!R110)</f>
        <v>2443105.5012677759</v>
      </c>
      <c r="S4" s="8">
        <f>SUM([1]Sheet1!S8,[1]Sheet1!S42,[1]Sheet1!S76,[1]Sheet1!S110)</f>
        <v>2547259.7489749729</v>
      </c>
      <c r="T4" s="8"/>
      <c r="U4" s="8"/>
      <c r="V4" s="8"/>
      <c r="W4" s="8"/>
      <c r="X4" s="8"/>
      <c r="Y4" s="8"/>
      <c r="Z4" s="8"/>
      <c r="AA4" s="8"/>
      <c r="AB4" s="8"/>
      <c r="AC4" s="8"/>
      <c r="AD4" s="8"/>
      <c r="AE4" s="8"/>
    </row>
    <row r="5" spans="1:31">
      <c r="B5" s="4" t="s">
        <v>450</v>
      </c>
      <c r="C5" s="4" t="s">
        <v>454</v>
      </c>
      <c r="D5" s="8">
        <f>SUM([1]Sheet1!D9,[1]Sheet1!D43,[1]Sheet1!D77,[1]Sheet1!D111)</f>
        <v>2520302.2649507183</v>
      </c>
      <c r="E5" s="8">
        <f>SUM([1]Sheet1!E9,[1]Sheet1!E43,[1]Sheet1!E77,[1]Sheet1!E111)</f>
        <v>2578643.9096090728</v>
      </c>
      <c r="F5" s="8">
        <f>SUM([1]Sheet1!F9,[1]Sheet1!F43,[1]Sheet1!F77,[1]Sheet1!F111)</f>
        <v>2626714.2079775617</v>
      </c>
      <c r="G5" s="8">
        <f>SUM([1]Sheet1!G9,[1]Sheet1!G43,[1]Sheet1!G77,[1]Sheet1!G111)</f>
        <v>2659148.5764635433</v>
      </c>
      <c r="H5" s="8">
        <f>SUM([1]Sheet1!H9,[1]Sheet1!H43,[1]Sheet1!H77,[1]Sheet1!H111)</f>
        <v>2662113.9952124576</v>
      </c>
      <c r="I5" s="8">
        <f>SUM([1]Sheet1!I9,[1]Sheet1!I43,[1]Sheet1!I77,[1]Sheet1!I111)</f>
        <v>2648575.0496015372</v>
      </c>
      <c r="J5" s="8">
        <f>SUM([1]Sheet1!J9,[1]Sheet1!J43,[1]Sheet1!J77,[1]Sheet1!J111)</f>
        <v>2620916.1811288791</v>
      </c>
      <c r="K5" s="8">
        <f>SUM([1]Sheet1!K9,[1]Sheet1!K43,[1]Sheet1!K77,[1]Sheet1!K111)</f>
        <v>2586017.46730982</v>
      </c>
      <c r="L5" s="8">
        <f>SUM([1]Sheet1!L9,[1]Sheet1!L43,[1]Sheet1!L77,[1]Sheet1!L111)</f>
        <v>2548931.6491507529</v>
      </c>
      <c r="M5" s="8">
        <f>SUM([1]Sheet1!M9,[1]Sheet1!M43,[1]Sheet1!M77,[1]Sheet1!M111)</f>
        <v>2511094.6131779528</v>
      </c>
      <c r="N5" s="8">
        <f>SUM([1]Sheet1!N9,[1]Sheet1!N43,[1]Sheet1!N77,[1]Sheet1!N111)</f>
        <v>2462275.0973497131</v>
      </c>
      <c r="O5" s="8">
        <f>SUM([1]Sheet1!O9,[1]Sheet1!O43,[1]Sheet1!O77,[1]Sheet1!O111)</f>
        <v>2409255.3952726889</v>
      </c>
      <c r="P5" s="8">
        <f>SUM([1]Sheet1!P9,[1]Sheet1!P43,[1]Sheet1!P77,[1]Sheet1!P111)</f>
        <v>2365330.5357868858</v>
      </c>
      <c r="Q5" s="8">
        <f>SUM([1]Sheet1!Q9,[1]Sheet1!Q43,[1]Sheet1!Q77,[1]Sheet1!Q111)</f>
        <v>2334090.5947119896</v>
      </c>
      <c r="R5" s="8">
        <f>SUM([1]Sheet1!R9,[1]Sheet1!R43,[1]Sheet1!R77,[1]Sheet1!R111)</f>
        <v>2302452.5545707764</v>
      </c>
      <c r="S5" s="8">
        <f>SUM([1]Sheet1!S9,[1]Sheet1!S43,[1]Sheet1!S77,[1]Sheet1!S111)</f>
        <v>2287717.3479764746</v>
      </c>
      <c r="T5" s="8"/>
      <c r="U5" s="8"/>
      <c r="V5" s="8"/>
      <c r="W5" s="8"/>
      <c r="X5" s="8"/>
      <c r="Y5" s="8"/>
      <c r="Z5" s="8"/>
      <c r="AA5" s="8"/>
      <c r="AB5" s="8"/>
      <c r="AC5" s="8"/>
      <c r="AD5" s="8"/>
      <c r="AE5" s="8"/>
    </row>
    <row r="6" spans="1:31">
      <c r="B6" s="4" t="s">
        <v>450</v>
      </c>
      <c r="C6" s="4" t="s">
        <v>455</v>
      </c>
      <c r="D6" s="8">
        <f>SUM([1]Sheet1!D10,[1]Sheet1!D44,[1]Sheet1!D78,[1]Sheet1!D112)</f>
        <v>2139226.4998723585</v>
      </c>
      <c r="E6" s="8">
        <f>SUM([1]Sheet1!E10,[1]Sheet1!E44,[1]Sheet1!E78,[1]Sheet1!E112)</f>
        <v>2237100.0878210124</v>
      </c>
      <c r="F6" s="8">
        <f>SUM([1]Sheet1!F10,[1]Sheet1!F44,[1]Sheet1!F78,[1]Sheet1!F112)</f>
        <v>2336213.1319817533</v>
      </c>
      <c r="G6" s="8">
        <f>SUM([1]Sheet1!G10,[1]Sheet1!G44,[1]Sheet1!G78,[1]Sheet1!G112)</f>
        <v>2421903.5505309235</v>
      </c>
      <c r="H6" s="8">
        <f>SUM([1]Sheet1!H10,[1]Sheet1!H44,[1]Sheet1!H78,[1]Sheet1!H112)</f>
        <v>2493798.3755482044</v>
      </c>
      <c r="I6" s="8">
        <f>SUM([1]Sheet1!I10,[1]Sheet1!I44,[1]Sheet1!I78,[1]Sheet1!I112)</f>
        <v>2550927.7694841018</v>
      </c>
      <c r="J6" s="8">
        <f>SUM([1]Sheet1!J10,[1]Sheet1!J44,[1]Sheet1!J78,[1]Sheet1!J112)</f>
        <v>2603531.3506938689</v>
      </c>
      <c r="K6" s="8">
        <f>SUM([1]Sheet1!K10,[1]Sheet1!K44,[1]Sheet1!K78,[1]Sheet1!K112)</f>
        <v>2647505.7927609538</v>
      </c>
      <c r="L6" s="8">
        <f>SUM([1]Sheet1!L10,[1]Sheet1!L44,[1]Sheet1!L78,[1]Sheet1!L112)</f>
        <v>2675993.2338640913</v>
      </c>
      <c r="M6" s="8">
        <f>SUM([1]Sheet1!M10,[1]Sheet1!M44,[1]Sheet1!M78,[1]Sheet1!M112)</f>
        <v>2676236.0209871251</v>
      </c>
      <c r="N6" s="8">
        <f>SUM([1]Sheet1!N10,[1]Sheet1!N44,[1]Sheet1!N78,[1]Sheet1!N112)</f>
        <v>2663334.0612222995</v>
      </c>
      <c r="O6" s="8">
        <f>SUM([1]Sheet1!O10,[1]Sheet1!O44,[1]Sheet1!O78,[1]Sheet1!O112)</f>
        <v>2638625.0314984289</v>
      </c>
      <c r="P6" s="8">
        <f>SUM([1]Sheet1!P10,[1]Sheet1!P44,[1]Sheet1!P78,[1]Sheet1!P112)</f>
        <v>2607210.1034408649</v>
      </c>
      <c r="Q6" s="8">
        <f>SUM([1]Sheet1!Q10,[1]Sheet1!Q44,[1]Sheet1!Q78,[1]Sheet1!Q112)</f>
        <v>2575713.6433947068</v>
      </c>
      <c r="R6" s="8">
        <f>SUM([1]Sheet1!R10,[1]Sheet1!R44,[1]Sheet1!R78,[1]Sheet1!R112)</f>
        <v>2544954.7948525343</v>
      </c>
      <c r="S6" s="8">
        <f>SUM([1]Sheet1!S10,[1]Sheet1!S44,[1]Sheet1!S78,[1]Sheet1!S112)</f>
        <v>2504333.5900054434</v>
      </c>
      <c r="T6" s="8"/>
      <c r="U6" s="8"/>
      <c r="V6" s="8"/>
      <c r="W6" s="8"/>
      <c r="X6" s="8"/>
      <c r="Y6" s="8"/>
      <c r="Z6" s="8"/>
      <c r="AA6" s="8"/>
      <c r="AB6" s="8"/>
      <c r="AC6" s="8"/>
      <c r="AD6" s="8"/>
      <c r="AE6" s="8"/>
    </row>
    <row r="7" spans="1:31">
      <c r="B7" s="4" t="s">
        <v>450</v>
      </c>
      <c r="C7" s="4" t="s">
        <v>456</v>
      </c>
      <c r="D7" s="8">
        <f>SUM([1]Sheet1!D11,[1]Sheet1!D45,[1]Sheet1!D79,[1]Sheet1!D113)</f>
        <v>1911823.4719063109</v>
      </c>
      <c r="E7" s="8">
        <f>SUM([1]Sheet1!E11,[1]Sheet1!E45,[1]Sheet1!E79,[1]Sheet1!E113)</f>
        <v>1933000.6591651281</v>
      </c>
      <c r="F7" s="8">
        <f>SUM([1]Sheet1!F11,[1]Sheet1!F45,[1]Sheet1!F79,[1]Sheet1!F113)</f>
        <v>1959689.7533296479</v>
      </c>
      <c r="G7" s="8">
        <f>SUM([1]Sheet1!G11,[1]Sheet1!G45,[1]Sheet1!G79,[1]Sheet1!G113)</f>
        <v>2005165.2932317827</v>
      </c>
      <c r="H7" s="8">
        <f>SUM([1]Sheet1!H11,[1]Sheet1!H45,[1]Sheet1!H79,[1]Sheet1!H113)</f>
        <v>2083197.2006844014</v>
      </c>
      <c r="I7" s="8">
        <f>SUM([1]Sheet1!I11,[1]Sheet1!I45,[1]Sheet1!I79,[1]Sheet1!I113)</f>
        <v>2176475.0223029526</v>
      </c>
      <c r="J7" s="8">
        <f>SUM([1]Sheet1!J11,[1]Sheet1!J45,[1]Sheet1!J79,[1]Sheet1!J113)</f>
        <v>2276176.6188803492</v>
      </c>
      <c r="K7" s="8">
        <f>SUM([1]Sheet1!K11,[1]Sheet1!K45,[1]Sheet1!K79,[1]Sheet1!K113)</f>
        <v>2376368.0106561426</v>
      </c>
      <c r="L7" s="8">
        <f>SUM([1]Sheet1!L11,[1]Sheet1!L45,[1]Sheet1!L79,[1]Sheet1!L113)</f>
        <v>2462761.1845392389</v>
      </c>
      <c r="M7" s="8">
        <f>SUM([1]Sheet1!M11,[1]Sheet1!M45,[1]Sheet1!M79,[1]Sheet1!M113)</f>
        <v>2536137.9586244677</v>
      </c>
      <c r="N7" s="8">
        <f>SUM([1]Sheet1!N11,[1]Sheet1!N45,[1]Sheet1!N79,[1]Sheet1!N113)</f>
        <v>2597156.9569996092</v>
      </c>
      <c r="O7" s="8">
        <f>SUM([1]Sheet1!O11,[1]Sheet1!O45,[1]Sheet1!O79,[1]Sheet1!O113)</f>
        <v>2655186.4618563633</v>
      </c>
      <c r="P7" s="8">
        <f>SUM([1]Sheet1!P11,[1]Sheet1!P45,[1]Sheet1!P79,[1]Sheet1!P113)</f>
        <v>2704802.5767264795</v>
      </c>
      <c r="Q7" s="8">
        <f>SUM([1]Sheet1!Q11,[1]Sheet1!Q45,[1]Sheet1!Q79,[1]Sheet1!Q113)</f>
        <v>2741254.0315982052</v>
      </c>
      <c r="R7" s="8">
        <f>SUM([1]Sheet1!R11,[1]Sheet1!R45,[1]Sheet1!R79,[1]Sheet1!R113)</f>
        <v>2752096.2186051058</v>
      </c>
      <c r="S7" s="8">
        <f>SUM([1]Sheet1!S11,[1]Sheet1!S45,[1]Sheet1!S79,[1]Sheet1!S113)</f>
        <v>2751292.8489637831</v>
      </c>
      <c r="T7" s="8"/>
      <c r="U7" s="8"/>
      <c r="V7" s="8"/>
      <c r="W7" s="8"/>
      <c r="X7" s="8"/>
      <c r="Y7" s="8"/>
      <c r="Z7" s="8"/>
      <c r="AA7" s="8"/>
      <c r="AB7" s="8"/>
      <c r="AC7" s="8"/>
      <c r="AD7" s="8"/>
      <c r="AE7" s="8"/>
    </row>
    <row r="8" spans="1:31">
      <c r="B8" s="4" t="s">
        <v>450</v>
      </c>
      <c r="C8" s="4" t="s">
        <v>457</v>
      </c>
      <c r="D8" s="8">
        <f>SUM([1]Sheet1!D12,[1]Sheet1!D46,[1]Sheet1!D80,[1]Sheet1!D114)</f>
        <v>1653732.8319631496</v>
      </c>
      <c r="E8" s="8">
        <f>SUM([1]Sheet1!E12,[1]Sheet1!E46,[1]Sheet1!E80,[1]Sheet1!E114)</f>
        <v>1716650.7033458415</v>
      </c>
      <c r="F8" s="8">
        <f>SUM([1]Sheet1!F12,[1]Sheet1!F46,[1]Sheet1!F80,[1]Sheet1!F114)</f>
        <v>1770963.6069462765</v>
      </c>
      <c r="G8" s="8">
        <f>SUM([1]Sheet1!G12,[1]Sheet1!G46,[1]Sheet1!G80,[1]Sheet1!G114)</f>
        <v>1819332.2828332386</v>
      </c>
      <c r="H8" s="8">
        <f>SUM([1]Sheet1!H12,[1]Sheet1!H46,[1]Sheet1!H80,[1]Sheet1!H114)</f>
        <v>1851042.2338490284</v>
      </c>
      <c r="I8" s="8">
        <f>SUM([1]Sheet1!I12,[1]Sheet1!I46,[1]Sheet1!I80,[1]Sheet1!I114)</f>
        <v>1874249.5671767336</v>
      </c>
      <c r="J8" s="8">
        <f>SUM([1]Sheet1!J12,[1]Sheet1!J46,[1]Sheet1!J80,[1]Sheet1!J114)</f>
        <v>1900679.4079160802</v>
      </c>
      <c r="K8" s="8">
        <f>SUM([1]Sheet1!K12,[1]Sheet1!K46,[1]Sheet1!K80,[1]Sheet1!K114)</f>
        <v>1934726.8962213343</v>
      </c>
      <c r="L8" s="8">
        <f>SUM([1]Sheet1!L12,[1]Sheet1!L46,[1]Sheet1!L80,[1]Sheet1!L114)</f>
        <v>1987808.4123348435</v>
      </c>
      <c r="M8" s="8">
        <f>SUM([1]Sheet1!M12,[1]Sheet1!M46,[1]Sheet1!M80,[1]Sheet1!M114)</f>
        <v>2072798.4034380994</v>
      </c>
      <c r="N8" s="8">
        <f>SUM([1]Sheet1!N12,[1]Sheet1!N46,[1]Sheet1!N80,[1]Sheet1!N114)</f>
        <v>2172623.3656895957</v>
      </c>
      <c r="O8" s="8">
        <f>SUM([1]Sheet1!O12,[1]Sheet1!O46,[1]Sheet1!O80,[1]Sheet1!O114)</f>
        <v>2278744.0749280108</v>
      </c>
      <c r="P8" s="8">
        <f>SUM([1]Sheet1!P12,[1]Sheet1!P46,[1]Sheet1!P80,[1]Sheet1!P114)</f>
        <v>2385369.0355849899</v>
      </c>
      <c r="Q8" s="8">
        <f>SUM([1]Sheet1!Q12,[1]Sheet1!Q46,[1]Sheet1!Q80,[1]Sheet1!Q114)</f>
        <v>2479554.3287178334</v>
      </c>
      <c r="R8" s="8">
        <f>SUM([1]Sheet1!R12,[1]Sheet1!R46,[1]Sheet1!R80,[1]Sheet1!R114)</f>
        <v>2562619.3937079408</v>
      </c>
      <c r="S8" s="8">
        <f>SUM([1]Sheet1!S12,[1]Sheet1!S46,[1]Sheet1!S80,[1]Sheet1!S114)</f>
        <v>2635256.503575874</v>
      </c>
      <c r="T8" s="8"/>
      <c r="U8" s="8"/>
      <c r="V8" s="8"/>
      <c r="W8" s="8"/>
      <c r="X8" s="8"/>
      <c r="Y8" s="8"/>
      <c r="Z8" s="8"/>
      <c r="AA8" s="8"/>
      <c r="AB8" s="8"/>
      <c r="AC8" s="8"/>
      <c r="AD8" s="8"/>
      <c r="AE8" s="8"/>
    </row>
    <row r="9" spans="1:31">
      <c r="B9" s="4" t="s">
        <v>450</v>
      </c>
      <c r="C9" s="4" t="s">
        <v>458</v>
      </c>
      <c r="D9" s="8">
        <f>SUM([1]Sheet1!D13,[1]Sheet1!D47,[1]Sheet1!D81,[1]Sheet1!D115)</f>
        <v>1414373.0044965709</v>
      </c>
      <c r="E9" s="8">
        <f>SUM([1]Sheet1!E13,[1]Sheet1!E47,[1]Sheet1!E81,[1]Sheet1!E115)</f>
        <v>1420869.2072946504</v>
      </c>
      <c r="F9" s="8">
        <f>SUM([1]Sheet1!F13,[1]Sheet1!F47,[1]Sheet1!F81,[1]Sheet1!F115)</f>
        <v>1431903.9888607357</v>
      </c>
      <c r="G9" s="8">
        <f>SUM([1]Sheet1!G13,[1]Sheet1!G47,[1]Sheet1!G81,[1]Sheet1!G115)</f>
        <v>1452433.2463546959</v>
      </c>
      <c r="H9" s="8">
        <f>SUM([1]Sheet1!H13,[1]Sheet1!H47,[1]Sheet1!H81,[1]Sheet1!H115)</f>
        <v>1491473.1043499697</v>
      </c>
      <c r="I9" s="8">
        <f>SUM([1]Sheet1!I13,[1]Sheet1!I47,[1]Sheet1!I81,[1]Sheet1!I115)</f>
        <v>1546519.7175218647</v>
      </c>
      <c r="J9" s="8">
        <f>SUM([1]Sheet1!J13,[1]Sheet1!J47,[1]Sheet1!J81,[1]Sheet1!J115)</f>
        <v>1604720.7955164511</v>
      </c>
      <c r="K9" s="8">
        <f>SUM([1]Sheet1!K13,[1]Sheet1!K47,[1]Sheet1!K81,[1]Sheet1!K115)</f>
        <v>1659282.8079045014</v>
      </c>
      <c r="L9" s="8">
        <f>SUM([1]Sheet1!L13,[1]Sheet1!L47,[1]Sheet1!L81,[1]Sheet1!L115)</f>
        <v>1713707.1156736603</v>
      </c>
      <c r="M9" s="8">
        <f>SUM([1]Sheet1!M13,[1]Sheet1!M47,[1]Sheet1!M81,[1]Sheet1!M115)</f>
        <v>1757109.7869231149</v>
      </c>
      <c r="N9" s="8">
        <f>SUM([1]Sheet1!N13,[1]Sheet1!N47,[1]Sheet1!N81,[1]Sheet1!N115)</f>
        <v>1794001.2462062663</v>
      </c>
      <c r="O9" s="8">
        <f>SUM([1]Sheet1!O13,[1]Sheet1!O47,[1]Sheet1!O81,[1]Sheet1!O115)</f>
        <v>1833509.1229587761</v>
      </c>
      <c r="P9" s="8">
        <f>SUM([1]Sheet1!P13,[1]Sheet1!P47,[1]Sheet1!P81,[1]Sheet1!P115)</f>
        <v>1878935.6546512195</v>
      </c>
      <c r="Q9" s="8">
        <f>SUM([1]Sheet1!Q13,[1]Sheet1!Q47,[1]Sheet1!Q81,[1]Sheet1!Q115)</f>
        <v>1941216.8112788366</v>
      </c>
      <c r="R9" s="8">
        <f>SUM([1]Sheet1!R13,[1]Sheet1!R47,[1]Sheet1!R81,[1]Sheet1!R115)</f>
        <v>2034400.3470311831</v>
      </c>
      <c r="S9" s="8">
        <f>SUM([1]Sheet1!S13,[1]Sheet1!S47,[1]Sheet1!S81,[1]Sheet1!S115)</f>
        <v>2142779.8164657601</v>
      </c>
      <c r="T9" s="8"/>
      <c r="U9" s="8"/>
      <c r="V9" s="8"/>
      <c r="W9" s="8"/>
      <c r="X9" s="8"/>
      <c r="Y9" s="8"/>
      <c r="Z9" s="8"/>
      <c r="AA9" s="8"/>
      <c r="AB9" s="8"/>
      <c r="AC9" s="8"/>
      <c r="AD9" s="8"/>
      <c r="AE9" s="8"/>
    </row>
    <row r="10" spans="1:31">
      <c r="B10" s="4" t="s">
        <v>450</v>
      </c>
      <c r="C10" s="4" t="s">
        <v>459</v>
      </c>
      <c r="D10" s="8">
        <f>SUM([1]Sheet1!D14,[1]Sheet1!D48,[1]Sheet1!D82,[1]Sheet1!D116)</f>
        <v>1240313.9526767186</v>
      </c>
      <c r="E10" s="8">
        <f>SUM([1]Sheet1!E14,[1]Sheet1!E48,[1]Sheet1!E82,[1]Sheet1!E116)</f>
        <v>1259516.7114286968</v>
      </c>
      <c r="F10" s="8">
        <f>SUM([1]Sheet1!F14,[1]Sheet1!F48,[1]Sheet1!F82,[1]Sheet1!F116)</f>
        <v>1273228.2464257113</v>
      </c>
      <c r="G10" s="8">
        <f>SUM([1]Sheet1!G14,[1]Sheet1!G48,[1]Sheet1!G82,[1]Sheet1!G116)</f>
        <v>1281361.3173492253</v>
      </c>
      <c r="H10" s="8">
        <f>SUM([1]Sheet1!H14,[1]Sheet1!H48,[1]Sheet1!H82,[1]Sheet1!H116)</f>
        <v>1283615.2585819953</v>
      </c>
      <c r="I10" s="8">
        <f>SUM([1]Sheet1!I14,[1]Sheet1!I48,[1]Sheet1!I82,[1]Sheet1!I116)</f>
        <v>1284655.5730017079</v>
      </c>
      <c r="J10" s="8">
        <f>SUM([1]Sheet1!J14,[1]Sheet1!J48,[1]Sheet1!J82,[1]Sheet1!J116)</f>
        <v>1289852.6277747478</v>
      </c>
      <c r="K10" s="8">
        <f>SUM([1]Sheet1!K14,[1]Sheet1!K48,[1]Sheet1!K82,[1]Sheet1!K116)</f>
        <v>1303083.4543068651</v>
      </c>
      <c r="L10" s="8">
        <f>SUM([1]Sheet1!L14,[1]Sheet1!L48,[1]Sheet1!L82,[1]Sheet1!L116)</f>
        <v>1329369.6342132085</v>
      </c>
      <c r="M10" s="8">
        <f>SUM([1]Sheet1!M14,[1]Sheet1!M48,[1]Sheet1!M82,[1]Sheet1!M116)</f>
        <v>1375987.7126456029</v>
      </c>
      <c r="N10" s="8">
        <f>SUM([1]Sheet1!N14,[1]Sheet1!N48,[1]Sheet1!N82,[1]Sheet1!N116)</f>
        <v>1438407.0719817255</v>
      </c>
      <c r="O10" s="8">
        <f>SUM([1]Sheet1!O14,[1]Sheet1!O48,[1]Sheet1!O82,[1]Sheet1!O116)</f>
        <v>1504598.5596316843</v>
      </c>
      <c r="P10" s="8">
        <f>SUM([1]Sheet1!P14,[1]Sheet1!P48,[1]Sheet1!P82,[1]Sheet1!P116)</f>
        <v>1567811.7179421098</v>
      </c>
      <c r="Q10" s="8">
        <f>SUM([1]Sheet1!Q14,[1]Sheet1!Q48,[1]Sheet1!Q82,[1]Sheet1!Q116)</f>
        <v>1629153.7237748303</v>
      </c>
      <c r="R10" s="8">
        <f>SUM([1]Sheet1!R14,[1]Sheet1!R48,[1]Sheet1!R82,[1]Sheet1!R116)</f>
        <v>1680008.2595614642</v>
      </c>
      <c r="S10" s="8">
        <f>SUM([1]Sheet1!S14,[1]Sheet1!S48,[1]Sheet1!S82,[1]Sheet1!S116)</f>
        <v>1725088.5749223563</v>
      </c>
      <c r="T10" s="8"/>
      <c r="U10" s="8"/>
      <c r="V10" s="8"/>
      <c r="W10" s="8"/>
      <c r="X10" s="8"/>
      <c r="Y10" s="8"/>
      <c r="Z10" s="8"/>
      <c r="AA10" s="8"/>
      <c r="AB10" s="8"/>
      <c r="AC10" s="8"/>
      <c r="AD10" s="8"/>
      <c r="AE10" s="8"/>
    </row>
    <row r="11" spans="1:31">
      <c r="B11" s="4" t="s">
        <v>450</v>
      </c>
      <c r="C11" s="4" t="s">
        <v>460</v>
      </c>
      <c r="D11" s="8">
        <f>SUM([1]Sheet1!D15,[1]Sheet1!D49,[1]Sheet1!D83,[1]Sheet1!D117)</f>
        <v>1034210.474130645</v>
      </c>
      <c r="E11" s="8">
        <f>SUM([1]Sheet1!E15,[1]Sheet1!E49,[1]Sheet1!E83,[1]Sheet1!E117)</f>
        <v>1053527.3239776583</v>
      </c>
      <c r="F11" s="8">
        <f>SUM([1]Sheet1!F15,[1]Sheet1!F49,[1]Sheet1!F83,[1]Sheet1!F117)</f>
        <v>1070185.7908790116</v>
      </c>
      <c r="G11" s="8">
        <f>SUM([1]Sheet1!G15,[1]Sheet1!G49,[1]Sheet1!G83,[1]Sheet1!G117)</f>
        <v>1085517.2708467168</v>
      </c>
      <c r="H11" s="8">
        <f>SUM([1]Sheet1!H15,[1]Sheet1!H49,[1]Sheet1!H83,[1]Sheet1!H117)</f>
        <v>1100598.0061934222</v>
      </c>
      <c r="I11" s="8">
        <f>SUM([1]Sheet1!I15,[1]Sheet1!I49,[1]Sheet1!I83,[1]Sheet1!I117)</f>
        <v>1116287.4734781992</v>
      </c>
      <c r="J11" s="8">
        <f>SUM([1]Sheet1!J15,[1]Sheet1!J49,[1]Sheet1!J83,[1]Sheet1!J117)</f>
        <v>1130975.0504669102</v>
      </c>
      <c r="K11" s="8">
        <f>SUM([1]Sheet1!K15,[1]Sheet1!K49,[1]Sheet1!K83,[1]Sheet1!K117)</f>
        <v>1144206.5526946674</v>
      </c>
      <c r="L11" s="8">
        <f>SUM([1]Sheet1!L15,[1]Sheet1!L49,[1]Sheet1!L83,[1]Sheet1!L117)</f>
        <v>1156280.2996445468</v>
      </c>
      <c r="M11" s="8">
        <f>SUM([1]Sheet1!M15,[1]Sheet1!M49,[1]Sheet1!M83,[1]Sheet1!M117)</f>
        <v>1166459.7196919955</v>
      </c>
      <c r="N11" s="8">
        <f>SUM([1]Sheet1!N15,[1]Sheet1!N49,[1]Sheet1!N83,[1]Sheet1!N117)</f>
        <v>1176172.6926462096</v>
      </c>
      <c r="O11" s="8">
        <f>SUM([1]Sheet1!O15,[1]Sheet1!O49,[1]Sheet1!O83,[1]Sheet1!O117)</f>
        <v>1189887.2034546123</v>
      </c>
      <c r="P11" s="8">
        <f>SUM([1]Sheet1!P15,[1]Sheet1!P49,[1]Sheet1!P83,[1]Sheet1!P117)</f>
        <v>1210780.7448623686</v>
      </c>
      <c r="Q11" s="8">
        <f>SUM([1]Sheet1!Q15,[1]Sheet1!Q49,[1]Sheet1!Q83,[1]Sheet1!Q117)</f>
        <v>1242088.1491068662</v>
      </c>
      <c r="R11" s="8">
        <f>SUM([1]Sheet1!R15,[1]Sheet1!R49,[1]Sheet1!R83,[1]Sheet1!R117)</f>
        <v>1291445.9617650248</v>
      </c>
      <c r="S11" s="8">
        <f>SUM([1]Sheet1!S15,[1]Sheet1!S49,[1]Sheet1!S83,[1]Sheet1!S117)</f>
        <v>1355592.2856924308</v>
      </c>
      <c r="T11" s="8"/>
      <c r="U11" s="8"/>
      <c r="V11" s="8"/>
      <c r="W11" s="8"/>
      <c r="X11" s="8"/>
      <c r="Y11" s="8"/>
      <c r="Z11" s="8"/>
      <c r="AA11" s="8"/>
      <c r="AB11" s="8"/>
      <c r="AC11" s="8"/>
      <c r="AD11" s="8"/>
      <c r="AE11" s="8"/>
    </row>
    <row r="12" spans="1:31">
      <c r="B12" s="4" t="s">
        <v>450</v>
      </c>
      <c r="C12" s="4" t="s">
        <v>461</v>
      </c>
      <c r="D12" s="8">
        <f>SUM([1]Sheet1!D16,[1]Sheet1!D50,[1]Sheet1!D84,[1]Sheet1!D118)</f>
        <v>814752.50266034598</v>
      </c>
      <c r="E12" s="8">
        <f>SUM([1]Sheet1!E16,[1]Sheet1!E50,[1]Sheet1!E84,[1]Sheet1!E118)</f>
        <v>840532.35219451971</v>
      </c>
      <c r="F12" s="8">
        <f>SUM([1]Sheet1!F16,[1]Sheet1!F50,[1]Sheet1!F84,[1]Sheet1!F118)</f>
        <v>863703.01522529975</v>
      </c>
      <c r="G12" s="8">
        <f>SUM([1]Sheet1!G16,[1]Sheet1!G50,[1]Sheet1!G84,[1]Sheet1!G118)</f>
        <v>883757.98864610691</v>
      </c>
      <c r="H12" s="8">
        <f>SUM([1]Sheet1!H16,[1]Sheet1!H50,[1]Sheet1!H84,[1]Sheet1!H118)</f>
        <v>900547.68451594841</v>
      </c>
      <c r="I12" s="8">
        <f>SUM([1]Sheet1!I16,[1]Sheet1!I50,[1]Sheet1!I84,[1]Sheet1!I118)</f>
        <v>915632.36087067588</v>
      </c>
      <c r="J12" s="8">
        <f>SUM([1]Sheet1!J16,[1]Sheet1!J50,[1]Sheet1!J84,[1]Sheet1!J118)</f>
        <v>930931.59841727384</v>
      </c>
      <c r="K12" s="8">
        <f>SUM([1]Sheet1!K16,[1]Sheet1!K50,[1]Sheet1!K84,[1]Sheet1!K118)</f>
        <v>946787.92433152068</v>
      </c>
      <c r="L12" s="8">
        <f>SUM([1]Sheet1!L16,[1]Sheet1!L50,[1]Sheet1!L84,[1]Sheet1!L118)</f>
        <v>964316.371556959</v>
      </c>
      <c r="M12" s="8">
        <f>SUM([1]Sheet1!M16,[1]Sheet1!M50,[1]Sheet1!M84,[1]Sheet1!M118)</f>
        <v>983945.29185842723</v>
      </c>
      <c r="N12" s="8">
        <f>SUM([1]Sheet1!N16,[1]Sheet1!N50,[1]Sheet1!N84,[1]Sheet1!N118)</f>
        <v>1004369.1540318729</v>
      </c>
      <c r="O12" s="8">
        <f>SUM([1]Sheet1!O16,[1]Sheet1!O50,[1]Sheet1!O84,[1]Sheet1!O118)</f>
        <v>1023548.6695208066</v>
      </c>
      <c r="P12" s="8">
        <f>SUM([1]Sheet1!P16,[1]Sheet1!P50,[1]Sheet1!P84,[1]Sheet1!P118)</f>
        <v>1041512.7087564993</v>
      </c>
      <c r="Q12" s="8">
        <f>SUM([1]Sheet1!Q16,[1]Sheet1!Q50,[1]Sheet1!Q84,[1]Sheet1!Q118)</f>
        <v>1057616.5442318977</v>
      </c>
      <c r="R12" s="8">
        <f>SUM([1]Sheet1!R16,[1]Sheet1!R50,[1]Sheet1!R84,[1]Sheet1!R118)</f>
        <v>1071527.0437071801</v>
      </c>
      <c r="S12" s="8">
        <f>SUM([1]Sheet1!S16,[1]Sheet1!S50,[1]Sheet1!S84,[1]Sheet1!S118)</f>
        <v>1085068.4313495818</v>
      </c>
      <c r="T12" s="8"/>
      <c r="U12" s="8"/>
      <c r="V12" s="8"/>
      <c r="W12" s="8"/>
      <c r="X12" s="8"/>
      <c r="Y12" s="8"/>
      <c r="Z12" s="8"/>
      <c r="AA12" s="8"/>
      <c r="AB12" s="8"/>
      <c r="AC12" s="8"/>
      <c r="AD12" s="8"/>
      <c r="AE12" s="8"/>
    </row>
    <row r="13" spans="1:31">
      <c r="B13" s="4" t="s">
        <v>450</v>
      </c>
      <c r="C13" s="4" t="s">
        <v>462</v>
      </c>
      <c r="D13" s="8">
        <f>SUM([1]Sheet1!D17,[1]Sheet1!D51,[1]Sheet1!D85,[1]Sheet1!D119)</f>
        <v>607102.76829578751</v>
      </c>
      <c r="E13" s="8">
        <f>SUM([1]Sheet1!E17,[1]Sheet1!E51,[1]Sheet1!E85,[1]Sheet1!E119)</f>
        <v>627727.5286117387</v>
      </c>
      <c r="F13" s="8">
        <f>SUM([1]Sheet1!F17,[1]Sheet1!F51,[1]Sheet1!F85,[1]Sheet1!F119)</f>
        <v>649083.56812729861</v>
      </c>
      <c r="G13" s="8">
        <f>SUM([1]Sheet1!G17,[1]Sheet1!G51,[1]Sheet1!G85,[1]Sheet1!G119)</f>
        <v>670677.90028681094</v>
      </c>
      <c r="H13" s="8">
        <f>SUM([1]Sheet1!H17,[1]Sheet1!H51,[1]Sheet1!H85,[1]Sheet1!H119)</f>
        <v>692475.68900708877</v>
      </c>
      <c r="I13" s="8">
        <f>SUM([1]Sheet1!I17,[1]Sheet1!I51,[1]Sheet1!I85,[1]Sheet1!I119)</f>
        <v>714689.06103030406</v>
      </c>
      <c r="J13" s="8">
        <f>SUM([1]Sheet1!J17,[1]Sheet1!J51,[1]Sheet1!J85,[1]Sheet1!J119)</f>
        <v>735419.66945885459</v>
      </c>
      <c r="K13" s="8">
        <f>SUM([1]Sheet1!K17,[1]Sheet1!K51,[1]Sheet1!K85,[1]Sheet1!K119)</f>
        <v>755623.23604148231</v>
      </c>
      <c r="L13" s="8">
        <f>SUM([1]Sheet1!L17,[1]Sheet1!L51,[1]Sheet1!L85,[1]Sheet1!L119)</f>
        <v>774975.4623960692</v>
      </c>
      <c r="M13" s="8">
        <f>SUM([1]Sheet1!M17,[1]Sheet1!M51,[1]Sheet1!M85,[1]Sheet1!M119)</f>
        <v>793115.16929893917</v>
      </c>
      <c r="N13" s="8">
        <f>SUM([1]Sheet1!N17,[1]Sheet1!N51,[1]Sheet1!N85,[1]Sheet1!N119)</f>
        <v>810119.69922582153</v>
      </c>
      <c r="O13" s="8">
        <f>SUM([1]Sheet1!O17,[1]Sheet1!O51,[1]Sheet1!O85,[1]Sheet1!O119)</f>
        <v>827259.60804414679</v>
      </c>
      <c r="P13" s="8">
        <f>SUM([1]Sheet1!P17,[1]Sheet1!P51,[1]Sheet1!P85,[1]Sheet1!P119)</f>
        <v>844872.12362755986</v>
      </c>
      <c r="Q13" s="8">
        <f>SUM([1]Sheet1!Q17,[1]Sheet1!Q51,[1]Sheet1!Q85,[1]Sheet1!Q119)</f>
        <v>863646.05529109412</v>
      </c>
      <c r="R13" s="8">
        <f>SUM([1]Sheet1!R17,[1]Sheet1!R51,[1]Sheet1!R85,[1]Sheet1!R119)</f>
        <v>884201.72648653307</v>
      </c>
      <c r="S13" s="8">
        <f>SUM([1]Sheet1!S17,[1]Sheet1!S51,[1]Sheet1!S85,[1]Sheet1!S119)</f>
        <v>905701.29966687993</v>
      </c>
      <c r="T13" s="8"/>
      <c r="U13" s="8"/>
      <c r="V13" s="8"/>
      <c r="W13" s="8"/>
      <c r="X13" s="8"/>
      <c r="Y13" s="8"/>
      <c r="Z13" s="8"/>
      <c r="AA13" s="8"/>
      <c r="AB13" s="8"/>
      <c r="AC13" s="8"/>
      <c r="AD13" s="8"/>
      <c r="AE13" s="8"/>
    </row>
    <row r="14" spans="1:31">
      <c r="B14" s="4" t="s">
        <v>450</v>
      </c>
      <c r="C14" s="4" t="s">
        <v>463</v>
      </c>
      <c r="D14" s="8">
        <f>SUM([1]Sheet1!D18,[1]Sheet1!D52,[1]Sheet1!D86,[1]Sheet1!D120)</f>
        <v>470381.2524254251</v>
      </c>
      <c r="E14" s="8">
        <f>SUM([1]Sheet1!E18,[1]Sheet1!E52,[1]Sheet1!E86,[1]Sheet1!E120)</f>
        <v>475946.82618020271</v>
      </c>
      <c r="F14" s="8">
        <f>SUM([1]Sheet1!F18,[1]Sheet1!F52,[1]Sheet1!F86,[1]Sheet1!F120)</f>
        <v>482482.05111586326</v>
      </c>
      <c r="G14" s="8">
        <f>SUM([1]Sheet1!G18,[1]Sheet1!G52,[1]Sheet1!G86,[1]Sheet1!G120)</f>
        <v>491358.57001219696</v>
      </c>
      <c r="H14" s="8">
        <f>SUM([1]Sheet1!H18,[1]Sheet1!H52,[1]Sheet1!H86,[1]Sheet1!H120)</f>
        <v>502722.73685002368</v>
      </c>
      <c r="I14" s="8">
        <f>SUM([1]Sheet1!I18,[1]Sheet1!I52,[1]Sheet1!I86,[1]Sheet1!I120)</f>
        <v>515901.52955487208</v>
      </c>
      <c r="J14" s="8">
        <f>SUM([1]Sheet1!J18,[1]Sheet1!J52,[1]Sheet1!J86,[1]Sheet1!J120)</f>
        <v>532613.10446075606</v>
      </c>
      <c r="K14" s="8">
        <f>SUM([1]Sheet1!K18,[1]Sheet1!K52,[1]Sheet1!K86,[1]Sheet1!K120)</f>
        <v>550755.62211782532</v>
      </c>
      <c r="L14" s="8">
        <f>SUM([1]Sheet1!L18,[1]Sheet1!L52,[1]Sheet1!L86,[1]Sheet1!L120)</f>
        <v>569910.38640425773</v>
      </c>
      <c r="M14" s="8">
        <f>SUM([1]Sheet1!M18,[1]Sheet1!M52,[1]Sheet1!M86,[1]Sheet1!M120)</f>
        <v>589940.67807867995</v>
      </c>
      <c r="N14" s="8">
        <f>SUM([1]Sheet1!N18,[1]Sheet1!N52,[1]Sheet1!N86,[1]Sheet1!N120)</f>
        <v>610641.01699351449</v>
      </c>
      <c r="O14" s="8">
        <f>SUM([1]Sheet1!O18,[1]Sheet1!O52,[1]Sheet1!O86,[1]Sheet1!O120)</f>
        <v>630220.9090150866</v>
      </c>
      <c r="P14" s="8">
        <f>SUM([1]Sheet1!P18,[1]Sheet1!P52,[1]Sheet1!P86,[1]Sheet1!P120)</f>
        <v>649411.63698208635</v>
      </c>
      <c r="Q14" s="8">
        <f>SUM([1]Sheet1!Q18,[1]Sheet1!Q52,[1]Sheet1!Q86,[1]Sheet1!Q120)</f>
        <v>667922.34408631455</v>
      </c>
      <c r="R14" s="8">
        <f>SUM([1]Sheet1!R18,[1]Sheet1!R52,[1]Sheet1!R86,[1]Sheet1!R120)</f>
        <v>685621.04131957493</v>
      </c>
      <c r="S14" s="8">
        <f>SUM([1]Sheet1!S18,[1]Sheet1!S52,[1]Sheet1!S86,[1]Sheet1!S120)</f>
        <v>702659.76811327343</v>
      </c>
      <c r="T14" s="8"/>
      <c r="U14" s="8"/>
      <c r="V14" s="8"/>
      <c r="W14" s="8"/>
      <c r="X14" s="8"/>
      <c r="Y14" s="8"/>
      <c r="Z14" s="8"/>
      <c r="AA14" s="8"/>
      <c r="AB14" s="8"/>
      <c r="AC14" s="8"/>
      <c r="AD14" s="8"/>
      <c r="AE14" s="8"/>
    </row>
    <row r="15" spans="1:31">
      <c r="B15" s="4" t="s">
        <v>450</v>
      </c>
      <c r="C15" s="4" t="s">
        <v>464</v>
      </c>
      <c r="D15" s="8">
        <f>SUM([1]Sheet1!D19,[1]Sheet1!D53,[1]Sheet1!D87,[1]Sheet1!D121)</f>
        <v>331636.75965279166</v>
      </c>
      <c r="E15" s="8">
        <f>SUM([1]Sheet1!E19,[1]Sheet1!E53,[1]Sheet1!E87,[1]Sheet1!E121)</f>
        <v>342334.90280453808</v>
      </c>
      <c r="F15" s="8">
        <f>SUM([1]Sheet1!F19,[1]Sheet1!F53,[1]Sheet1!F87,[1]Sheet1!F121)</f>
        <v>353657.41226394172</v>
      </c>
      <c r="G15" s="8">
        <f>SUM([1]Sheet1!G19,[1]Sheet1!G53,[1]Sheet1!G87,[1]Sheet1!G121)</f>
        <v>362753.38711743394</v>
      </c>
      <c r="H15" s="8">
        <f>SUM([1]Sheet1!H19,[1]Sheet1!H53,[1]Sheet1!H87,[1]Sheet1!H121)</f>
        <v>369356.75951917219</v>
      </c>
      <c r="I15" s="8">
        <f>SUM([1]Sheet1!I19,[1]Sheet1!I53,[1]Sheet1!I87,[1]Sheet1!I121)</f>
        <v>374556.5500456483</v>
      </c>
      <c r="J15" s="8">
        <f>SUM([1]Sheet1!J19,[1]Sheet1!J53,[1]Sheet1!J87,[1]Sheet1!J121)</f>
        <v>378910.92921442771</v>
      </c>
      <c r="K15" s="8">
        <f>SUM([1]Sheet1!K19,[1]Sheet1!K53,[1]Sheet1!K87,[1]Sheet1!K121)</f>
        <v>384635.42484986543</v>
      </c>
      <c r="L15" s="8">
        <f>SUM([1]Sheet1!L19,[1]Sheet1!L53,[1]Sheet1!L87,[1]Sheet1!L121)</f>
        <v>392745.46620449051</v>
      </c>
      <c r="M15" s="8">
        <f>SUM([1]Sheet1!M19,[1]Sheet1!M53,[1]Sheet1!M87,[1]Sheet1!M121)</f>
        <v>403252.14266681322</v>
      </c>
      <c r="N15" s="8">
        <f>SUM([1]Sheet1!N19,[1]Sheet1!N53,[1]Sheet1!N87,[1]Sheet1!N121)</f>
        <v>415419.18422201893</v>
      </c>
      <c r="O15" s="8">
        <f>SUM([1]Sheet1!O19,[1]Sheet1!O53,[1]Sheet1!O87,[1]Sheet1!O121)</f>
        <v>430451.81233014073</v>
      </c>
      <c r="P15" s="8">
        <f>SUM([1]Sheet1!P19,[1]Sheet1!P53,[1]Sheet1!P87,[1]Sheet1!P121)</f>
        <v>446579.0209714626</v>
      </c>
      <c r="Q15" s="8">
        <f>SUM([1]Sheet1!Q19,[1]Sheet1!Q53,[1]Sheet1!Q87,[1]Sheet1!Q121)</f>
        <v>463508.8130152917</v>
      </c>
      <c r="R15" s="8">
        <f>SUM([1]Sheet1!R19,[1]Sheet1!R53,[1]Sheet1!R87,[1]Sheet1!R121)</f>
        <v>481257.75725747575</v>
      </c>
      <c r="S15" s="8">
        <f>SUM([1]Sheet1!S19,[1]Sheet1!S53,[1]Sheet1!S87,[1]Sheet1!S121)</f>
        <v>499711.0902356953</v>
      </c>
      <c r="T15" s="8"/>
      <c r="U15" s="8"/>
      <c r="V15" s="8"/>
      <c r="W15" s="8"/>
      <c r="X15" s="8"/>
      <c r="Y15" s="8"/>
      <c r="Z15" s="8"/>
      <c r="AA15" s="8"/>
      <c r="AB15" s="8"/>
      <c r="AC15" s="8"/>
      <c r="AD15" s="8"/>
      <c r="AE15" s="8"/>
    </row>
    <row r="16" spans="1:31">
      <c r="B16" s="4" t="s">
        <v>450</v>
      </c>
      <c r="C16" s="4" t="s">
        <v>465</v>
      </c>
      <c r="D16" s="8">
        <f>SUM([1]Sheet1!D20,[1]Sheet1!D54,[1]Sheet1!D88,[1]Sheet1!D122)</f>
        <v>224877.10167049782</v>
      </c>
      <c r="E16" s="8">
        <f>SUM([1]Sheet1!E20,[1]Sheet1!E54,[1]Sheet1!E88,[1]Sheet1!E122)</f>
        <v>226187.92365083241</v>
      </c>
      <c r="F16" s="8">
        <f>SUM([1]Sheet1!F20,[1]Sheet1!F54,[1]Sheet1!F88,[1]Sheet1!F122)</f>
        <v>227083.55596033577</v>
      </c>
      <c r="G16" s="8">
        <f>SUM([1]Sheet1!G20,[1]Sheet1!G54,[1]Sheet1!G88,[1]Sheet1!G122)</f>
        <v>230022.38212844168</v>
      </c>
      <c r="H16" s="8">
        <f>SUM([1]Sheet1!H20,[1]Sheet1!H54,[1]Sheet1!H88,[1]Sheet1!H122)</f>
        <v>234909.79471916531</v>
      </c>
      <c r="I16" s="8">
        <f>SUM([1]Sheet1!I20,[1]Sheet1!I54,[1]Sheet1!I88,[1]Sheet1!I122)</f>
        <v>241754.62214847622</v>
      </c>
      <c r="J16" s="8">
        <f>SUM([1]Sheet1!J20,[1]Sheet1!J54,[1]Sheet1!J88,[1]Sheet1!J122)</f>
        <v>249767.47395681549</v>
      </c>
      <c r="K16" s="8">
        <f>SUM([1]Sheet1!K20,[1]Sheet1!K54,[1]Sheet1!K88,[1]Sheet1!K122)</f>
        <v>258393.25175279813</v>
      </c>
      <c r="L16" s="8">
        <f>SUM([1]Sheet1!L20,[1]Sheet1!L54,[1]Sheet1!L88,[1]Sheet1!L122)</f>
        <v>265760.40083917469</v>
      </c>
      <c r="M16" s="8">
        <f>SUM([1]Sheet1!M20,[1]Sheet1!M54,[1]Sheet1!M88,[1]Sheet1!M122)</f>
        <v>271635.1879601815</v>
      </c>
      <c r="N16" s="8">
        <f>SUM([1]Sheet1!N20,[1]Sheet1!N54,[1]Sheet1!N88,[1]Sheet1!N122)</f>
        <v>276711.65566054214</v>
      </c>
      <c r="O16" s="8">
        <f>SUM([1]Sheet1!O20,[1]Sheet1!O54,[1]Sheet1!O88,[1]Sheet1!O122)</f>
        <v>281313.58563671116</v>
      </c>
      <c r="P16" s="8">
        <f>SUM([1]Sheet1!P20,[1]Sheet1!P54,[1]Sheet1!P88,[1]Sheet1!P122)</f>
        <v>286971.56045053265</v>
      </c>
      <c r="Q16" s="8">
        <f>SUM([1]Sheet1!Q20,[1]Sheet1!Q54,[1]Sheet1!Q88,[1]Sheet1!Q122)</f>
        <v>294449.79902846797</v>
      </c>
      <c r="R16" s="8">
        <f>SUM([1]Sheet1!R20,[1]Sheet1!R54,[1]Sheet1!R88,[1]Sheet1!R122)</f>
        <v>303849.53934690234</v>
      </c>
      <c r="S16" s="8">
        <f>SUM([1]Sheet1!S20,[1]Sheet1!S54,[1]Sheet1!S88,[1]Sheet1!S122)</f>
        <v>314643.87020421983</v>
      </c>
      <c r="T16" s="8"/>
      <c r="U16" s="8"/>
      <c r="V16" s="8"/>
      <c r="W16" s="8"/>
      <c r="X16" s="8"/>
      <c r="Y16" s="8"/>
      <c r="Z16" s="8"/>
      <c r="AA16" s="8"/>
      <c r="AB16" s="8"/>
      <c r="AC16" s="8"/>
      <c r="AD16" s="8"/>
      <c r="AE16" s="8"/>
    </row>
    <row r="17" spans="2:31">
      <c r="B17" s="4" t="s">
        <v>450</v>
      </c>
      <c r="C17" s="4" t="s">
        <v>466</v>
      </c>
      <c r="D17" s="8">
        <f>SUM([1]Sheet1!D21,[1]Sheet1!D55,[1]Sheet1!D89,[1]Sheet1!D123)</f>
        <v>136113.41047285518</v>
      </c>
      <c r="E17" s="8">
        <f>SUM([1]Sheet1!E21,[1]Sheet1!E55,[1]Sheet1!E89,[1]Sheet1!E123)</f>
        <v>137889.03151454381</v>
      </c>
      <c r="F17" s="8">
        <f>SUM([1]Sheet1!F21,[1]Sheet1!F55,[1]Sheet1!F89,[1]Sheet1!F123)</f>
        <v>139850.104920388</v>
      </c>
      <c r="G17" s="8">
        <f>SUM([1]Sheet1!G21,[1]Sheet1!G55,[1]Sheet1!G89,[1]Sheet1!G123)</f>
        <v>141670.58791028697</v>
      </c>
      <c r="H17" s="8">
        <f>SUM([1]Sheet1!H21,[1]Sheet1!H55,[1]Sheet1!H89,[1]Sheet1!H123)</f>
        <v>143069.40738170873</v>
      </c>
      <c r="I17" s="8">
        <f>SUM([1]Sheet1!I21,[1]Sheet1!I55,[1]Sheet1!I89,[1]Sheet1!I123)</f>
        <v>144325.56363142564</v>
      </c>
      <c r="J17" s="8">
        <f>SUM([1]Sheet1!J21,[1]Sheet1!J55,[1]Sheet1!J89,[1]Sheet1!J123)</f>
        <v>145506.70857403637</v>
      </c>
      <c r="K17" s="8">
        <f>SUM([1]Sheet1!K21,[1]Sheet1!K55,[1]Sheet1!K89,[1]Sheet1!K123)</f>
        <v>146644.51519230643</v>
      </c>
      <c r="L17" s="8">
        <f>SUM([1]Sheet1!L21,[1]Sheet1!L55,[1]Sheet1!L89,[1]Sheet1!L123)</f>
        <v>149308.73729902838</v>
      </c>
      <c r="M17" s="8">
        <f>SUM([1]Sheet1!M21,[1]Sheet1!M55,[1]Sheet1!M89,[1]Sheet1!M123)</f>
        <v>153411.16205776282</v>
      </c>
      <c r="N17" s="8">
        <f>SUM([1]Sheet1!N21,[1]Sheet1!N55,[1]Sheet1!N89,[1]Sheet1!N123)</f>
        <v>158851.94076045998</v>
      </c>
      <c r="O17" s="8">
        <f>SUM([1]Sheet1!O21,[1]Sheet1!O55,[1]Sheet1!O89,[1]Sheet1!O123)</f>
        <v>165125.51247979311</v>
      </c>
      <c r="P17" s="8">
        <f>SUM([1]Sheet1!P21,[1]Sheet1!P55,[1]Sheet1!P89,[1]Sheet1!P123)</f>
        <v>171712.7804442051</v>
      </c>
      <c r="Q17" s="8">
        <f>SUM([1]Sheet1!Q21,[1]Sheet1!Q55,[1]Sheet1!Q89,[1]Sheet1!Q123)</f>
        <v>177526.82683254255</v>
      </c>
      <c r="R17" s="8">
        <f>SUM([1]Sheet1!R21,[1]Sheet1!R55,[1]Sheet1!R89,[1]Sheet1!R123)</f>
        <v>182495.24687006572</v>
      </c>
      <c r="S17" s="8">
        <f>SUM([1]Sheet1!S21,[1]Sheet1!S55,[1]Sheet1!S89,[1]Sheet1!S123)</f>
        <v>187084.46060608642</v>
      </c>
      <c r="T17" s="8"/>
      <c r="U17" s="8"/>
      <c r="V17" s="8"/>
      <c r="W17" s="8"/>
      <c r="X17" s="8"/>
      <c r="Y17" s="8"/>
      <c r="Z17" s="8"/>
      <c r="AA17" s="8"/>
      <c r="AB17" s="8"/>
      <c r="AC17" s="8"/>
      <c r="AD17" s="8"/>
      <c r="AE17" s="8"/>
    </row>
    <row r="18" spans="2:31">
      <c r="B18" s="4" t="s">
        <v>450</v>
      </c>
      <c r="C18" s="4" t="s">
        <v>467</v>
      </c>
      <c r="D18" s="8">
        <f>SUM([1]Sheet1!D22,[1]Sheet1!D56,[1]Sheet1!D90,[1]Sheet1!D124)</f>
        <v>106228.95107064996</v>
      </c>
      <c r="E18" s="8">
        <f>SUM([1]Sheet1!E22,[1]Sheet1!E56,[1]Sheet1!E90,[1]Sheet1!E124)</f>
        <v>107716.99456097675</v>
      </c>
      <c r="F18" s="8">
        <f>SUM([1]Sheet1!F22,[1]Sheet1!F56,[1]Sheet1!F90,[1]Sheet1!F124)</f>
        <v>109064.07331907432</v>
      </c>
      <c r="G18" s="8">
        <f>SUM([1]Sheet1!G22,[1]Sheet1!G56,[1]Sheet1!G90,[1]Sheet1!G124)</f>
        <v>110344.67798154335</v>
      </c>
      <c r="H18" s="8">
        <f>SUM([1]Sheet1!H22,[1]Sheet1!H56,[1]Sheet1!H90,[1]Sheet1!H124)</f>
        <v>112108.22965897596</v>
      </c>
      <c r="I18" s="8">
        <f>SUM([1]Sheet1!I22,[1]Sheet1!I56,[1]Sheet1!I90,[1]Sheet1!I124)</f>
        <v>113866.35964732076</v>
      </c>
      <c r="J18" s="8">
        <f>SUM([1]Sheet1!J22,[1]Sheet1!J56,[1]Sheet1!J90,[1]Sheet1!J124)</f>
        <v>115740.72937423378</v>
      </c>
      <c r="K18" s="8">
        <f>SUM([1]Sheet1!K22,[1]Sheet1!K56,[1]Sheet1!K90,[1]Sheet1!K124)</f>
        <v>117780.48351091867</v>
      </c>
      <c r="L18" s="8">
        <f>SUM([1]Sheet1!L22,[1]Sheet1!L56,[1]Sheet1!L90,[1]Sheet1!L124)</f>
        <v>119842.54733242658</v>
      </c>
      <c r="M18" s="8">
        <f>SUM([1]Sheet1!M22,[1]Sheet1!M56,[1]Sheet1!M90,[1]Sheet1!M124)</f>
        <v>122047.4577375052</v>
      </c>
      <c r="N18" s="8">
        <f>SUM([1]Sheet1!N22,[1]Sheet1!N56,[1]Sheet1!N90,[1]Sheet1!N124)</f>
        <v>124196.59346915706</v>
      </c>
      <c r="O18" s="8">
        <f>SUM([1]Sheet1!O22,[1]Sheet1!O56,[1]Sheet1!O90,[1]Sheet1!O124)</f>
        <v>126408.65320709298</v>
      </c>
      <c r="P18" s="8">
        <f>SUM([1]Sheet1!P22,[1]Sheet1!P56,[1]Sheet1!P90,[1]Sheet1!P124)</f>
        <v>128738.12313684807</v>
      </c>
      <c r="Q18" s="8">
        <f>SUM([1]Sheet1!Q22,[1]Sheet1!Q56,[1]Sheet1!Q90,[1]Sheet1!Q124)</f>
        <v>132008.80657211767</v>
      </c>
      <c r="R18" s="8">
        <f>SUM([1]Sheet1!R22,[1]Sheet1!R56,[1]Sheet1!R90,[1]Sheet1!R124)</f>
        <v>136233.55382356065</v>
      </c>
      <c r="S18" s="8">
        <f>SUM([1]Sheet1!S22,[1]Sheet1!S56,[1]Sheet1!S90,[1]Sheet1!S124)</f>
        <v>141215.3225497384</v>
      </c>
      <c r="T18" s="8"/>
      <c r="U18" s="8"/>
      <c r="V18" s="8"/>
      <c r="W18" s="8"/>
      <c r="X18" s="8"/>
      <c r="Y18" s="8"/>
      <c r="Z18" s="8"/>
      <c r="AA18" s="8"/>
      <c r="AB18" s="8"/>
      <c r="AC18" s="8"/>
      <c r="AD18" s="8"/>
      <c r="AE18" s="8"/>
    </row>
    <row r="19" spans="2:31">
      <c r="B19" s="4" t="s">
        <v>468</v>
      </c>
      <c r="C19" s="4" t="s">
        <v>451</v>
      </c>
      <c r="D19" s="8">
        <f>SUM([1]Sheet1!D23,[1]Sheet1!D57,[1]Sheet1!D91,[1]Sheet1!D125)</f>
        <v>2344983.5922747836</v>
      </c>
      <c r="E19" s="8">
        <f>SUM([1]Sheet1!E23,[1]Sheet1!E57,[1]Sheet1!E91,[1]Sheet1!E125)</f>
        <v>2344690.4576547071</v>
      </c>
      <c r="F19" s="8">
        <f>SUM([1]Sheet1!F23,[1]Sheet1!F57,[1]Sheet1!F91,[1]Sheet1!F125)</f>
        <v>2375055.1503935256</v>
      </c>
      <c r="G19" s="8">
        <f>SUM([1]Sheet1!G23,[1]Sheet1!G57,[1]Sheet1!G91,[1]Sheet1!G125)</f>
        <v>2424333.6105767726</v>
      </c>
      <c r="H19" s="8">
        <f>SUM([1]Sheet1!H23,[1]Sheet1!H57,[1]Sheet1!H91,[1]Sheet1!H125)</f>
        <v>2506187.6427789042</v>
      </c>
      <c r="I19" s="8">
        <f>SUM([1]Sheet1!I23,[1]Sheet1!I57,[1]Sheet1!I91,[1]Sheet1!I125)</f>
        <v>2607498.3186374218</v>
      </c>
      <c r="J19" s="8">
        <f>SUM([1]Sheet1!J23,[1]Sheet1!J57,[1]Sheet1!J91,[1]Sheet1!J125)</f>
        <v>2712847.9418493938</v>
      </c>
      <c r="K19" s="8">
        <f>SUM([1]Sheet1!K23,[1]Sheet1!K57,[1]Sheet1!K91,[1]Sheet1!K125)</f>
        <v>2790366.9492815025</v>
      </c>
      <c r="L19" s="8">
        <f>SUM([1]Sheet1!L23,[1]Sheet1!L57,[1]Sheet1!L91,[1]Sheet1!L125)</f>
        <v>2845136.4057310862</v>
      </c>
      <c r="M19" s="8">
        <f>SUM([1]Sheet1!M23,[1]Sheet1!M57,[1]Sheet1!M91,[1]Sheet1!M125)</f>
        <v>2878586.5940013444</v>
      </c>
      <c r="N19" s="8">
        <f>SUM([1]Sheet1!N23,[1]Sheet1!N57,[1]Sheet1!N91,[1]Sheet1!N125)</f>
        <v>2895522.4970890828</v>
      </c>
      <c r="O19" s="8">
        <f>SUM([1]Sheet1!O23,[1]Sheet1!O57,[1]Sheet1!O91,[1]Sheet1!O125)</f>
        <v>2905556.9705545753</v>
      </c>
      <c r="P19" s="8">
        <f>SUM([1]Sheet1!P23,[1]Sheet1!P57,[1]Sheet1!P91,[1]Sheet1!P125)</f>
        <v>2913545.6512265364</v>
      </c>
      <c r="Q19" s="8">
        <f>SUM([1]Sheet1!Q23,[1]Sheet1!Q57,[1]Sheet1!Q91,[1]Sheet1!Q125)</f>
        <v>2919750.0220190878</v>
      </c>
      <c r="R19" s="8">
        <f>SUM([1]Sheet1!R23,[1]Sheet1!R57,[1]Sheet1!R91,[1]Sheet1!R125)</f>
        <v>2922788.9812859613</v>
      </c>
      <c r="S19" s="8">
        <f>SUM([1]Sheet1!S23,[1]Sheet1!S57,[1]Sheet1!S91,[1]Sheet1!S125)</f>
        <v>2920261.4274772308</v>
      </c>
      <c r="T19" s="8"/>
      <c r="U19" s="8"/>
      <c r="V19" s="8"/>
      <c r="W19" s="8"/>
      <c r="X19" s="8"/>
      <c r="Y19" s="8"/>
      <c r="Z19" s="8"/>
      <c r="AA19" s="8"/>
      <c r="AB19" s="8"/>
      <c r="AC19" s="8"/>
      <c r="AD19" s="8"/>
      <c r="AE19" s="8"/>
    </row>
    <row r="20" spans="2:31">
      <c r="B20" s="4" t="s">
        <v>468</v>
      </c>
      <c r="C20" s="4" t="s">
        <v>452</v>
      </c>
      <c r="D20" s="8">
        <f>SUM([1]Sheet1!D24,[1]Sheet1!D58,[1]Sheet1!D92,[1]Sheet1!D126)</f>
        <v>2494403.1903595864</v>
      </c>
      <c r="E20" s="8">
        <f>SUM([1]Sheet1!E24,[1]Sheet1!E58,[1]Sheet1!E92,[1]Sheet1!E126)</f>
        <v>2446413.7334528388</v>
      </c>
      <c r="F20" s="8">
        <f>SUM([1]Sheet1!F24,[1]Sheet1!F58,[1]Sheet1!F92,[1]Sheet1!F126)</f>
        <v>2406455.4791143369</v>
      </c>
      <c r="G20" s="8">
        <f>SUM([1]Sheet1!G24,[1]Sheet1!G58,[1]Sheet1!G92,[1]Sheet1!G126)</f>
        <v>2379071.4473119848</v>
      </c>
      <c r="H20" s="8">
        <f>SUM([1]Sheet1!H24,[1]Sheet1!H58,[1]Sheet1!H92,[1]Sheet1!H126)</f>
        <v>2348394.9061699323</v>
      </c>
      <c r="I20" s="8">
        <f>SUM([1]Sheet1!I24,[1]Sheet1!I58,[1]Sheet1!I92,[1]Sheet1!I126)</f>
        <v>2330300.465740575</v>
      </c>
      <c r="J20" s="8">
        <f>SUM([1]Sheet1!J24,[1]Sheet1!J58,[1]Sheet1!J92,[1]Sheet1!J126)</f>
        <v>2323119.3441772233</v>
      </c>
      <c r="K20" s="8">
        <f>SUM([1]Sheet1!K24,[1]Sheet1!K58,[1]Sheet1!K92,[1]Sheet1!K126)</f>
        <v>2346840.8277398697</v>
      </c>
      <c r="L20" s="8">
        <f>SUM([1]Sheet1!L24,[1]Sheet1!L58,[1]Sheet1!L92,[1]Sheet1!L126)</f>
        <v>2388619.2998715872</v>
      </c>
      <c r="M20" s="8">
        <f>SUM([1]Sheet1!M24,[1]Sheet1!M58,[1]Sheet1!M92,[1]Sheet1!M126)</f>
        <v>2462278.0471763369</v>
      </c>
      <c r="N20" s="8">
        <f>SUM([1]Sheet1!N24,[1]Sheet1!N58,[1]Sheet1!N92,[1]Sheet1!N126)</f>
        <v>2559071.0308297602</v>
      </c>
      <c r="O20" s="8">
        <f>SUM([1]Sheet1!O24,[1]Sheet1!O58,[1]Sheet1!O92,[1]Sheet1!O126)</f>
        <v>2663090.743699844</v>
      </c>
      <c r="P20" s="8">
        <f>SUM([1]Sheet1!P24,[1]Sheet1!P58,[1]Sheet1!P92,[1]Sheet1!P126)</f>
        <v>2744589.8870925959</v>
      </c>
      <c r="Q20" s="8">
        <f>SUM([1]Sheet1!Q24,[1]Sheet1!Q58,[1]Sheet1!Q92,[1]Sheet1!Q126)</f>
        <v>2806997.0754570393</v>
      </c>
      <c r="R20" s="8">
        <f>SUM([1]Sheet1!R24,[1]Sheet1!R58,[1]Sheet1!R92,[1]Sheet1!R126)</f>
        <v>2849053.7150437837</v>
      </c>
      <c r="S20" s="8">
        <f>SUM([1]Sheet1!S24,[1]Sheet1!S58,[1]Sheet1!S92,[1]Sheet1!S126)</f>
        <v>2875651.2742645727</v>
      </c>
      <c r="T20" s="8"/>
      <c r="U20" s="8"/>
      <c r="V20" s="8"/>
      <c r="W20" s="8"/>
      <c r="X20" s="8"/>
      <c r="Y20" s="8"/>
      <c r="Z20" s="8"/>
      <c r="AA20" s="8"/>
      <c r="AB20" s="8"/>
      <c r="AC20" s="8"/>
      <c r="AD20" s="8"/>
      <c r="AE20" s="8"/>
    </row>
    <row r="21" spans="2:31">
      <c r="B21" s="4" t="s">
        <v>468</v>
      </c>
      <c r="C21" s="4" t="s">
        <v>453</v>
      </c>
      <c r="D21" s="8">
        <f>SUM([1]Sheet1!D25,[1]Sheet1!D59,[1]Sheet1!D93,[1]Sheet1!D127)</f>
        <v>2676264.6808006493</v>
      </c>
      <c r="E21" s="8">
        <f>SUM([1]Sheet1!E25,[1]Sheet1!E59,[1]Sheet1!E93,[1]Sheet1!E127)</f>
        <v>2656987.3523386768</v>
      </c>
      <c r="F21" s="8">
        <f>SUM([1]Sheet1!F25,[1]Sheet1!F59,[1]Sheet1!F93,[1]Sheet1!F127)</f>
        <v>2626854.828035295</v>
      </c>
      <c r="G21" s="8">
        <f>SUM([1]Sheet1!G25,[1]Sheet1!G59,[1]Sheet1!G93,[1]Sheet1!G127)</f>
        <v>2592103.7697304715</v>
      </c>
      <c r="H21" s="8">
        <f>SUM([1]Sheet1!H25,[1]Sheet1!H59,[1]Sheet1!H93,[1]Sheet1!H127)</f>
        <v>2556288.2624215418</v>
      </c>
      <c r="I21" s="8">
        <f>SUM([1]Sheet1!I25,[1]Sheet1!I59,[1]Sheet1!I93,[1]Sheet1!I127)</f>
        <v>2505723.2000020081</v>
      </c>
      <c r="J21" s="8">
        <f>SUM([1]Sheet1!J25,[1]Sheet1!J59,[1]Sheet1!J93,[1]Sheet1!J127)</f>
        <v>2448571.4813848482</v>
      </c>
      <c r="K21" s="8">
        <f>SUM([1]Sheet1!K25,[1]Sheet1!K59,[1]Sheet1!K93,[1]Sheet1!K127)</f>
        <v>2401520.5223718905</v>
      </c>
      <c r="L21" s="8">
        <f>SUM([1]Sheet1!L25,[1]Sheet1!L59,[1]Sheet1!L93,[1]Sheet1!L127)</f>
        <v>2366665.0458610705</v>
      </c>
      <c r="M21" s="8">
        <f>SUM([1]Sheet1!M25,[1]Sheet1!M59,[1]Sheet1!M93,[1]Sheet1!M127)</f>
        <v>2328568.2940117181</v>
      </c>
      <c r="N21" s="8">
        <f>SUM([1]Sheet1!N25,[1]Sheet1!N59,[1]Sheet1!N93,[1]Sheet1!N127)</f>
        <v>2306656.227595903</v>
      </c>
      <c r="O21" s="8">
        <f>SUM([1]Sheet1!O25,[1]Sheet1!O59,[1]Sheet1!O93,[1]Sheet1!O127)</f>
        <v>2298613.7034824532</v>
      </c>
      <c r="P21" s="8">
        <f>SUM([1]Sheet1!P25,[1]Sheet1!P59,[1]Sheet1!P93,[1]Sheet1!P127)</f>
        <v>2321841.3836357901</v>
      </c>
      <c r="Q21" s="8">
        <f>SUM([1]Sheet1!Q25,[1]Sheet1!Q59,[1]Sheet1!Q93,[1]Sheet1!Q127)</f>
        <v>2365788.013964205</v>
      </c>
      <c r="R21" s="8">
        <f>SUM([1]Sheet1!R25,[1]Sheet1!R59,[1]Sheet1!R93,[1]Sheet1!R127)</f>
        <v>2443770.1253022384</v>
      </c>
      <c r="S21" s="8">
        <f>SUM([1]Sheet1!S25,[1]Sheet1!S59,[1]Sheet1!S93,[1]Sheet1!S127)</f>
        <v>2546421.6314461427</v>
      </c>
      <c r="T21" s="8"/>
      <c r="U21" s="8"/>
      <c r="V21" s="8"/>
      <c r="W21" s="8"/>
      <c r="X21" s="8"/>
      <c r="Y21" s="8"/>
      <c r="Z21" s="8"/>
      <c r="AA21" s="8"/>
      <c r="AB21" s="8"/>
      <c r="AC21" s="8"/>
      <c r="AD21" s="8"/>
      <c r="AE21" s="8"/>
    </row>
    <row r="22" spans="2:31">
      <c r="B22" s="4" t="s">
        <v>468</v>
      </c>
      <c r="C22" s="4" t="s">
        <v>454</v>
      </c>
      <c r="D22" s="8">
        <f>SUM([1]Sheet1!D26,[1]Sheet1!D60,[1]Sheet1!D94,[1]Sheet1!D128)</f>
        <v>2556495.9277705974</v>
      </c>
      <c r="E22" s="8">
        <f>SUM([1]Sheet1!E26,[1]Sheet1!E60,[1]Sheet1!E94,[1]Sheet1!E128)</f>
        <v>2616821.0894819917</v>
      </c>
      <c r="F22" s="8">
        <f>SUM([1]Sheet1!F26,[1]Sheet1!F60,[1]Sheet1!F94,[1]Sheet1!F128)</f>
        <v>2666762.8603729312</v>
      </c>
      <c r="G22" s="8">
        <f>SUM([1]Sheet1!G26,[1]Sheet1!G60,[1]Sheet1!G94,[1]Sheet1!G128)</f>
        <v>2699094.2141649271</v>
      </c>
      <c r="H22" s="8">
        <f>SUM([1]Sheet1!H26,[1]Sheet1!H60,[1]Sheet1!H94,[1]Sheet1!H128)</f>
        <v>2706076.1105017937</v>
      </c>
      <c r="I22" s="8">
        <f>SUM([1]Sheet1!I26,[1]Sheet1!I60,[1]Sheet1!I94,[1]Sheet1!I128)</f>
        <v>2694714.3366090916</v>
      </c>
      <c r="J22" s="8">
        <f>SUM([1]Sheet1!J26,[1]Sheet1!J60,[1]Sheet1!J94,[1]Sheet1!J128)</f>
        <v>2666665.0032345154</v>
      </c>
      <c r="K22" s="8">
        <f>SUM([1]Sheet1!K26,[1]Sheet1!K60,[1]Sheet1!K94,[1]Sheet1!K128)</f>
        <v>2629417.7124756873</v>
      </c>
      <c r="L22" s="8">
        <f>SUM([1]Sheet1!L26,[1]Sheet1!L60,[1]Sheet1!L94,[1]Sheet1!L128)</f>
        <v>2586712.5936848954</v>
      </c>
      <c r="M22" s="8">
        <f>SUM([1]Sheet1!M26,[1]Sheet1!M60,[1]Sheet1!M94,[1]Sheet1!M128)</f>
        <v>2542647.2393379794</v>
      </c>
      <c r="N22" s="8">
        <f>SUM([1]Sheet1!N26,[1]Sheet1!N60,[1]Sheet1!N94,[1]Sheet1!N128)</f>
        <v>2488061.8275276124</v>
      </c>
      <c r="O22" s="8">
        <f>SUM([1]Sheet1!O26,[1]Sheet1!O60,[1]Sheet1!O94,[1]Sheet1!O128)</f>
        <v>2430436.0507147312</v>
      </c>
      <c r="P22" s="8">
        <f>SUM([1]Sheet1!P26,[1]Sheet1!P60,[1]Sheet1!P94,[1]Sheet1!P128)</f>
        <v>2383631.0414106352</v>
      </c>
      <c r="Q22" s="8">
        <f>SUM([1]Sheet1!Q26,[1]Sheet1!Q60,[1]Sheet1!Q94,[1]Sheet1!Q128)</f>
        <v>2351936.1978930258</v>
      </c>
      <c r="R22" s="8">
        <f>SUM([1]Sheet1!R26,[1]Sheet1!R60,[1]Sheet1!R94,[1]Sheet1!R128)</f>
        <v>2319575.0437826612</v>
      </c>
      <c r="S22" s="8">
        <f>SUM([1]Sheet1!S26,[1]Sheet1!S60,[1]Sheet1!S94,[1]Sheet1!S128)</f>
        <v>2304284.0221368643</v>
      </c>
      <c r="T22" s="8"/>
      <c r="U22" s="8"/>
      <c r="V22" s="8"/>
      <c r="W22" s="8"/>
      <c r="X22" s="8"/>
      <c r="Y22" s="8"/>
      <c r="Z22" s="8"/>
      <c r="AA22" s="8"/>
      <c r="AB22" s="8"/>
      <c r="AC22" s="8"/>
      <c r="AD22" s="8"/>
      <c r="AE22" s="8"/>
    </row>
    <row r="23" spans="2:31">
      <c r="B23" s="4" t="s">
        <v>468</v>
      </c>
      <c r="C23" s="4" t="s">
        <v>455</v>
      </c>
      <c r="D23" s="8">
        <f>SUM([1]Sheet1!D27,[1]Sheet1!D61,[1]Sheet1!D95,[1]Sheet1!D129)</f>
        <v>2178717.8731500185</v>
      </c>
      <c r="E23" s="8">
        <f>SUM([1]Sheet1!E27,[1]Sheet1!E61,[1]Sheet1!E95,[1]Sheet1!E129)</f>
        <v>2271054.6536445571</v>
      </c>
      <c r="F23" s="8">
        <f>SUM([1]Sheet1!F27,[1]Sheet1!F61,[1]Sheet1!F95,[1]Sheet1!F129)</f>
        <v>2362127.3876364501</v>
      </c>
      <c r="G23" s="8">
        <f>SUM([1]Sheet1!G27,[1]Sheet1!G61,[1]Sheet1!G95,[1]Sheet1!G129)</f>
        <v>2451082.237306668</v>
      </c>
      <c r="H23" s="8">
        <f>SUM([1]Sheet1!H27,[1]Sheet1!H61,[1]Sheet1!H95,[1]Sheet1!H129)</f>
        <v>2524454.3970235302</v>
      </c>
      <c r="I23" s="8">
        <f>SUM([1]Sheet1!I27,[1]Sheet1!I61,[1]Sheet1!I95,[1]Sheet1!I129)</f>
        <v>2585901.7843568362</v>
      </c>
      <c r="J23" s="8">
        <f>SUM([1]Sheet1!J27,[1]Sheet1!J61,[1]Sheet1!J95,[1]Sheet1!J129)</f>
        <v>2641762.7255985751</v>
      </c>
      <c r="K23" s="8">
        <f>SUM([1]Sheet1!K27,[1]Sheet1!K61,[1]Sheet1!K95,[1]Sheet1!K129)</f>
        <v>2688322.6169160963</v>
      </c>
      <c r="L23" s="8">
        <f>SUM([1]Sheet1!L27,[1]Sheet1!L61,[1]Sheet1!L95,[1]Sheet1!L129)</f>
        <v>2715827.6027244139</v>
      </c>
      <c r="M23" s="8">
        <f>SUM([1]Sheet1!M27,[1]Sheet1!M61,[1]Sheet1!M95,[1]Sheet1!M129)</f>
        <v>2717467.6265149461</v>
      </c>
      <c r="N23" s="8">
        <f>SUM([1]Sheet1!N27,[1]Sheet1!N61,[1]Sheet1!N95,[1]Sheet1!N129)</f>
        <v>2704653.5001201699</v>
      </c>
      <c r="O23" s="8">
        <f>SUM([1]Sheet1!O27,[1]Sheet1!O61,[1]Sheet1!O95,[1]Sheet1!O129)</f>
        <v>2678694.0630741562</v>
      </c>
      <c r="P23" s="8">
        <f>SUM([1]Sheet1!P27,[1]Sheet1!P61,[1]Sheet1!P95,[1]Sheet1!P129)</f>
        <v>2644262.5526147932</v>
      </c>
      <c r="Q23" s="8">
        <f>SUM([1]Sheet1!Q27,[1]Sheet1!Q61,[1]Sheet1!Q95,[1]Sheet1!Q129)</f>
        <v>2607467.754745347</v>
      </c>
      <c r="R23" s="8">
        <f>SUM([1]Sheet1!R27,[1]Sheet1!R61,[1]Sheet1!R95,[1]Sheet1!R129)</f>
        <v>2571845.9367150427</v>
      </c>
      <c r="S23" s="8">
        <f>SUM([1]Sheet1!S27,[1]Sheet1!S61,[1]Sheet1!S95,[1]Sheet1!S129)</f>
        <v>2526937.2369979741</v>
      </c>
      <c r="T23" s="8"/>
      <c r="U23" s="8"/>
      <c r="V23" s="8"/>
      <c r="W23" s="8"/>
      <c r="X23" s="8"/>
      <c r="Y23" s="8"/>
      <c r="Z23" s="8"/>
      <c r="AA23" s="8"/>
      <c r="AB23" s="8"/>
      <c r="AC23" s="8"/>
      <c r="AD23" s="8"/>
      <c r="AE23" s="8"/>
    </row>
    <row r="24" spans="2:31">
      <c r="B24" s="4" t="s">
        <v>468</v>
      </c>
      <c r="C24" s="4" t="s">
        <v>456</v>
      </c>
      <c r="D24" s="8">
        <f>SUM([1]Sheet1!D28,[1]Sheet1!D62,[1]Sheet1!D96,[1]Sheet1!D130)</f>
        <v>1918966.6231761393</v>
      </c>
      <c r="E24" s="8">
        <f>SUM([1]Sheet1!E28,[1]Sheet1!E62,[1]Sheet1!E96,[1]Sheet1!E130)</f>
        <v>1936845.2591374554</v>
      </c>
      <c r="F24" s="8">
        <f>SUM([1]Sheet1!F28,[1]Sheet1!F62,[1]Sheet1!F96,[1]Sheet1!F130)</f>
        <v>1962772.8536281188</v>
      </c>
      <c r="G24" s="8">
        <f>SUM([1]Sheet1!G28,[1]Sheet1!G62,[1]Sheet1!G96,[1]Sheet1!G130)</f>
        <v>2005892.0603399104</v>
      </c>
      <c r="H24" s="8">
        <f>SUM([1]Sheet1!H28,[1]Sheet1!H62,[1]Sheet1!H96,[1]Sheet1!H130)</f>
        <v>2083509.2746003985</v>
      </c>
      <c r="I24" s="8">
        <f>SUM([1]Sheet1!I28,[1]Sheet1!I62,[1]Sheet1!I96,[1]Sheet1!I130)</f>
        <v>2176092.6744755041</v>
      </c>
      <c r="J24" s="8">
        <f>SUM([1]Sheet1!J28,[1]Sheet1!J62,[1]Sheet1!J96,[1]Sheet1!J130)</f>
        <v>2273059.0280612623</v>
      </c>
      <c r="K24" s="8">
        <f>SUM([1]Sheet1!K28,[1]Sheet1!K62,[1]Sheet1!K96,[1]Sheet1!K130)</f>
        <v>2368024.7514624433</v>
      </c>
      <c r="L24" s="8">
        <f>SUM([1]Sheet1!L28,[1]Sheet1!L62,[1]Sheet1!L96,[1]Sheet1!L130)</f>
        <v>2459304.5114334365</v>
      </c>
      <c r="M24" s="8">
        <f>SUM([1]Sheet1!M28,[1]Sheet1!M62,[1]Sheet1!M96,[1]Sheet1!M130)</f>
        <v>2534666.1892032642</v>
      </c>
      <c r="N24" s="8">
        <f>SUM([1]Sheet1!N28,[1]Sheet1!N62,[1]Sheet1!N96,[1]Sheet1!N130)</f>
        <v>2600507.0284008244</v>
      </c>
      <c r="O24" s="8">
        <f>SUM([1]Sheet1!O28,[1]Sheet1!O62,[1]Sheet1!O96,[1]Sheet1!O130)</f>
        <v>2662779.0364503008</v>
      </c>
      <c r="P24" s="8">
        <f>SUM([1]Sheet1!P28,[1]Sheet1!P62,[1]Sheet1!P96,[1]Sheet1!P130)</f>
        <v>2715430.3365264274</v>
      </c>
      <c r="Q24" s="8">
        <f>SUM([1]Sheet1!Q28,[1]Sheet1!Q62,[1]Sheet1!Q96,[1]Sheet1!Q130)</f>
        <v>2751872.7891952903</v>
      </c>
      <c r="R24" s="8">
        <f>SUM([1]Sheet1!R28,[1]Sheet1!R62,[1]Sheet1!R96,[1]Sheet1!R130)</f>
        <v>2765955.0211466602</v>
      </c>
      <c r="S24" s="8">
        <f>SUM([1]Sheet1!S28,[1]Sheet1!S62,[1]Sheet1!S96,[1]Sheet1!S130)</f>
        <v>2767011.8655370576</v>
      </c>
      <c r="T24" s="8"/>
      <c r="U24" s="8"/>
      <c r="V24" s="8"/>
      <c r="W24" s="8"/>
      <c r="X24" s="8"/>
      <c r="Y24" s="8"/>
      <c r="Z24" s="8"/>
      <c r="AA24" s="8"/>
      <c r="AB24" s="8"/>
      <c r="AC24" s="8"/>
      <c r="AD24" s="8"/>
      <c r="AE24" s="8"/>
    </row>
    <row r="25" spans="2:31">
      <c r="B25" s="4" t="s">
        <v>468</v>
      </c>
      <c r="C25" s="4" t="s">
        <v>457</v>
      </c>
      <c r="D25" s="8">
        <f>SUM([1]Sheet1!D29,[1]Sheet1!D63,[1]Sheet1!D97,[1]Sheet1!D131)</f>
        <v>1779414.1308026365</v>
      </c>
      <c r="E25" s="8">
        <f>SUM([1]Sheet1!E29,[1]Sheet1!E63,[1]Sheet1!E97,[1]Sheet1!E131)</f>
        <v>1787017.7849738379</v>
      </c>
      <c r="F25" s="8">
        <f>SUM([1]Sheet1!F29,[1]Sheet1!F63,[1]Sheet1!F97,[1]Sheet1!F131)</f>
        <v>1797127.0742289505</v>
      </c>
      <c r="G25" s="8">
        <f>SUM([1]Sheet1!G29,[1]Sheet1!G63,[1]Sheet1!G97,[1]Sheet1!G131)</f>
        <v>1806383.8900453988</v>
      </c>
      <c r="H25" s="8">
        <f>SUM([1]Sheet1!H29,[1]Sheet1!H63,[1]Sheet1!H97,[1]Sheet1!H131)</f>
        <v>1817188.2010282455</v>
      </c>
      <c r="I25" s="8">
        <f>SUM([1]Sheet1!I29,[1]Sheet1!I63,[1]Sheet1!I97,[1]Sheet1!I131)</f>
        <v>1832439.1643527753</v>
      </c>
      <c r="J25" s="8">
        <f>SUM([1]Sheet1!J29,[1]Sheet1!J63,[1]Sheet1!J97,[1]Sheet1!J131)</f>
        <v>1856654.7403300449</v>
      </c>
      <c r="K25" s="8">
        <f>SUM([1]Sheet1!K29,[1]Sheet1!K63,[1]Sheet1!K97,[1]Sheet1!K131)</f>
        <v>1892144.2161354907</v>
      </c>
      <c r="L25" s="8">
        <f>SUM([1]Sheet1!L29,[1]Sheet1!L63,[1]Sheet1!L97,[1]Sheet1!L131)</f>
        <v>1946646.0880797545</v>
      </c>
      <c r="M25" s="8">
        <f>SUM([1]Sheet1!M29,[1]Sheet1!M63,[1]Sheet1!M97,[1]Sheet1!M131)</f>
        <v>2035731.8268357639</v>
      </c>
      <c r="N25" s="8">
        <f>SUM([1]Sheet1!N29,[1]Sheet1!N63,[1]Sheet1!N97,[1]Sheet1!N131)</f>
        <v>2138965.9563517049</v>
      </c>
      <c r="O25" s="8">
        <f>SUM([1]Sheet1!O29,[1]Sheet1!O63,[1]Sheet1!O97,[1]Sheet1!O131)</f>
        <v>2246129.3752120649</v>
      </c>
      <c r="P25" s="8">
        <f>SUM([1]Sheet1!P29,[1]Sheet1!P63,[1]Sheet1!P97,[1]Sheet1!P131)</f>
        <v>2351029.1590842283</v>
      </c>
      <c r="Q25" s="8">
        <f>SUM([1]Sheet1!Q29,[1]Sheet1!Q63,[1]Sheet1!Q97,[1]Sheet1!Q131)</f>
        <v>2452317.6107869637</v>
      </c>
      <c r="R25" s="8">
        <f>SUM([1]Sheet1!R29,[1]Sheet1!R63,[1]Sheet1!R97,[1]Sheet1!R131)</f>
        <v>2539363.2227157126</v>
      </c>
      <c r="S25" s="8">
        <f>SUM([1]Sheet1!S29,[1]Sheet1!S63,[1]Sheet1!S97,[1]Sheet1!S131)</f>
        <v>2618476.1925114365</v>
      </c>
      <c r="T25" s="8"/>
      <c r="U25" s="8"/>
      <c r="V25" s="8"/>
      <c r="W25" s="8"/>
      <c r="X25" s="8"/>
      <c r="Y25" s="8"/>
      <c r="Z25" s="8"/>
      <c r="AA25" s="8"/>
      <c r="AB25" s="8"/>
      <c r="AC25" s="8"/>
      <c r="AD25" s="8"/>
      <c r="AE25" s="8"/>
    </row>
    <row r="26" spans="2:31">
      <c r="B26" s="4" t="s">
        <v>468</v>
      </c>
      <c r="C26" s="4" t="s">
        <v>458</v>
      </c>
      <c r="D26" s="8">
        <f>SUM([1]Sheet1!D30,[1]Sheet1!D64,[1]Sheet1!D98,[1]Sheet1!D132)</f>
        <v>1642096.0319126931</v>
      </c>
      <c r="E26" s="8">
        <f>SUM([1]Sheet1!E30,[1]Sheet1!E64,[1]Sheet1!E98,[1]Sheet1!E132)</f>
        <v>1648393.6499930636</v>
      </c>
      <c r="F26" s="8">
        <f>SUM([1]Sheet1!F30,[1]Sheet1!F64,[1]Sheet1!F98,[1]Sheet1!F132)</f>
        <v>1647080.5279278457</v>
      </c>
      <c r="G26" s="8">
        <f>SUM([1]Sheet1!G30,[1]Sheet1!G64,[1]Sheet1!G98,[1]Sheet1!G132)</f>
        <v>1641368.6063667263</v>
      </c>
      <c r="H26" s="8">
        <f>SUM([1]Sheet1!H30,[1]Sheet1!H64,[1]Sheet1!H98,[1]Sheet1!H132)</f>
        <v>1631613.6750165252</v>
      </c>
      <c r="I26" s="8">
        <f>SUM([1]Sheet1!I30,[1]Sheet1!I64,[1]Sheet1!I98,[1]Sheet1!I132)</f>
        <v>1628201.3243612831</v>
      </c>
      <c r="J26" s="8">
        <f>SUM([1]Sheet1!J30,[1]Sheet1!J64,[1]Sheet1!J98,[1]Sheet1!J132)</f>
        <v>1635076.4155470517</v>
      </c>
      <c r="K26" s="8">
        <f>SUM([1]Sheet1!K30,[1]Sheet1!K64,[1]Sheet1!K98,[1]Sheet1!K132)</f>
        <v>1650240.4194820663</v>
      </c>
      <c r="L26" s="8">
        <f>SUM([1]Sheet1!L30,[1]Sheet1!L64,[1]Sheet1!L98,[1]Sheet1!L132)</f>
        <v>1672263.0024591764</v>
      </c>
      <c r="M26" s="8">
        <f>SUM([1]Sheet1!M30,[1]Sheet1!M64,[1]Sheet1!M98,[1]Sheet1!M132)</f>
        <v>1701559.395333298</v>
      </c>
      <c r="N26" s="8">
        <f>SUM([1]Sheet1!N30,[1]Sheet1!N64,[1]Sheet1!N98,[1]Sheet1!N132)</f>
        <v>1734822.4567588056</v>
      </c>
      <c r="O26" s="8">
        <f>SUM([1]Sheet1!O30,[1]Sheet1!O64,[1]Sheet1!O98,[1]Sheet1!O132)</f>
        <v>1774881.7709789607</v>
      </c>
      <c r="P26" s="8">
        <f>SUM([1]Sheet1!P30,[1]Sheet1!P64,[1]Sheet1!P98,[1]Sheet1!P132)</f>
        <v>1824490.1330635822</v>
      </c>
      <c r="Q26" s="8">
        <f>SUM([1]Sheet1!Q30,[1]Sheet1!Q64,[1]Sheet1!Q98,[1]Sheet1!Q132)</f>
        <v>1889949.5009571237</v>
      </c>
      <c r="R26" s="8">
        <f>SUM([1]Sheet1!R30,[1]Sheet1!R64,[1]Sheet1!R98,[1]Sheet1!R132)</f>
        <v>1988075.9628010623</v>
      </c>
      <c r="S26" s="8">
        <f>SUM([1]Sheet1!S30,[1]Sheet1!S64,[1]Sheet1!S98,[1]Sheet1!S132)</f>
        <v>2100757.0553932535</v>
      </c>
      <c r="T26" s="8"/>
      <c r="U26" s="8"/>
      <c r="V26" s="8"/>
      <c r="W26" s="8"/>
      <c r="X26" s="8"/>
      <c r="Y26" s="8"/>
      <c r="Z26" s="8"/>
      <c r="AA26" s="8"/>
      <c r="AB26" s="8"/>
      <c r="AC26" s="8"/>
      <c r="AD26" s="8"/>
      <c r="AE26" s="8"/>
    </row>
    <row r="27" spans="2:31">
      <c r="B27" s="4" t="s">
        <v>468</v>
      </c>
      <c r="C27" s="4" t="s">
        <v>459</v>
      </c>
      <c r="D27" s="8">
        <f>SUM([1]Sheet1!D31,[1]Sheet1!D65,[1]Sheet1!D99,[1]Sheet1!D133)</f>
        <v>1402027.6533103944</v>
      </c>
      <c r="E27" s="8">
        <f>SUM([1]Sheet1!E31,[1]Sheet1!E65,[1]Sheet1!E99,[1]Sheet1!E133)</f>
        <v>1426047.7995350808</v>
      </c>
      <c r="F27" s="8">
        <f>SUM([1]Sheet1!F31,[1]Sheet1!F65,[1]Sheet1!F99,[1]Sheet1!F133)</f>
        <v>1446181.6642364541</v>
      </c>
      <c r="G27" s="8">
        <f>SUM([1]Sheet1!G31,[1]Sheet1!G65,[1]Sheet1!G99,[1]Sheet1!G133)</f>
        <v>1462550.4670548316</v>
      </c>
      <c r="H27" s="8">
        <f>SUM([1]Sheet1!H31,[1]Sheet1!H65,[1]Sheet1!H99,[1]Sheet1!H133)</f>
        <v>1475326.5846899678</v>
      </c>
      <c r="I27" s="8">
        <f>SUM([1]Sheet1!I31,[1]Sheet1!I65,[1]Sheet1!I99,[1]Sheet1!I133)</f>
        <v>1480037.3834871426</v>
      </c>
      <c r="J27" s="8">
        <f>SUM([1]Sheet1!J31,[1]Sheet1!J65,[1]Sheet1!J99,[1]Sheet1!J133)</f>
        <v>1482362.1489303811</v>
      </c>
      <c r="K27" s="8">
        <f>SUM([1]Sheet1!K31,[1]Sheet1!K65,[1]Sheet1!K99,[1]Sheet1!K133)</f>
        <v>1482190.3740225662</v>
      </c>
      <c r="L27" s="8">
        <f>SUM([1]Sheet1!L31,[1]Sheet1!L65,[1]Sheet1!L99,[1]Sheet1!L133)</f>
        <v>1485350.6397509773</v>
      </c>
      <c r="M27" s="8">
        <f>SUM([1]Sheet1!M31,[1]Sheet1!M65,[1]Sheet1!M99,[1]Sheet1!M133)</f>
        <v>1491688.9758731932</v>
      </c>
      <c r="N27" s="8">
        <f>SUM([1]Sheet1!N31,[1]Sheet1!N65,[1]Sheet1!N99,[1]Sheet1!N133)</f>
        <v>1504514.6858033591</v>
      </c>
      <c r="O27" s="8">
        <f>SUM([1]Sheet1!O31,[1]Sheet1!O65,[1]Sheet1!O99,[1]Sheet1!O133)</f>
        <v>1526365.4917804026</v>
      </c>
      <c r="P27" s="8">
        <f>SUM([1]Sheet1!P31,[1]Sheet1!P65,[1]Sheet1!P99,[1]Sheet1!P133)</f>
        <v>1555757.569276219</v>
      </c>
      <c r="Q27" s="8">
        <f>SUM([1]Sheet1!Q31,[1]Sheet1!Q65,[1]Sheet1!Q99,[1]Sheet1!Q133)</f>
        <v>1588360.6352088826</v>
      </c>
      <c r="R27" s="8">
        <f>SUM([1]Sheet1!R31,[1]Sheet1!R65,[1]Sheet1!R99,[1]Sheet1!R133)</f>
        <v>1625854.9578729572</v>
      </c>
      <c r="S27" s="8">
        <f>SUM([1]Sheet1!S31,[1]Sheet1!S65,[1]Sheet1!S99,[1]Sheet1!S133)</f>
        <v>1667342.4943241491</v>
      </c>
      <c r="T27" s="8"/>
      <c r="U27" s="8"/>
      <c r="V27" s="8"/>
      <c r="W27" s="8"/>
      <c r="X27" s="8"/>
      <c r="Y27" s="8"/>
      <c r="Z27" s="8"/>
      <c r="AA27" s="8"/>
      <c r="AB27" s="8"/>
      <c r="AC27" s="8"/>
      <c r="AD27" s="8"/>
      <c r="AE27" s="8"/>
    </row>
    <row r="28" spans="2:31">
      <c r="B28" s="4" t="s">
        <v>468</v>
      </c>
      <c r="C28" s="4" t="s">
        <v>460</v>
      </c>
      <c r="D28" s="8">
        <f>SUM([1]Sheet1!D32,[1]Sheet1!D66,[1]Sheet1!D100,[1]Sheet1!D134)</f>
        <v>1185286.6686835042</v>
      </c>
      <c r="E28" s="8">
        <f>SUM([1]Sheet1!E32,[1]Sheet1!E66,[1]Sheet1!E100,[1]Sheet1!E134)</f>
        <v>1212180.0515144523</v>
      </c>
      <c r="F28" s="8">
        <f>SUM([1]Sheet1!F32,[1]Sheet1!F66,[1]Sheet1!F100,[1]Sheet1!F134)</f>
        <v>1229803.7698387392</v>
      </c>
      <c r="G28" s="8">
        <f>SUM([1]Sheet1!G32,[1]Sheet1!G66,[1]Sheet1!G100,[1]Sheet1!G134)</f>
        <v>1244678.3021730746</v>
      </c>
      <c r="H28" s="8">
        <f>SUM([1]Sheet1!H32,[1]Sheet1!H66,[1]Sheet1!H100,[1]Sheet1!H134)</f>
        <v>1257151.5344251695</v>
      </c>
      <c r="I28" s="8">
        <f>SUM([1]Sheet1!I32,[1]Sheet1!I66,[1]Sheet1!I100,[1]Sheet1!I134)</f>
        <v>1276536.1545844849</v>
      </c>
      <c r="J28" s="8">
        <f>SUM([1]Sheet1!J32,[1]Sheet1!J66,[1]Sheet1!J100,[1]Sheet1!J134)</f>
        <v>1295031.4997696059</v>
      </c>
      <c r="K28" s="8">
        <f>SUM([1]Sheet1!K32,[1]Sheet1!K66,[1]Sheet1!K100,[1]Sheet1!K134)</f>
        <v>1313293.3848658907</v>
      </c>
      <c r="L28" s="8">
        <f>SUM([1]Sheet1!L32,[1]Sheet1!L66,[1]Sheet1!L100,[1]Sheet1!L134)</f>
        <v>1332685.5720439134</v>
      </c>
      <c r="M28" s="8">
        <f>SUM([1]Sheet1!M32,[1]Sheet1!M66,[1]Sheet1!M100,[1]Sheet1!M134)</f>
        <v>1353404.6592401951</v>
      </c>
      <c r="N28" s="8">
        <f>SUM([1]Sheet1!N32,[1]Sheet1!N66,[1]Sheet1!N100,[1]Sheet1!N134)</f>
        <v>1367540.3781677291</v>
      </c>
      <c r="O28" s="8">
        <f>SUM([1]Sheet1!O32,[1]Sheet1!O66,[1]Sheet1!O100,[1]Sheet1!O134)</f>
        <v>1379252.9572288836</v>
      </c>
      <c r="P28" s="8">
        <f>SUM([1]Sheet1!P32,[1]Sheet1!P66,[1]Sheet1!P100,[1]Sheet1!P134)</f>
        <v>1389633.6552545663</v>
      </c>
      <c r="Q28" s="8">
        <f>SUM([1]Sheet1!Q32,[1]Sheet1!Q66,[1]Sheet1!Q100,[1]Sheet1!Q134)</f>
        <v>1400866.5597875512</v>
      </c>
      <c r="R28" s="8">
        <f>SUM([1]Sheet1!R32,[1]Sheet1!R66,[1]Sheet1!R100,[1]Sheet1!R134)</f>
        <v>1413409.8626961482</v>
      </c>
      <c r="S28" s="8">
        <f>SUM([1]Sheet1!S32,[1]Sheet1!S66,[1]Sheet1!S100,[1]Sheet1!S134)</f>
        <v>1431997.4800720459</v>
      </c>
      <c r="T28" s="8"/>
      <c r="U28" s="8"/>
      <c r="V28" s="8"/>
      <c r="W28" s="8"/>
      <c r="X28" s="8"/>
      <c r="Y28" s="8"/>
      <c r="Z28" s="8"/>
      <c r="AA28" s="8"/>
      <c r="AB28" s="8"/>
      <c r="AC28" s="8"/>
      <c r="AD28" s="8"/>
      <c r="AE28" s="8"/>
    </row>
    <row r="29" spans="2:31">
      <c r="B29" s="4" t="s">
        <v>468</v>
      </c>
      <c r="C29" s="4" t="s">
        <v>461</v>
      </c>
      <c r="D29" s="8">
        <f>SUM([1]Sheet1!D33,[1]Sheet1!D67,[1]Sheet1!D101,[1]Sheet1!D135)</f>
        <v>949477.85179764708</v>
      </c>
      <c r="E29" s="8">
        <f>SUM([1]Sheet1!E33,[1]Sheet1!E67,[1]Sheet1!E101,[1]Sheet1!E135)</f>
        <v>976492.80186084006</v>
      </c>
      <c r="F29" s="8">
        <f>SUM([1]Sheet1!F33,[1]Sheet1!F67,[1]Sheet1!F101,[1]Sheet1!F135)</f>
        <v>1005786.1024701957</v>
      </c>
      <c r="G29" s="8">
        <f>SUM([1]Sheet1!G33,[1]Sheet1!G67,[1]Sheet1!G101,[1]Sheet1!G135)</f>
        <v>1031518.1793366233</v>
      </c>
      <c r="H29" s="8">
        <f>SUM([1]Sheet1!H33,[1]Sheet1!H67,[1]Sheet1!H101,[1]Sheet1!H135)</f>
        <v>1053524.1967533669</v>
      </c>
      <c r="I29" s="8">
        <f>SUM([1]Sheet1!I33,[1]Sheet1!I67,[1]Sheet1!I101,[1]Sheet1!I135)</f>
        <v>1073534.8238687986</v>
      </c>
      <c r="J29" s="8">
        <f>SUM([1]Sheet1!J33,[1]Sheet1!J67,[1]Sheet1!J101,[1]Sheet1!J135)</f>
        <v>1096342.3754344778</v>
      </c>
      <c r="K29" s="8">
        <f>SUM([1]Sheet1!K33,[1]Sheet1!K67,[1]Sheet1!K101,[1]Sheet1!K135)</f>
        <v>1113999.7931359564</v>
      </c>
      <c r="L29" s="8">
        <f>SUM([1]Sheet1!L33,[1]Sheet1!L67,[1]Sheet1!L101,[1]Sheet1!L135)</f>
        <v>1132558.8040899944</v>
      </c>
      <c r="M29" s="8">
        <f>SUM([1]Sheet1!M33,[1]Sheet1!M67,[1]Sheet1!M101,[1]Sheet1!M135)</f>
        <v>1151946.2506453583</v>
      </c>
      <c r="N29" s="8">
        <f>SUM([1]Sheet1!N33,[1]Sheet1!N67,[1]Sheet1!N101,[1]Sheet1!N135)</f>
        <v>1177523.7123978955</v>
      </c>
      <c r="O29" s="8">
        <f>SUM([1]Sheet1!O33,[1]Sheet1!O67,[1]Sheet1!O101,[1]Sheet1!O135)</f>
        <v>1201280.2350876799</v>
      </c>
      <c r="P29" s="8">
        <f>SUM([1]Sheet1!P33,[1]Sheet1!P67,[1]Sheet1!P101,[1]Sheet1!P135)</f>
        <v>1225141.2891459153</v>
      </c>
      <c r="Q29" s="8">
        <f>SUM([1]Sheet1!Q33,[1]Sheet1!Q67,[1]Sheet1!Q101,[1]Sheet1!Q135)</f>
        <v>1249018.712737343</v>
      </c>
      <c r="R29" s="8">
        <f>SUM([1]Sheet1!R33,[1]Sheet1!R67,[1]Sheet1!R101,[1]Sheet1!R135)</f>
        <v>1273231.8512455069</v>
      </c>
      <c r="S29" s="8">
        <f>SUM([1]Sheet1!S33,[1]Sheet1!S67,[1]Sheet1!S101,[1]Sheet1!S135)</f>
        <v>1291517.6332961721</v>
      </c>
      <c r="T29" s="8"/>
      <c r="U29" s="8"/>
      <c r="V29" s="8"/>
      <c r="W29" s="8"/>
      <c r="X29" s="8"/>
      <c r="Y29" s="8"/>
      <c r="Z29" s="8"/>
      <c r="AA29" s="8"/>
      <c r="AB29" s="8"/>
      <c r="AC29" s="8"/>
      <c r="AD29" s="8"/>
      <c r="AE29" s="8"/>
    </row>
    <row r="30" spans="2:31">
      <c r="B30" s="4" t="s">
        <v>468</v>
      </c>
      <c r="C30" s="4" t="s">
        <v>462</v>
      </c>
      <c r="D30" s="8">
        <f>SUM([1]Sheet1!D34,[1]Sheet1!D68,[1]Sheet1!D102,[1]Sheet1!D136)</f>
        <v>722286.31152572401</v>
      </c>
      <c r="E30" s="8">
        <f>SUM([1]Sheet1!E34,[1]Sheet1!E68,[1]Sheet1!E102,[1]Sheet1!E136)</f>
        <v>751445.26964750851</v>
      </c>
      <c r="F30" s="8">
        <f>SUM([1]Sheet1!F34,[1]Sheet1!F68,[1]Sheet1!F102,[1]Sheet1!F136)</f>
        <v>780700.01735918457</v>
      </c>
      <c r="G30" s="8">
        <f>SUM([1]Sheet1!G34,[1]Sheet1!G68,[1]Sheet1!G102,[1]Sheet1!G136)</f>
        <v>808676.66620096704</v>
      </c>
      <c r="H30" s="8">
        <f>SUM([1]Sheet1!H34,[1]Sheet1!H68,[1]Sheet1!H102,[1]Sheet1!H136)</f>
        <v>835139.93541952025</v>
      </c>
      <c r="I30" s="8">
        <f>SUM([1]Sheet1!I34,[1]Sheet1!I68,[1]Sheet1!I102,[1]Sheet1!I136)</f>
        <v>860929.8657717224</v>
      </c>
      <c r="J30" s="8">
        <f>SUM([1]Sheet1!J34,[1]Sheet1!J68,[1]Sheet1!J102,[1]Sheet1!J136)</f>
        <v>884138.63359455473</v>
      </c>
      <c r="K30" s="8">
        <f>SUM([1]Sheet1!K34,[1]Sheet1!K68,[1]Sheet1!K102,[1]Sheet1!K136)</f>
        <v>911154.6441733609</v>
      </c>
      <c r="L30" s="8">
        <f>SUM([1]Sheet1!L34,[1]Sheet1!L68,[1]Sheet1!L102,[1]Sheet1!L136)</f>
        <v>937038.00349771907</v>
      </c>
      <c r="M30" s="8">
        <f>SUM([1]Sheet1!M34,[1]Sheet1!M68,[1]Sheet1!M102,[1]Sheet1!M136)</f>
        <v>961567.6688079806</v>
      </c>
      <c r="N30" s="8">
        <f>SUM([1]Sheet1!N34,[1]Sheet1!N68,[1]Sheet1!N102,[1]Sheet1!N136)</f>
        <v>984498.89171542064</v>
      </c>
      <c r="O30" s="8">
        <f>SUM([1]Sheet1!O34,[1]Sheet1!O68,[1]Sheet1!O102,[1]Sheet1!O136)</f>
        <v>1009743.010148451</v>
      </c>
      <c r="P30" s="8">
        <f>SUM([1]Sheet1!P34,[1]Sheet1!P68,[1]Sheet1!P102,[1]Sheet1!P136)</f>
        <v>1030315.2787757871</v>
      </c>
      <c r="Q30" s="8">
        <f>SUM([1]Sheet1!Q34,[1]Sheet1!Q68,[1]Sheet1!Q102,[1]Sheet1!Q136)</f>
        <v>1051283.4096340458</v>
      </c>
      <c r="R30" s="8">
        <f>SUM([1]Sheet1!R34,[1]Sheet1!R68,[1]Sheet1!R102,[1]Sheet1!R136)</f>
        <v>1072703.858067486</v>
      </c>
      <c r="S30" s="8">
        <f>SUM([1]Sheet1!S34,[1]Sheet1!S68,[1]Sheet1!S102,[1]Sheet1!S136)</f>
        <v>1100143.2667125042</v>
      </c>
      <c r="T30" s="8"/>
      <c r="U30" s="8"/>
      <c r="V30" s="8"/>
      <c r="W30" s="8"/>
      <c r="X30" s="8"/>
      <c r="Y30" s="8"/>
      <c r="Z30" s="8"/>
      <c r="AA30" s="8"/>
      <c r="AB30" s="8"/>
      <c r="AC30" s="8"/>
      <c r="AD30" s="8"/>
      <c r="AE30" s="8"/>
    </row>
    <row r="31" spans="2:31">
      <c r="B31" s="4" t="s">
        <v>468</v>
      </c>
      <c r="C31" s="4" t="s">
        <v>463</v>
      </c>
      <c r="D31" s="8">
        <f>SUM([1]Sheet1!D35,[1]Sheet1!D69,[1]Sheet1!D103,[1]Sheet1!D137)</f>
        <v>579859.29014261323</v>
      </c>
      <c r="E31" s="8">
        <f>SUM([1]Sheet1!E35,[1]Sheet1!E69,[1]Sheet1!E103,[1]Sheet1!E137)</f>
        <v>586477.31331067183</v>
      </c>
      <c r="F31" s="8">
        <f>SUM([1]Sheet1!F35,[1]Sheet1!F69,[1]Sheet1!F103,[1]Sheet1!F137)</f>
        <v>595533.83680261485</v>
      </c>
      <c r="G31" s="8">
        <f>SUM([1]Sheet1!G35,[1]Sheet1!G69,[1]Sheet1!G103,[1]Sheet1!G137)</f>
        <v>608700.04422071343</v>
      </c>
      <c r="H31" s="8">
        <f>SUM([1]Sheet1!H35,[1]Sheet1!H69,[1]Sheet1!H103,[1]Sheet1!H137)</f>
        <v>626289.22538925754</v>
      </c>
      <c r="I31" s="8">
        <f>SUM([1]Sheet1!I35,[1]Sheet1!I69,[1]Sheet1!I103,[1]Sheet1!I137)</f>
        <v>647565.07854951243</v>
      </c>
      <c r="J31" s="8">
        <f>SUM([1]Sheet1!J35,[1]Sheet1!J69,[1]Sheet1!J103,[1]Sheet1!J137)</f>
        <v>672946.84471890365</v>
      </c>
      <c r="K31" s="8">
        <f>SUM([1]Sheet1!K35,[1]Sheet1!K69,[1]Sheet1!K103,[1]Sheet1!K137)</f>
        <v>699478.09910990647</v>
      </c>
      <c r="L31" s="8">
        <f>SUM([1]Sheet1!L35,[1]Sheet1!L69,[1]Sheet1!L103,[1]Sheet1!L137)</f>
        <v>725921.38743100991</v>
      </c>
      <c r="M31" s="8">
        <f>SUM([1]Sheet1!M35,[1]Sheet1!M69,[1]Sheet1!M103,[1]Sheet1!M137)</f>
        <v>752044.31814723578</v>
      </c>
      <c r="N31" s="8">
        <f>SUM([1]Sheet1!N35,[1]Sheet1!N69,[1]Sheet1!N103,[1]Sheet1!N137)</f>
        <v>777887.54297075444</v>
      </c>
      <c r="O31" s="8">
        <f>SUM([1]Sheet1!O35,[1]Sheet1!O69,[1]Sheet1!O103,[1]Sheet1!O137)</f>
        <v>801253.22127470886</v>
      </c>
      <c r="P31" s="8">
        <f>SUM([1]Sheet1!P35,[1]Sheet1!P69,[1]Sheet1!P103,[1]Sheet1!P137)</f>
        <v>828062.99635831313</v>
      </c>
      <c r="Q31" s="8">
        <f>SUM([1]Sheet1!Q35,[1]Sheet1!Q69,[1]Sheet1!Q103,[1]Sheet1!Q137)</f>
        <v>853879.26115851279</v>
      </c>
      <c r="R31" s="8">
        <f>SUM([1]Sheet1!R35,[1]Sheet1!R69,[1]Sheet1!R103,[1]Sheet1!R137)</f>
        <v>878542.47269662272</v>
      </c>
      <c r="S31" s="8">
        <f>SUM([1]Sheet1!S35,[1]Sheet1!S69,[1]Sheet1!S103,[1]Sheet1!S137)</f>
        <v>902078.93905384885</v>
      </c>
      <c r="T31" s="8"/>
      <c r="U31" s="8"/>
      <c r="V31" s="8"/>
      <c r="W31" s="8"/>
      <c r="X31" s="8"/>
      <c r="Y31" s="8"/>
      <c r="Z31" s="8"/>
      <c r="AA31" s="8"/>
      <c r="AB31" s="8"/>
      <c r="AC31" s="8"/>
      <c r="AD31" s="8"/>
      <c r="AE31" s="8"/>
    </row>
    <row r="32" spans="2:31">
      <c r="B32" s="4" t="s">
        <v>468</v>
      </c>
      <c r="C32" s="4" t="s">
        <v>464</v>
      </c>
      <c r="D32" s="8">
        <f>SUM([1]Sheet1!D36,[1]Sheet1!D70,[1]Sheet1!D104,[1]Sheet1!D138)</f>
        <v>474393.72675805382</v>
      </c>
      <c r="E32" s="8">
        <f>SUM([1]Sheet1!E36,[1]Sheet1!E70,[1]Sheet1!E104,[1]Sheet1!E138)</f>
        <v>481697.57829761948</v>
      </c>
      <c r="F32" s="8">
        <f>SUM([1]Sheet1!F36,[1]Sheet1!F70,[1]Sheet1!F104,[1]Sheet1!F138)</f>
        <v>489029.48482408392</v>
      </c>
      <c r="G32" s="8">
        <f>SUM([1]Sheet1!G36,[1]Sheet1!G70,[1]Sheet1!G104,[1]Sheet1!G138)</f>
        <v>495387.36403490871</v>
      </c>
      <c r="H32" s="8">
        <f>SUM([1]Sheet1!H36,[1]Sheet1!H70,[1]Sheet1!H104,[1]Sheet1!H138)</f>
        <v>500270.85879412753</v>
      </c>
      <c r="I32" s="8">
        <f>SUM([1]Sheet1!I36,[1]Sheet1!I70,[1]Sheet1!I104,[1]Sheet1!I138)</f>
        <v>505209.03593906056</v>
      </c>
      <c r="J32" s="8">
        <f>SUM([1]Sheet1!J36,[1]Sheet1!J70,[1]Sheet1!J104,[1]Sheet1!J138)</f>
        <v>510586.15628505149</v>
      </c>
      <c r="K32" s="8">
        <f>SUM([1]Sheet1!K36,[1]Sheet1!K70,[1]Sheet1!K104,[1]Sheet1!K138)</f>
        <v>518760.87387394276</v>
      </c>
      <c r="L32" s="8">
        <f>SUM([1]Sheet1!L36,[1]Sheet1!L70,[1]Sheet1!L104,[1]Sheet1!L138)</f>
        <v>531047.17987147928</v>
      </c>
      <c r="M32" s="8">
        <f>SUM([1]Sheet1!M36,[1]Sheet1!M70,[1]Sheet1!M104,[1]Sheet1!M138)</f>
        <v>547708.14483689226</v>
      </c>
      <c r="N32" s="8">
        <f>SUM([1]Sheet1!N36,[1]Sheet1!N70,[1]Sheet1!N104,[1]Sheet1!N138)</f>
        <v>567858.4387986362</v>
      </c>
      <c r="O32" s="8">
        <f>SUM([1]Sheet1!O36,[1]Sheet1!O70,[1]Sheet1!O104,[1]Sheet1!O138)</f>
        <v>591642.34661036427</v>
      </c>
      <c r="P32" s="8">
        <f>SUM([1]Sheet1!P36,[1]Sheet1!P70,[1]Sheet1!P104,[1]Sheet1!P138)</f>
        <v>616439.74896170851</v>
      </c>
      <c r="Q32" s="8">
        <f>SUM([1]Sheet1!Q36,[1]Sheet1!Q70,[1]Sheet1!Q104,[1]Sheet1!Q138)</f>
        <v>641350.96363445348</v>
      </c>
      <c r="R32" s="8">
        <f>SUM([1]Sheet1!R36,[1]Sheet1!R70,[1]Sheet1!R104,[1]Sheet1!R138)</f>
        <v>666207.04724138102</v>
      </c>
      <c r="S32" s="8">
        <f>SUM([1]Sheet1!S36,[1]Sheet1!S70,[1]Sheet1!S104,[1]Sheet1!S138)</f>
        <v>691114.03464364796</v>
      </c>
      <c r="T32" s="8"/>
      <c r="U32" s="8"/>
      <c r="V32" s="8"/>
      <c r="W32" s="8"/>
      <c r="X32" s="8"/>
      <c r="Y32" s="8"/>
      <c r="Z32" s="8"/>
      <c r="AA32" s="8"/>
      <c r="AB32" s="8"/>
      <c r="AC32" s="8"/>
      <c r="AD32" s="8"/>
      <c r="AE32" s="8"/>
    </row>
    <row r="33" spans="2:31">
      <c r="B33" s="4" t="s">
        <v>468</v>
      </c>
      <c r="C33" s="4" t="s">
        <v>465</v>
      </c>
      <c r="D33" s="8">
        <f>SUM([1]Sheet1!D37,[1]Sheet1!D71,[1]Sheet1!D105,[1]Sheet1!D139)</f>
        <v>371655.21540191141</v>
      </c>
      <c r="E33" s="8">
        <f>SUM([1]Sheet1!E37,[1]Sheet1!E71,[1]Sheet1!E105,[1]Sheet1!E139)</f>
        <v>374262.55318544857</v>
      </c>
      <c r="F33" s="8">
        <f>SUM([1]Sheet1!F37,[1]Sheet1!F71,[1]Sheet1!F105,[1]Sheet1!F139)</f>
        <v>377635.5146412683</v>
      </c>
      <c r="G33" s="8">
        <f>SUM([1]Sheet1!G37,[1]Sheet1!G71,[1]Sheet1!G105,[1]Sheet1!G139)</f>
        <v>381662.8191563515</v>
      </c>
      <c r="H33" s="8">
        <f>SUM([1]Sheet1!H37,[1]Sheet1!H71,[1]Sheet1!H105,[1]Sheet1!H139)</f>
        <v>386126.63213597931</v>
      </c>
      <c r="I33" s="8">
        <f>SUM([1]Sheet1!I37,[1]Sheet1!I71,[1]Sheet1!I105,[1]Sheet1!I139)</f>
        <v>390986.28367846907</v>
      </c>
      <c r="J33" s="8">
        <f>SUM([1]Sheet1!J37,[1]Sheet1!J71,[1]Sheet1!J105,[1]Sheet1!J139)</f>
        <v>397112.5560582694</v>
      </c>
      <c r="K33" s="8">
        <f>SUM([1]Sheet1!K37,[1]Sheet1!K71,[1]Sheet1!K105,[1]Sheet1!K139)</f>
        <v>403599.78575393872</v>
      </c>
      <c r="L33" s="8">
        <f>SUM([1]Sheet1!L37,[1]Sheet1!L71,[1]Sheet1!L105,[1]Sheet1!L139)</f>
        <v>409495.85077769245</v>
      </c>
      <c r="M33" s="8">
        <f>SUM([1]Sheet1!M37,[1]Sheet1!M71,[1]Sheet1!M105,[1]Sheet1!M139)</f>
        <v>414417.79793791129</v>
      </c>
      <c r="N33" s="8">
        <f>SUM([1]Sheet1!N37,[1]Sheet1!N71,[1]Sheet1!N105,[1]Sheet1!N139)</f>
        <v>419591.22075584409</v>
      </c>
      <c r="O33" s="8">
        <f>SUM([1]Sheet1!O37,[1]Sheet1!O71,[1]Sheet1!O105,[1]Sheet1!O139)</f>
        <v>425242.68091680575</v>
      </c>
      <c r="P33" s="8">
        <f>SUM([1]Sheet1!P37,[1]Sheet1!P71,[1]Sheet1!P105,[1]Sheet1!P139)</f>
        <v>433225.90586201468</v>
      </c>
      <c r="Q33" s="8">
        <f>SUM([1]Sheet1!Q37,[1]Sheet1!Q71,[1]Sheet1!Q105,[1]Sheet1!Q139)</f>
        <v>444868.43200232444</v>
      </c>
      <c r="R33" s="8">
        <f>SUM([1]Sheet1!R37,[1]Sheet1!R71,[1]Sheet1!R105,[1]Sheet1!R139)</f>
        <v>460368.13310133852</v>
      </c>
      <c r="S33" s="8">
        <f>SUM([1]Sheet1!S37,[1]Sheet1!S71,[1]Sheet1!S105,[1]Sheet1!S139)</f>
        <v>478972.09715614852</v>
      </c>
      <c r="T33" s="8"/>
      <c r="U33" s="8"/>
      <c r="V33" s="8"/>
      <c r="W33" s="8"/>
      <c r="X33" s="8"/>
      <c r="Y33" s="8"/>
      <c r="Z33" s="8"/>
      <c r="AA33" s="8"/>
      <c r="AB33" s="8"/>
      <c r="AC33" s="8"/>
      <c r="AD33" s="8"/>
      <c r="AE33" s="8"/>
    </row>
    <row r="34" spans="2:31">
      <c r="B34" s="4" t="s">
        <v>468</v>
      </c>
      <c r="C34" s="4" t="s">
        <v>466</v>
      </c>
      <c r="D34" s="8">
        <f>SUM([1]Sheet1!D38,[1]Sheet1!D72,[1]Sheet1!D106,[1]Sheet1!D140)</f>
        <v>273180.08970414061</v>
      </c>
      <c r="E34" s="8">
        <f>SUM([1]Sheet1!E38,[1]Sheet1!E72,[1]Sheet1!E106,[1]Sheet1!E140)</f>
        <v>274237.92090230854</v>
      </c>
      <c r="F34" s="8">
        <f>SUM([1]Sheet1!F38,[1]Sheet1!F72,[1]Sheet1!F106,[1]Sheet1!F140)</f>
        <v>275250.01956567977</v>
      </c>
      <c r="G34" s="8">
        <f>SUM([1]Sheet1!G38,[1]Sheet1!G72,[1]Sheet1!G106,[1]Sheet1!G140)</f>
        <v>276531.01584473439</v>
      </c>
      <c r="H34" s="8">
        <f>SUM([1]Sheet1!H38,[1]Sheet1!H72,[1]Sheet1!H106,[1]Sheet1!H140)</f>
        <v>278983.34139684984</v>
      </c>
      <c r="I34" s="8">
        <f>SUM([1]Sheet1!I38,[1]Sheet1!I72,[1]Sheet1!I106,[1]Sheet1!I140)</f>
        <v>280838.122807534</v>
      </c>
      <c r="J34" s="8">
        <f>SUM([1]Sheet1!J38,[1]Sheet1!J72,[1]Sheet1!J106,[1]Sheet1!J140)</f>
        <v>282987.5980975742</v>
      </c>
      <c r="K34" s="8">
        <f>SUM([1]Sheet1!K38,[1]Sheet1!K72,[1]Sheet1!K106,[1]Sheet1!K140)</f>
        <v>285919.23505151883</v>
      </c>
      <c r="L34" s="8">
        <f>SUM([1]Sheet1!L38,[1]Sheet1!L72,[1]Sheet1!L106,[1]Sheet1!L140)</f>
        <v>289540.11717371951</v>
      </c>
      <c r="M34" s="8">
        <f>SUM([1]Sheet1!M38,[1]Sheet1!M72,[1]Sheet1!M106,[1]Sheet1!M140)</f>
        <v>293762.26792329334</v>
      </c>
      <c r="N34" s="8">
        <f>SUM([1]Sheet1!N38,[1]Sheet1!N72,[1]Sheet1!N106,[1]Sheet1!N140)</f>
        <v>298556.00785643142</v>
      </c>
      <c r="O34" s="8">
        <f>SUM([1]Sheet1!O38,[1]Sheet1!O72,[1]Sheet1!O106,[1]Sheet1!O140)</f>
        <v>304423.30081952002</v>
      </c>
      <c r="P34" s="8">
        <f>SUM([1]Sheet1!P38,[1]Sheet1!P72,[1]Sheet1!P106,[1]Sheet1!P140)</f>
        <v>310506.63758250891</v>
      </c>
      <c r="Q34" s="8">
        <f>SUM([1]Sheet1!Q38,[1]Sheet1!Q72,[1]Sheet1!Q106,[1]Sheet1!Q140)</f>
        <v>316277.6135772444</v>
      </c>
      <c r="R34" s="8">
        <f>SUM([1]Sheet1!R38,[1]Sheet1!R72,[1]Sheet1!R106,[1]Sheet1!R140)</f>
        <v>321439.12865788431</v>
      </c>
      <c r="S34" s="8">
        <f>SUM([1]Sheet1!S38,[1]Sheet1!S72,[1]Sheet1!S106,[1]Sheet1!S140)</f>
        <v>326870.72170895565</v>
      </c>
      <c r="T34" s="8"/>
      <c r="U34" s="8"/>
      <c r="V34" s="8"/>
      <c r="W34" s="8"/>
      <c r="X34" s="8"/>
      <c r="Y34" s="8"/>
      <c r="Z34" s="8"/>
      <c r="AA34" s="8"/>
      <c r="AB34" s="8"/>
      <c r="AC34" s="8"/>
      <c r="AD34" s="8"/>
      <c r="AE34" s="8"/>
    </row>
    <row r="35" spans="2:31">
      <c r="B35" s="4" t="s">
        <v>468</v>
      </c>
      <c r="C35" s="4" t="s">
        <v>467</v>
      </c>
      <c r="D35" s="8">
        <f>SUM([1]Sheet1!D39,[1]Sheet1!D73,[1]Sheet1!D107,[1]Sheet1!D141)</f>
        <v>279694.58470269787</v>
      </c>
      <c r="E35" s="8">
        <f>SUM([1]Sheet1!E39,[1]Sheet1!E73,[1]Sheet1!E107,[1]Sheet1!E141)</f>
        <v>285227.91579977877</v>
      </c>
      <c r="F35" s="8">
        <f>SUM([1]Sheet1!F39,[1]Sheet1!F73,[1]Sheet1!F107,[1]Sheet1!F141)</f>
        <v>290369.87766233098</v>
      </c>
      <c r="G35" s="8">
        <f>SUM([1]Sheet1!G39,[1]Sheet1!G73,[1]Sheet1!G107,[1]Sheet1!G141)</f>
        <v>295228.92253892811</v>
      </c>
      <c r="H35" s="8">
        <f>SUM([1]Sheet1!H39,[1]Sheet1!H73,[1]Sheet1!H107,[1]Sheet1!H141)</f>
        <v>299361.22032538132</v>
      </c>
      <c r="I35" s="8">
        <f>SUM([1]Sheet1!I39,[1]Sheet1!I73,[1]Sheet1!I107,[1]Sheet1!I141)</f>
        <v>303288.75716719771</v>
      </c>
      <c r="J35" s="8">
        <f>SUM([1]Sheet1!J39,[1]Sheet1!J73,[1]Sheet1!J107,[1]Sheet1!J141)</f>
        <v>307157.49394098669</v>
      </c>
      <c r="K35" s="8">
        <f>SUM([1]Sheet1!K39,[1]Sheet1!K73,[1]Sheet1!K107,[1]Sheet1!K141)</f>
        <v>310937.40360830061</v>
      </c>
      <c r="L35" s="8">
        <f>SUM([1]Sheet1!L39,[1]Sheet1!L73,[1]Sheet1!L107,[1]Sheet1!L141)</f>
        <v>314828.56950708933</v>
      </c>
      <c r="M35" s="8">
        <f>SUM([1]Sheet1!M39,[1]Sheet1!M73,[1]Sheet1!M107,[1]Sheet1!M141)</f>
        <v>319165.179527862</v>
      </c>
      <c r="N35" s="8">
        <f>SUM([1]Sheet1!N39,[1]Sheet1!N73,[1]Sheet1!N107,[1]Sheet1!N141)</f>
        <v>323218.44711834996</v>
      </c>
      <c r="O35" s="8">
        <f>SUM([1]Sheet1!O39,[1]Sheet1!O73,[1]Sheet1!O107,[1]Sheet1!O141)</f>
        <v>327531.57993903878</v>
      </c>
      <c r="P35" s="8">
        <f>SUM([1]Sheet1!P39,[1]Sheet1!P73,[1]Sheet1!P107,[1]Sheet1!P141)</f>
        <v>332295.40131270327</v>
      </c>
      <c r="Q35" s="8">
        <f>SUM([1]Sheet1!Q39,[1]Sheet1!Q73,[1]Sheet1!Q107,[1]Sheet1!Q141)</f>
        <v>337931.54167997243</v>
      </c>
      <c r="R35" s="8">
        <f>SUM([1]Sheet1!R39,[1]Sheet1!R73,[1]Sheet1!R107,[1]Sheet1!R141)</f>
        <v>344537.119596206</v>
      </c>
      <c r="S35" s="8">
        <f>SUM([1]Sheet1!S39,[1]Sheet1!S73,[1]Sheet1!S107,[1]Sheet1!S141)</f>
        <v>351469.05435617641</v>
      </c>
      <c r="T35" s="8"/>
      <c r="U35" s="8"/>
      <c r="V35" s="8"/>
      <c r="W35" s="8"/>
      <c r="X35" s="8"/>
      <c r="Y35" s="8"/>
      <c r="Z35" s="8"/>
      <c r="AA35" s="8"/>
      <c r="AB35" s="8"/>
      <c r="AC35" s="8"/>
      <c r="AD35" s="8"/>
      <c r="AE35" s="8"/>
    </row>
    <row r="36" spans="2:31">
      <c r="B36" s="4" t="s">
        <v>238</v>
      </c>
      <c r="C36" s="4" t="s">
        <v>451</v>
      </c>
      <c r="D36" s="8">
        <f t="shared" ref="D36:D52" si="0">SUM(D2,D19)</f>
        <v>4697820.5122410664</v>
      </c>
      <c r="E36" s="8">
        <f t="shared" ref="E36:S51" si="1">SUM(E2,E19)</f>
        <v>4698402.6048558019</v>
      </c>
      <c r="F36" s="8">
        <f t="shared" si="1"/>
        <v>4759731.9630162371</v>
      </c>
      <c r="G36" s="8">
        <f t="shared" si="1"/>
        <v>4857971.3302108012</v>
      </c>
      <c r="H36" s="8">
        <f t="shared" si="1"/>
        <v>5020631.7484219456</v>
      </c>
      <c r="I36" s="8">
        <f t="shared" si="1"/>
        <v>5222808.5423941901</v>
      </c>
      <c r="J36" s="8">
        <f t="shared" si="1"/>
        <v>5433525.2899802513</v>
      </c>
      <c r="K36" s="8">
        <f t="shared" si="1"/>
        <v>5588950.1490501212</v>
      </c>
      <c r="L36" s="8">
        <f t="shared" si="1"/>
        <v>5700026.7988925837</v>
      </c>
      <c r="M36" s="8">
        <f t="shared" si="1"/>
        <v>5769437.331040822</v>
      </c>
      <c r="N36" s="8">
        <f t="shared" si="1"/>
        <v>5805727.9035257269</v>
      </c>
      <c r="O36" s="8">
        <f t="shared" si="1"/>
        <v>5828175.9047581274</v>
      </c>
      <c r="P36" s="8">
        <f t="shared" si="1"/>
        <v>5846550.9662068803</v>
      </c>
      <c r="Q36" s="8">
        <f t="shared" si="1"/>
        <v>5861094.4556676578</v>
      </c>
      <c r="R36" s="8">
        <f t="shared" si="1"/>
        <v>5869443.4993243432</v>
      </c>
      <c r="S36" s="8">
        <f t="shared" si="1"/>
        <v>5866573.2623054031</v>
      </c>
      <c r="T36" s="8"/>
      <c r="U36" s="8"/>
      <c r="V36" s="8"/>
      <c r="W36" s="8"/>
      <c r="X36" s="8"/>
      <c r="Y36" s="8"/>
      <c r="Z36" s="8"/>
      <c r="AA36" s="8"/>
      <c r="AB36" s="8"/>
      <c r="AC36" s="8"/>
      <c r="AD36" s="8"/>
      <c r="AE36" s="8"/>
    </row>
    <row r="37" spans="2:31">
      <c r="B37" s="4" t="s">
        <v>238</v>
      </c>
      <c r="C37" s="4" t="s">
        <v>452</v>
      </c>
      <c r="D37" s="8">
        <f t="shared" si="0"/>
        <v>4983411.8163073789</v>
      </c>
      <c r="E37" s="8">
        <f t="shared" ref="E37:S37" si="2">SUM(E3,E20)</f>
        <v>4891932.5758539233</v>
      </c>
      <c r="F37" s="8">
        <f t="shared" si="2"/>
        <v>4814013.2774854461</v>
      </c>
      <c r="G37" s="8">
        <f t="shared" si="2"/>
        <v>4757924.3785093427</v>
      </c>
      <c r="H37" s="8">
        <f t="shared" si="2"/>
        <v>4694787.639636619</v>
      </c>
      <c r="I37" s="8">
        <f t="shared" si="2"/>
        <v>4657269.9445202043</v>
      </c>
      <c r="J37" s="8">
        <f t="shared" si="2"/>
        <v>4643168.8713116273</v>
      </c>
      <c r="K37" s="8">
        <f t="shared" si="2"/>
        <v>4691151.8366500819</v>
      </c>
      <c r="L37" s="8">
        <f t="shared" si="2"/>
        <v>4775934.4722853582</v>
      </c>
      <c r="M37" s="8">
        <f t="shared" si="2"/>
        <v>4925348.9002416302</v>
      </c>
      <c r="N37" s="8">
        <f t="shared" si="2"/>
        <v>5121035.5907415161</v>
      </c>
      <c r="O37" s="8">
        <f t="shared" si="2"/>
        <v>5330721.6084056906</v>
      </c>
      <c r="P37" s="8">
        <f t="shared" si="2"/>
        <v>5495805.9792146031</v>
      </c>
      <c r="Q37" s="8">
        <f t="shared" si="2"/>
        <v>5622986.015781845</v>
      </c>
      <c r="R37" s="8">
        <f t="shared" si="2"/>
        <v>5709348.2866884926</v>
      </c>
      <c r="S37" s="8">
        <f t="shared" si="2"/>
        <v>5764576.094693739</v>
      </c>
      <c r="T37" s="8"/>
      <c r="U37" s="8"/>
      <c r="V37" s="8"/>
      <c r="W37" s="8"/>
      <c r="X37" s="8"/>
      <c r="Y37" s="8"/>
      <c r="Z37" s="8"/>
      <c r="AA37" s="8"/>
      <c r="AB37" s="8"/>
      <c r="AC37" s="8"/>
      <c r="AD37" s="8"/>
      <c r="AE37" s="8"/>
    </row>
    <row r="38" spans="2:31">
      <c r="B38" s="4" t="s">
        <v>238</v>
      </c>
      <c r="C38" s="4" t="s">
        <v>453</v>
      </c>
      <c r="D38" s="8">
        <f t="shared" si="0"/>
        <v>5320971.0521792704</v>
      </c>
      <c r="E38" s="8">
        <f t="shared" si="1"/>
        <v>5284400.4761395156</v>
      </c>
      <c r="F38" s="8">
        <f t="shared" si="1"/>
        <v>5226983.9793558829</v>
      </c>
      <c r="G38" s="8">
        <f t="shared" si="1"/>
        <v>5161811.2187047116</v>
      </c>
      <c r="H38" s="8">
        <f t="shared" si="1"/>
        <v>5093426.2908285186</v>
      </c>
      <c r="I38" s="8">
        <f t="shared" si="1"/>
        <v>4995641.7807936985</v>
      </c>
      <c r="J38" s="8">
        <f t="shared" si="1"/>
        <v>4884950.3298664754</v>
      </c>
      <c r="K38" s="8">
        <f t="shared" si="1"/>
        <v>4792904.4238566421</v>
      </c>
      <c r="L38" s="8">
        <f t="shared" si="1"/>
        <v>4723490.7909115031</v>
      </c>
      <c r="M38" s="8">
        <f t="shared" si="1"/>
        <v>4648702.2401240757</v>
      </c>
      <c r="N38" s="8">
        <f t="shared" si="1"/>
        <v>4606189.5566004934</v>
      </c>
      <c r="O38" s="8">
        <f t="shared" si="1"/>
        <v>4591699.225189128</v>
      </c>
      <c r="P38" s="8">
        <f t="shared" si="1"/>
        <v>4639748.7174142674</v>
      </c>
      <c r="Q38" s="8">
        <f t="shared" si="1"/>
        <v>4729279.5312325452</v>
      </c>
      <c r="R38" s="8">
        <f t="shared" si="1"/>
        <v>4886875.6265700143</v>
      </c>
      <c r="S38" s="8">
        <f t="shared" si="1"/>
        <v>5093681.3804211151</v>
      </c>
      <c r="T38" s="8"/>
      <c r="U38" s="8"/>
      <c r="V38" s="8"/>
      <c r="W38" s="8"/>
      <c r="X38" s="8"/>
      <c r="Y38" s="8"/>
      <c r="Z38" s="8"/>
      <c r="AA38" s="8"/>
      <c r="AB38" s="8"/>
      <c r="AC38" s="8"/>
      <c r="AD38" s="8"/>
      <c r="AE38" s="8"/>
    </row>
    <row r="39" spans="2:31">
      <c r="B39" s="4" t="s">
        <v>238</v>
      </c>
      <c r="C39" s="4" t="s">
        <v>454</v>
      </c>
      <c r="D39" s="8">
        <f t="shared" si="0"/>
        <v>5076798.1927213157</v>
      </c>
      <c r="E39" s="8">
        <f t="shared" si="1"/>
        <v>5195464.9990910646</v>
      </c>
      <c r="F39" s="8">
        <f t="shared" si="1"/>
        <v>5293477.068350493</v>
      </c>
      <c r="G39" s="8">
        <f t="shared" si="1"/>
        <v>5358242.7906284705</v>
      </c>
      <c r="H39" s="8">
        <f t="shared" si="1"/>
        <v>5368190.1057142513</v>
      </c>
      <c r="I39" s="8">
        <f t="shared" si="1"/>
        <v>5343289.3862106288</v>
      </c>
      <c r="J39" s="8">
        <f t="shared" si="1"/>
        <v>5287581.184363395</v>
      </c>
      <c r="K39" s="8">
        <f t="shared" si="1"/>
        <v>5215435.1797855068</v>
      </c>
      <c r="L39" s="8">
        <f t="shared" si="1"/>
        <v>5135644.2428356484</v>
      </c>
      <c r="M39" s="8">
        <f t="shared" si="1"/>
        <v>5053741.8525159322</v>
      </c>
      <c r="N39" s="8">
        <f t="shared" si="1"/>
        <v>4950336.9248773251</v>
      </c>
      <c r="O39" s="8">
        <f t="shared" si="1"/>
        <v>4839691.4459874202</v>
      </c>
      <c r="P39" s="8">
        <f t="shared" si="1"/>
        <v>4748961.577197521</v>
      </c>
      <c r="Q39" s="8">
        <f t="shared" si="1"/>
        <v>4686026.7926050154</v>
      </c>
      <c r="R39" s="8">
        <f t="shared" si="1"/>
        <v>4622027.5983534381</v>
      </c>
      <c r="S39" s="8">
        <f t="shared" si="1"/>
        <v>4592001.3701133393</v>
      </c>
      <c r="T39" s="8"/>
      <c r="U39" s="8"/>
      <c r="V39" s="8"/>
      <c r="W39" s="8"/>
      <c r="X39" s="8"/>
      <c r="Y39" s="8"/>
      <c r="Z39" s="8"/>
      <c r="AA39" s="8"/>
      <c r="AB39" s="8"/>
      <c r="AC39" s="8"/>
      <c r="AD39" s="8"/>
      <c r="AE39" s="8"/>
    </row>
    <row r="40" spans="2:31">
      <c r="B40" s="4" t="s">
        <v>238</v>
      </c>
      <c r="C40" s="4" t="s">
        <v>455</v>
      </c>
      <c r="D40" s="8">
        <f t="shared" si="0"/>
        <v>4317944.3730223775</v>
      </c>
      <c r="E40" s="8">
        <f t="shared" si="1"/>
        <v>4508154.7414655695</v>
      </c>
      <c r="F40" s="8">
        <f t="shared" si="1"/>
        <v>4698340.5196182039</v>
      </c>
      <c r="G40" s="8">
        <f t="shared" si="1"/>
        <v>4872985.787837591</v>
      </c>
      <c r="H40" s="8">
        <f t="shared" si="1"/>
        <v>5018252.7725717351</v>
      </c>
      <c r="I40" s="8">
        <f t="shared" si="1"/>
        <v>5136829.553840938</v>
      </c>
      <c r="J40" s="8">
        <f t="shared" si="1"/>
        <v>5245294.076292444</v>
      </c>
      <c r="K40" s="8">
        <f t="shared" si="1"/>
        <v>5335828.4096770501</v>
      </c>
      <c r="L40" s="8">
        <f t="shared" si="1"/>
        <v>5391820.8365885057</v>
      </c>
      <c r="M40" s="8">
        <f t="shared" si="1"/>
        <v>5393703.6475020712</v>
      </c>
      <c r="N40" s="8">
        <f t="shared" si="1"/>
        <v>5367987.5613424694</v>
      </c>
      <c r="O40" s="8">
        <f t="shared" si="1"/>
        <v>5317319.0945725851</v>
      </c>
      <c r="P40" s="8">
        <f t="shared" si="1"/>
        <v>5251472.6560556581</v>
      </c>
      <c r="Q40" s="8">
        <f t="shared" si="1"/>
        <v>5183181.3981400542</v>
      </c>
      <c r="R40" s="8">
        <f t="shared" si="1"/>
        <v>5116800.7315675765</v>
      </c>
      <c r="S40" s="8">
        <f t="shared" si="1"/>
        <v>5031270.8270034175</v>
      </c>
      <c r="T40" s="8"/>
      <c r="U40" s="8"/>
      <c r="V40" s="8"/>
      <c r="W40" s="8"/>
      <c r="X40" s="8"/>
      <c r="Y40" s="8"/>
      <c r="Z40" s="8"/>
      <c r="AA40" s="8"/>
      <c r="AB40" s="8"/>
      <c r="AC40" s="8"/>
      <c r="AD40" s="8"/>
      <c r="AE40" s="8"/>
    </row>
    <row r="41" spans="2:31">
      <c r="B41" s="4" t="s">
        <v>238</v>
      </c>
      <c r="C41" s="4" t="s">
        <v>456</v>
      </c>
      <c r="D41" s="8">
        <f t="shared" si="0"/>
        <v>3830790.0950824502</v>
      </c>
      <c r="E41" s="8">
        <f t="shared" si="1"/>
        <v>3869845.9183025835</v>
      </c>
      <c r="F41" s="8">
        <f t="shared" si="1"/>
        <v>3922462.6069577667</v>
      </c>
      <c r="G41" s="8">
        <f t="shared" si="1"/>
        <v>4011057.3535716934</v>
      </c>
      <c r="H41" s="8">
        <f t="shared" si="1"/>
        <v>4166706.4752847999</v>
      </c>
      <c r="I41" s="8">
        <f t="shared" si="1"/>
        <v>4352567.6967784567</v>
      </c>
      <c r="J41" s="8">
        <f t="shared" si="1"/>
        <v>4549235.6469416115</v>
      </c>
      <c r="K41" s="8">
        <f t="shared" si="1"/>
        <v>4744392.7621185854</v>
      </c>
      <c r="L41" s="8">
        <f t="shared" si="1"/>
        <v>4922065.6959726755</v>
      </c>
      <c r="M41" s="8">
        <f t="shared" si="1"/>
        <v>5070804.1478277314</v>
      </c>
      <c r="N41" s="8">
        <f t="shared" si="1"/>
        <v>5197663.9854004337</v>
      </c>
      <c r="O41" s="8">
        <f t="shared" si="1"/>
        <v>5317965.4983066637</v>
      </c>
      <c r="P41" s="8">
        <f t="shared" si="1"/>
        <v>5420232.9132529069</v>
      </c>
      <c r="Q41" s="8">
        <f t="shared" si="1"/>
        <v>5493126.8207934955</v>
      </c>
      <c r="R41" s="8">
        <f t="shared" si="1"/>
        <v>5518051.2397517655</v>
      </c>
      <c r="S41" s="8">
        <f t="shared" si="1"/>
        <v>5518304.7145008408</v>
      </c>
      <c r="T41" s="8"/>
      <c r="U41" s="8"/>
      <c r="V41" s="8"/>
      <c r="W41" s="8"/>
      <c r="X41" s="8"/>
      <c r="Y41" s="8"/>
      <c r="Z41" s="8"/>
      <c r="AA41" s="8"/>
      <c r="AB41" s="8"/>
      <c r="AC41" s="8"/>
      <c r="AD41" s="8"/>
      <c r="AE41" s="8"/>
    </row>
    <row r="42" spans="2:31">
      <c r="B42" s="4" t="s">
        <v>238</v>
      </c>
      <c r="C42" s="4" t="s">
        <v>457</v>
      </c>
      <c r="D42" s="8">
        <f t="shared" si="0"/>
        <v>3433146.9627657859</v>
      </c>
      <c r="E42" s="8">
        <f t="shared" si="1"/>
        <v>3503668.4883196792</v>
      </c>
      <c r="F42" s="8">
        <f t="shared" si="1"/>
        <v>3568090.6811752273</v>
      </c>
      <c r="G42" s="8">
        <f t="shared" si="1"/>
        <v>3625716.1728786374</v>
      </c>
      <c r="H42" s="8">
        <f t="shared" si="1"/>
        <v>3668230.4348772736</v>
      </c>
      <c r="I42" s="8">
        <f t="shared" si="1"/>
        <v>3706688.7315295087</v>
      </c>
      <c r="J42" s="8">
        <f t="shared" si="1"/>
        <v>3757334.1482461253</v>
      </c>
      <c r="K42" s="8">
        <f t="shared" si="1"/>
        <v>3826871.1123568248</v>
      </c>
      <c r="L42" s="8">
        <f t="shared" si="1"/>
        <v>3934454.5004145978</v>
      </c>
      <c r="M42" s="8">
        <f t="shared" si="1"/>
        <v>4108530.2302738633</v>
      </c>
      <c r="N42" s="8">
        <f t="shared" si="1"/>
        <v>4311589.3220413011</v>
      </c>
      <c r="O42" s="8">
        <f t="shared" si="1"/>
        <v>4524873.4501400758</v>
      </c>
      <c r="P42" s="8">
        <f t="shared" si="1"/>
        <v>4736398.1946692187</v>
      </c>
      <c r="Q42" s="8">
        <f t="shared" si="1"/>
        <v>4931871.9395047966</v>
      </c>
      <c r="R42" s="8">
        <f t="shared" si="1"/>
        <v>5101982.6164236534</v>
      </c>
      <c r="S42" s="8">
        <f t="shared" si="1"/>
        <v>5253732.6960873101</v>
      </c>
      <c r="T42" s="8"/>
      <c r="U42" s="8"/>
      <c r="V42" s="8"/>
      <c r="W42" s="8"/>
      <c r="X42" s="8"/>
      <c r="Y42" s="8"/>
      <c r="Z42" s="8"/>
      <c r="AA42" s="8"/>
      <c r="AB42" s="8"/>
      <c r="AC42" s="8"/>
      <c r="AD42" s="8"/>
      <c r="AE42" s="8"/>
    </row>
    <row r="43" spans="2:31">
      <c r="B43" s="4" t="s">
        <v>238</v>
      </c>
      <c r="C43" s="4" t="s">
        <v>458</v>
      </c>
      <c r="D43" s="8">
        <f t="shared" si="0"/>
        <v>3056469.036409264</v>
      </c>
      <c r="E43" s="8">
        <f t="shared" si="1"/>
        <v>3069262.8572877143</v>
      </c>
      <c r="F43" s="8">
        <f t="shared" si="1"/>
        <v>3078984.5167885814</v>
      </c>
      <c r="G43" s="8">
        <f t="shared" si="1"/>
        <v>3093801.852721422</v>
      </c>
      <c r="H43" s="8">
        <f t="shared" si="1"/>
        <v>3123086.7793664951</v>
      </c>
      <c r="I43" s="8">
        <f t="shared" si="1"/>
        <v>3174721.0418831478</v>
      </c>
      <c r="J43" s="8">
        <f t="shared" si="1"/>
        <v>3239797.2110635028</v>
      </c>
      <c r="K43" s="8">
        <f t="shared" si="1"/>
        <v>3309523.2273865677</v>
      </c>
      <c r="L43" s="8">
        <f t="shared" si="1"/>
        <v>3385970.1181328367</v>
      </c>
      <c r="M43" s="8">
        <f t="shared" si="1"/>
        <v>3458669.1822564127</v>
      </c>
      <c r="N43" s="8">
        <f t="shared" si="1"/>
        <v>3528823.7029650719</v>
      </c>
      <c r="O43" s="8">
        <f t="shared" si="1"/>
        <v>3608390.8939377367</v>
      </c>
      <c r="P43" s="8">
        <f t="shared" si="1"/>
        <v>3703425.7877148017</v>
      </c>
      <c r="Q43" s="8">
        <f t="shared" si="1"/>
        <v>3831166.3122359603</v>
      </c>
      <c r="R43" s="8">
        <f t="shared" si="1"/>
        <v>4022476.3098322451</v>
      </c>
      <c r="S43" s="8">
        <f t="shared" si="1"/>
        <v>4243536.871859014</v>
      </c>
      <c r="T43" s="8"/>
      <c r="U43" s="8"/>
      <c r="V43" s="8"/>
      <c r="W43" s="8"/>
      <c r="X43" s="8"/>
      <c r="Y43" s="8"/>
      <c r="Z43" s="8"/>
      <c r="AA43" s="8"/>
      <c r="AB43" s="8"/>
      <c r="AC43" s="8"/>
      <c r="AD43" s="8"/>
      <c r="AE43" s="8"/>
    </row>
    <row r="44" spans="2:31">
      <c r="B44" s="4" t="s">
        <v>238</v>
      </c>
      <c r="C44" s="4" t="s">
        <v>459</v>
      </c>
      <c r="D44" s="8">
        <f t="shared" si="0"/>
        <v>2642341.605987113</v>
      </c>
      <c r="E44" s="8">
        <f t="shared" si="1"/>
        <v>2685564.5109637775</v>
      </c>
      <c r="F44" s="8">
        <f t="shared" si="1"/>
        <v>2719409.9106621654</v>
      </c>
      <c r="G44" s="8">
        <f t="shared" si="1"/>
        <v>2743911.7844040571</v>
      </c>
      <c r="H44" s="8">
        <f t="shared" si="1"/>
        <v>2758941.8432719633</v>
      </c>
      <c r="I44" s="8">
        <f t="shared" si="1"/>
        <v>2764692.9564888505</v>
      </c>
      <c r="J44" s="8">
        <f t="shared" si="1"/>
        <v>2772214.7767051291</v>
      </c>
      <c r="K44" s="8">
        <f t="shared" si="1"/>
        <v>2785273.8283294314</v>
      </c>
      <c r="L44" s="8">
        <f t="shared" si="1"/>
        <v>2814720.2739641857</v>
      </c>
      <c r="M44" s="8">
        <f t="shared" si="1"/>
        <v>2867676.6885187961</v>
      </c>
      <c r="N44" s="8">
        <f t="shared" si="1"/>
        <v>2942921.7577850847</v>
      </c>
      <c r="O44" s="8">
        <f t="shared" si="1"/>
        <v>3030964.0514120869</v>
      </c>
      <c r="P44" s="8">
        <f t="shared" si="1"/>
        <v>3123569.2872183286</v>
      </c>
      <c r="Q44" s="8">
        <f t="shared" si="1"/>
        <v>3217514.3589837132</v>
      </c>
      <c r="R44" s="8">
        <f t="shared" si="1"/>
        <v>3305863.2174344212</v>
      </c>
      <c r="S44" s="8">
        <f t="shared" si="1"/>
        <v>3392431.0692465054</v>
      </c>
      <c r="T44" s="8"/>
      <c r="U44" s="8"/>
      <c r="V44" s="8"/>
      <c r="W44" s="8"/>
      <c r="X44" s="8"/>
      <c r="Y44" s="8"/>
      <c r="Z44" s="8"/>
      <c r="AA44" s="8"/>
      <c r="AB44" s="8"/>
      <c r="AC44" s="8"/>
      <c r="AD44" s="8"/>
      <c r="AE44" s="8"/>
    </row>
    <row r="45" spans="2:31">
      <c r="B45" s="4" t="s">
        <v>238</v>
      </c>
      <c r="C45" s="4" t="s">
        <v>460</v>
      </c>
      <c r="D45" s="8">
        <f t="shared" si="0"/>
        <v>2219497.1428141491</v>
      </c>
      <c r="E45" s="8">
        <f t="shared" si="1"/>
        <v>2265707.3754921108</v>
      </c>
      <c r="F45" s="8">
        <f t="shared" si="1"/>
        <v>2299989.5607177508</v>
      </c>
      <c r="G45" s="8">
        <f t="shared" si="1"/>
        <v>2330195.5730197914</v>
      </c>
      <c r="H45" s="8">
        <f t="shared" si="1"/>
        <v>2357749.5406185919</v>
      </c>
      <c r="I45" s="8">
        <f t="shared" si="1"/>
        <v>2392823.6280626841</v>
      </c>
      <c r="J45" s="8">
        <f t="shared" si="1"/>
        <v>2426006.5502365162</v>
      </c>
      <c r="K45" s="8">
        <f t="shared" si="1"/>
        <v>2457499.9375605583</v>
      </c>
      <c r="L45" s="8">
        <f t="shared" si="1"/>
        <v>2488965.87168846</v>
      </c>
      <c r="M45" s="8">
        <f t="shared" si="1"/>
        <v>2519864.3789321906</v>
      </c>
      <c r="N45" s="8">
        <f t="shared" si="1"/>
        <v>2543713.070813939</v>
      </c>
      <c r="O45" s="8">
        <f t="shared" si="1"/>
        <v>2569140.1606834959</v>
      </c>
      <c r="P45" s="8">
        <f t="shared" si="1"/>
        <v>2600414.4001169349</v>
      </c>
      <c r="Q45" s="8">
        <f t="shared" si="1"/>
        <v>2642954.7088944176</v>
      </c>
      <c r="R45" s="8">
        <f t="shared" si="1"/>
        <v>2704855.8244611733</v>
      </c>
      <c r="S45" s="8">
        <f t="shared" si="1"/>
        <v>2787589.7657644767</v>
      </c>
      <c r="T45" s="8"/>
      <c r="U45" s="8"/>
      <c r="V45" s="8"/>
      <c r="W45" s="8"/>
      <c r="X45" s="8"/>
      <c r="Y45" s="8"/>
      <c r="Z45" s="8"/>
      <c r="AA45" s="8"/>
      <c r="AB45" s="8"/>
      <c r="AC45" s="8"/>
      <c r="AD45" s="8"/>
      <c r="AE45" s="8"/>
    </row>
    <row r="46" spans="2:31">
      <c r="B46" s="4" t="s">
        <v>238</v>
      </c>
      <c r="C46" s="4" t="s">
        <v>461</v>
      </c>
      <c r="D46" s="8">
        <f t="shared" si="0"/>
        <v>1764230.3544579931</v>
      </c>
      <c r="E46" s="8">
        <f t="shared" si="1"/>
        <v>1817025.1540553598</v>
      </c>
      <c r="F46" s="8">
        <f t="shared" si="1"/>
        <v>1869489.1176954955</v>
      </c>
      <c r="G46" s="8">
        <f t="shared" si="1"/>
        <v>1915276.1679827301</v>
      </c>
      <c r="H46" s="8">
        <f t="shared" si="1"/>
        <v>1954071.8812693153</v>
      </c>
      <c r="I46" s="8">
        <f t="shared" si="1"/>
        <v>1989167.1847394744</v>
      </c>
      <c r="J46" s="8">
        <f t="shared" si="1"/>
        <v>2027273.9738517515</v>
      </c>
      <c r="K46" s="8">
        <f t="shared" si="1"/>
        <v>2060787.7174674771</v>
      </c>
      <c r="L46" s="8">
        <f t="shared" si="1"/>
        <v>2096875.1756469533</v>
      </c>
      <c r="M46" s="8">
        <f t="shared" si="1"/>
        <v>2135891.5425037853</v>
      </c>
      <c r="N46" s="8">
        <f t="shared" si="1"/>
        <v>2181892.8664297685</v>
      </c>
      <c r="O46" s="8">
        <f t="shared" si="1"/>
        <v>2224828.9046084867</v>
      </c>
      <c r="P46" s="8">
        <f t="shared" si="1"/>
        <v>2266653.9979024148</v>
      </c>
      <c r="Q46" s="8">
        <f t="shared" si="1"/>
        <v>2306635.2569692405</v>
      </c>
      <c r="R46" s="8">
        <f t="shared" si="1"/>
        <v>2344758.894952687</v>
      </c>
      <c r="S46" s="8">
        <f t="shared" si="1"/>
        <v>2376586.0646457542</v>
      </c>
      <c r="T46" s="8"/>
      <c r="U46" s="8"/>
      <c r="V46" s="8"/>
      <c r="W46" s="8"/>
      <c r="X46" s="8"/>
      <c r="Y46" s="8"/>
      <c r="Z46" s="8"/>
      <c r="AA46" s="8"/>
      <c r="AB46" s="8"/>
      <c r="AC46" s="8"/>
      <c r="AD46" s="8"/>
      <c r="AE46" s="8"/>
    </row>
    <row r="47" spans="2:31">
      <c r="B47" s="4" t="s">
        <v>238</v>
      </c>
      <c r="C47" s="4" t="s">
        <v>462</v>
      </c>
      <c r="D47" s="8">
        <f t="shared" si="0"/>
        <v>1329389.0798215116</v>
      </c>
      <c r="E47" s="8">
        <f t="shared" si="1"/>
        <v>1379172.7982592471</v>
      </c>
      <c r="F47" s="8">
        <f t="shared" si="1"/>
        <v>1429783.5854864833</v>
      </c>
      <c r="G47" s="8">
        <f t="shared" si="1"/>
        <v>1479354.566487778</v>
      </c>
      <c r="H47" s="8">
        <f t="shared" si="1"/>
        <v>1527615.6244266089</v>
      </c>
      <c r="I47" s="8">
        <f t="shared" si="1"/>
        <v>1575618.9268020266</v>
      </c>
      <c r="J47" s="8">
        <f t="shared" si="1"/>
        <v>1619558.3030534093</v>
      </c>
      <c r="K47" s="8">
        <f t="shared" si="1"/>
        <v>1666777.8802148432</v>
      </c>
      <c r="L47" s="8">
        <f t="shared" si="1"/>
        <v>1712013.4658937883</v>
      </c>
      <c r="M47" s="8">
        <f t="shared" si="1"/>
        <v>1754682.8381069198</v>
      </c>
      <c r="N47" s="8">
        <f t="shared" si="1"/>
        <v>1794618.5909412422</v>
      </c>
      <c r="O47" s="8">
        <f t="shared" si="1"/>
        <v>1837002.6181925978</v>
      </c>
      <c r="P47" s="8">
        <f t="shared" si="1"/>
        <v>1875187.402403347</v>
      </c>
      <c r="Q47" s="8">
        <f t="shared" si="1"/>
        <v>1914929.4649251399</v>
      </c>
      <c r="R47" s="8">
        <f t="shared" si="1"/>
        <v>1956905.5845540189</v>
      </c>
      <c r="S47" s="8">
        <f t="shared" si="1"/>
        <v>2005844.5663793841</v>
      </c>
      <c r="T47" s="8"/>
      <c r="U47" s="8"/>
      <c r="V47" s="8"/>
      <c r="W47" s="8"/>
      <c r="X47" s="8"/>
      <c r="Y47" s="8"/>
      <c r="Z47" s="8"/>
      <c r="AA47" s="8"/>
      <c r="AB47" s="8"/>
      <c r="AC47" s="8"/>
      <c r="AD47" s="8"/>
      <c r="AE47" s="8"/>
    </row>
    <row r="48" spans="2:31">
      <c r="B48" s="4" t="s">
        <v>238</v>
      </c>
      <c r="C48" s="4" t="s">
        <v>463</v>
      </c>
      <c r="D48" s="8">
        <f t="shared" si="0"/>
        <v>1050240.5425680382</v>
      </c>
      <c r="E48" s="8">
        <f t="shared" si="1"/>
        <v>1062424.1394908745</v>
      </c>
      <c r="F48" s="8">
        <f t="shared" si="1"/>
        <v>1078015.8879184781</v>
      </c>
      <c r="G48" s="8">
        <f t="shared" si="1"/>
        <v>1100058.6142329103</v>
      </c>
      <c r="H48" s="8">
        <f t="shared" si="1"/>
        <v>1129011.9622392813</v>
      </c>
      <c r="I48" s="8">
        <f t="shared" si="1"/>
        <v>1163466.6081043845</v>
      </c>
      <c r="J48" s="8">
        <f t="shared" si="1"/>
        <v>1205559.9491796596</v>
      </c>
      <c r="K48" s="8">
        <f t="shared" si="1"/>
        <v>1250233.7212277318</v>
      </c>
      <c r="L48" s="8">
        <f t="shared" si="1"/>
        <v>1295831.7738352676</v>
      </c>
      <c r="M48" s="8">
        <f t="shared" si="1"/>
        <v>1341984.9962259158</v>
      </c>
      <c r="N48" s="8">
        <f t="shared" si="1"/>
        <v>1388528.5599642689</v>
      </c>
      <c r="O48" s="8">
        <f t="shared" si="1"/>
        <v>1431474.1302897953</v>
      </c>
      <c r="P48" s="8">
        <f t="shared" si="1"/>
        <v>1477474.6333403995</v>
      </c>
      <c r="Q48" s="8">
        <f t="shared" si="1"/>
        <v>1521801.6052448275</v>
      </c>
      <c r="R48" s="8">
        <f t="shared" si="1"/>
        <v>1564163.5140161975</v>
      </c>
      <c r="S48" s="8">
        <f t="shared" si="1"/>
        <v>1604738.7071671223</v>
      </c>
      <c r="T48" s="8"/>
      <c r="U48" s="8"/>
      <c r="V48" s="8"/>
      <c r="W48" s="8"/>
      <c r="X48" s="8"/>
      <c r="Y48" s="8"/>
      <c r="Z48" s="8"/>
      <c r="AA48" s="8"/>
      <c r="AB48" s="8"/>
      <c r="AC48" s="8"/>
      <c r="AD48" s="8"/>
      <c r="AE48" s="8"/>
    </row>
    <row r="49" spans="2:31">
      <c r="B49" s="4" t="s">
        <v>238</v>
      </c>
      <c r="C49" s="4" t="s">
        <v>464</v>
      </c>
      <c r="D49" s="8">
        <f t="shared" si="0"/>
        <v>806030.48641084554</v>
      </c>
      <c r="E49" s="8">
        <f t="shared" si="1"/>
        <v>824032.48110215762</v>
      </c>
      <c r="F49" s="8">
        <f t="shared" si="1"/>
        <v>842686.8970880257</v>
      </c>
      <c r="G49" s="8">
        <f t="shared" si="1"/>
        <v>858140.75115234265</v>
      </c>
      <c r="H49" s="8">
        <f t="shared" si="1"/>
        <v>869627.61831329972</v>
      </c>
      <c r="I49" s="8">
        <f t="shared" si="1"/>
        <v>879765.58598470886</v>
      </c>
      <c r="J49" s="8">
        <f t="shared" si="1"/>
        <v>889497.0854994792</v>
      </c>
      <c r="K49" s="8">
        <f t="shared" si="1"/>
        <v>903396.29872380826</v>
      </c>
      <c r="L49" s="8">
        <f t="shared" si="1"/>
        <v>923792.64607596979</v>
      </c>
      <c r="M49" s="8">
        <f t="shared" si="1"/>
        <v>950960.28750370548</v>
      </c>
      <c r="N49" s="8">
        <f t="shared" si="1"/>
        <v>983277.62302065513</v>
      </c>
      <c r="O49" s="8">
        <f t="shared" si="1"/>
        <v>1022094.158940505</v>
      </c>
      <c r="P49" s="8">
        <f t="shared" si="1"/>
        <v>1063018.7699331711</v>
      </c>
      <c r="Q49" s="8">
        <f t="shared" si="1"/>
        <v>1104859.7766497452</v>
      </c>
      <c r="R49" s="8">
        <f t="shared" si="1"/>
        <v>1147464.8044988569</v>
      </c>
      <c r="S49" s="8">
        <f t="shared" si="1"/>
        <v>1190825.1248793432</v>
      </c>
      <c r="T49" s="8"/>
      <c r="U49" s="8"/>
      <c r="V49" s="8"/>
      <c r="W49" s="8"/>
      <c r="X49" s="8"/>
      <c r="Y49" s="8"/>
      <c r="Z49" s="8"/>
      <c r="AA49" s="8"/>
      <c r="AB49" s="8"/>
      <c r="AC49" s="8"/>
      <c r="AD49" s="8"/>
      <c r="AE49" s="8"/>
    </row>
    <row r="50" spans="2:31">
      <c r="B50" s="4" t="s">
        <v>238</v>
      </c>
      <c r="C50" s="4" t="s">
        <v>465</v>
      </c>
      <c r="D50" s="8">
        <f t="shared" si="0"/>
        <v>596532.31707240921</v>
      </c>
      <c r="E50" s="8">
        <f t="shared" si="1"/>
        <v>600450.47683628101</v>
      </c>
      <c r="F50" s="8">
        <f t="shared" si="1"/>
        <v>604719.07060160406</v>
      </c>
      <c r="G50" s="8">
        <f t="shared" si="1"/>
        <v>611685.20128479321</v>
      </c>
      <c r="H50" s="8">
        <f t="shared" si="1"/>
        <v>621036.42685514456</v>
      </c>
      <c r="I50" s="8">
        <f t="shared" si="1"/>
        <v>632740.90582694532</v>
      </c>
      <c r="J50" s="8">
        <f t="shared" si="1"/>
        <v>646880.03001508489</v>
      </c>
      <c r="K50" s="8">
        <f t="shared" si="1"/>
        <v>661993.03750673681</v>
      </c>
      <c r="L50" s="8">
        <f t="shared" si="1"/>
        <v>675256.25161686714</v>
      </c>
      <c r="M50" s="8">
        <f t="shared" si="1"/>
        <v>686052.98589809285</v>
      </c>
      <c r="N50" s="8">
        <f t="shared" si="1"/>
        <v>696302.87641638622</v>
      </c>
      <c r="O50" s="8">
        <f t="shared" si="1"/>
        <v>706556.26655351697</v>
      </c>
      <c r="P50" s="8">
        <f t="shared" si="1"/>
        <v>720197.46631254733</v>
      </c>
      <c r="Q50" s="8">
        <f t="shared" si="1"/>
        <v>739318.23103079246</v>
      </c>
      <c r="R50" s="8">
        <f t="shared" si="1"/>
        <v>764217.67244824092</v>
      </c>
      <c r="S50" s="8">
        <f t="shared" si="1"/>
        <v>793615.96736036835</v>
      </c>
      <c r="T50" s="8"/>
      <c r="U50" s="8"/>
      <c r="V50" s="8"/>
      <c r="W50" s="8"/>
      <c r="X50" s="8"/>
      <c r="Y50" s="8"/>
      <c r="Z50" s="8"/>
      <c r="AA50" s="8"/>
      <c r="AB50" s="8"/>
      <c r="AC50" s="8"/>
      <c r="AD50" s="8"/>
      <c r="AE50" s="8"/>
    </row>
    <row r="51" spans="2:31">
      <c r="B51" s="4" t="s">
        <v>238</v>
      </c>
      <c r="C51" s="4" t="s">
        <v>466</v>
      </c>
      <c r="D51" s="8">
        <f t="shared" si="0"/>
        <v>409293.50017699576</v>
      </c>
      <c r="E51" s="8">
        <f t="shared" si="1"/>
        <v>412126.95241685235</v>
      </c>
      <c r="F51" s="8">
        <f t="shared" si="1"/>
        <v>415100.1244860678</v>
      </c>
      <c r="G51" s="8">
        <f t="shared" si="1"/>
        <v>418201.60375502135</v>
      </c>
      <c r="H51" s="8">
        <f t="shared" si="1"/>
        <v>422052.74877855857</v>
      </c>
      <c r="I51" s="8">
        <f t="shared" si="1"/>
        <v>425163.68643895967</v>
      </c>
      <c r="J51" s="8">
        <f t="shared" si="1"/>
        <v>428494.30667161057</v>
      </c>
      <c r="K51" s="8">
        <f t="shared" si="1"/>
        <v>432563.75024382526</v>
      </c>
      <c r="L51" s="8">
        <f t="shared" si="1"/>
        <v>438848.85447274789</v>
      </c>
      <c r="M51" s="8">
        <f t="shared" si="1"/>
        <v>447173.42998105614</v>
      </c>
      <c r="N51" s="8">
        <f t="shared" si="1"/>
        <v>457407.9486168914</v>
      </c>
      <c r="O51" s="8">
        <f t="shared" si="1"/>
        <v>469548.81329931313</v>
      </c>
      <c r="P51" s="8">
        <f t="shared" si="1"/>
        <v>482219.418026714</v>
      </c>
      <c r="Q51" s="8">
        <f t="shared" si="1"/>
        <v>493804.44040978694</v>
      </c>
      <c r="R51" s="8">
        <f t="shared" si="1"/>
        <v>503934.37552795</v>
      </c>
      <c r="S51" s="8">
        <f t="shared" si="1"/>
        <v>513955.18231504207</v>
      </c>
      <c r="T51" s="8"/>
      <c r="U51" s="8"/>
      <c r="V51" s="8"/>
      <c r="W51" s="8"/>
      <c r="X51" s="8"/>
      <c r="Y51" s="8"/>
      <c r="Z51" s="8"/>
      <c r="AA51" s="8"/>
      <c r="AB51" s="8"/>
      <c r="AC51" s="8"/>
      <c r="AD51" s="8"/>
      <c r="AE51" s="8"/>
    </row>
    <row r="52" spans="2:31">
      <c r="B52" s="4" t="s">
        <v>238</v>
      </c>
      <c r="C52" s="4" t="s">
        <v>467</v>
      </c>
      <c r="D52" s="8">
        <f t="shared" si="0"/>
        <v>385923.53577334783</v>
      </c>
      <c r="E52" s="8">
        <f t="shared" ref="E52:S52" si="3">SUM(E18,E35)</f>
        <v>392944.91036075552</v>
      </c>
      <c r="F52" s="8">
        <f t="shared" si="3"/>
        <v>399433.95098140533</v>
      </c>
      <c r="G52" s="8">
        <f t="shared" si="3"/>
        <v>405573.60052047146</v>
      </c>
      <c r="H52" s="8">
        <f t="shared" si="3"/>
        <v>411469.44998435728</v>
      </c>
      <c r="I52" s="8">
        <f t="shared" si="3"/>
        <v>417155.11681451846</v>
      </c>
      <c r="J52" s="8">
        <f t="shared" si="3"/>
        <v>422898.22331522044</v>
      </c>
      <c r="K52" s="8">
        <f t="shared" si="3"/>
        <v>428717.88711921929</v>
      </c>
      <c r="L52" s="8">
        <f t="shared" si="3"/>
        <v>434671.11683951592</v>
      </c>
      <c r="M52" s="8">
        <f t="shared" si="3"/>
        <v>441212.6372653672</v>
      </c>
      <c r="N52" s="8">
        <f t="shared" si="3"/>
        <v>447415.04058750701</v>
      </c>
      <c r="O52" s="8">
        <f t="shared" si="3"/>
        <v>453940.23314613174</v>
      </c>
      <c r="P52" s="8">
        <f t="shared" si="3"/>
        <v>461033.52444955136</v>
      </c>
      <c r="Q52" s="8">
        <f t="shared" si="3"/>
        <v>469940.3482520901</v>
      </c>
      <c r="R52" s="8">
        <f t="shared" si="3"/>
        <v>480770.67341976665</v>
      </c>
      <c r="S52" s="8">
        <f t="shared" si="3"/>
        <v>492684.3769059148</v>
      </c>
      <c r="T52" s="8"/>
      <c r="U52" s="8"/>
      <c r="V52" s="8"/>
      <c r="W52" s="8"/>
      <c r="X52" s="8"/>
      <c r="Y52" s="8"/>
      <c r="Z52" s="8"/>
      <c r="AA52" s="8"/>
      <c r="AB52" s="8"/>
      <c r="AC52" s="8"/>
      <c r="AD52" s="8"/>
      <c r="AE52" s="8"/>
    </row>
    <row r="53" spans="2:31">
      <c r="B53" s="4" t="s">
        <v>238</v>
      </c>
      <c r="C53" s="4" t="s">
        <v>405</v>
      </c>
      <c r="D53" s="8">
        <f>SUM(D36:D52)</f>
        <v>45920830.60581132</v>
      </c>
      <c r="E53" s="8">
        <f t="shared" ref="E53:S53" si="4">SUM(E36:E52)</f>
        <v>46460581.460293256</v>
      </c>
      <c r="F53" s="8">
        <f t="shared" si="4"/>
        <v>47020712.718385331</v>
      </c>
      <c r="G53" s="8">
        <f t="shared" si="4"/>
        <v>47601908.747902565</v>
      </c>
      <c r="H53" s="8">
        <f t="shared" si="4"/>
        <v>48204889.342458755</v>
      </c>
      <c r="I53" s="8">
        <f t="shared" si="4"/>
        <v>48830411.27721332</v>
      </c>
      <c r="J53" s="8">
        <f t="shared" si="4"/>
        <v>49479269.956593297</v>
      </c>
      <c r="K53" s="8">
        <f t="shared" si="4"/>
        <v>50152301.159275018</v>
      </c>
      <c r="L53" s="8">
        <f t="shared" si="4"/>
        <v>50850382.886067465</v>
      </c>
      <c r="M53" s="8">
        <f t="shared" si="4"/>
        <v>51574437.316718385</v>
      </c>
      <c r="N53" s="8">
        <f t="shared" si="4"/>
        <v>52325432.882070079</v>
      </c>
      <c r="O53" s="8">
        <f t="shared" si="4"/>
        <v>53104386.458423346</v>
      </c>
      <c r="P53" s="8">
        <f t="shared" si="4"/>
        <v>53912365.691429272</v>
      </c>
      <c r="Q53" s="8">
        <f t="shared" si="4"/>
        <v>54750491.457321115</v>
      </c>
      <c r="R53" s="8">
        <f t="shared" si="4"/>
        <v>55619940.469824828</v>
      </c>
      <c r="S53" s="8">
        <f t="shared" si="4"/>
        <v>56521948.041648097</v>
      </c>
      <c r="T53" s="8"/>
      <c r="U53" s="8"/>
      <c r="V53" s="8"/>
      <c r="W53" s="8"/>
      <c r="X53" s="8"/>
      <c r="Y53" s="8"/>
      <c r="Z53" s="8"/>
      <c r="AA53" s="8"/>
      <c r="AB53" s="8"/>
      <c r="AC53" s="8"/>
      <c r="AD53" s="8"/>
      <c r="AE53" s="8"/>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4:AU163"/>
  <sheetViews>
    <sheetView topLeftCell="A121" workbookViewId="0">
      <selection activeCell="B164" sqref="B164"/>
    </sheetView>
    <sheetView workbookViewId="1"/>
  </sheetViews>
  <sheetFormatPr defaultColWidth="8.7109375" defaultRowHeight="15"/>
  <cols>
    <col min="1" max="16384" width="8.7109375" style="185"/>
  </cols>
  <sheetData>
    <row r="4" spans="1:40">
      <c r="A4" s="185" t="s">
        <v>608</v>
      </c>
    </row>
    <row r="5" spans="1:40">
      <c r="B5" s="35" t="s">
        <v>553</v>
      </c>
      <c r="C5" s="35" t="s">
        <v>562</v>
      </c>
      <c r="D5" s="35" t="s">
        <v>563</v>
      </c>
      <c r="E5" s="35" t="s">
        <v>554</v>
      </c>
      <c r="F5" s="35" t="s">
        <v>564</v>
      </c>
      <c r="G5" s="35" t="s">
        <v>565</v>
      </c>
      <c r="H5" s="35" t="s">
        <v>566</v>
      </c>
      <c r="I5" s="35" t="s">
        <v>567</v>
      </c>
      <c r="J5" s="35" t="s">
        <v>555</v>
      </c>
      <c r="K5" s="35" t="s">
        <v>568</v>
      </c>
      <c r="L5" s="35" t="s">
        <v>569</v>
      </c>
      <c r="M5" s="35" t="s">
        <v>570</v>
      </c>
      <c r="N5" s="35" t="s">
        <v>571</v>
      </c>
      <c r="O5" s="35" t="s">
        <v>556</v>
      </c>
      <c r="P5" s="35" t="s">
        <v>572</v>
      </c>
      <c r="Q5" s="35" t="s">
        <v>573</v>
      </c>
      <c r="R5" s="35" t="s">
        <v>574</v>
      </c>
      <c r="S5" s="35" t="s">
        <v>575</v>
      </c>
      <c r="T5" s="35" t="s">
        <v>557</v>
      </c>
      <c r="U5" s="35" t="s">
        <v>576</v>
      </c>
      <c r="V5" s="35" t="s">
        <v>577</v>
      </c>
      <c r="W5" s="35" t="s">
        <v>578</v>
      </c>
      <c r="X5" s="35" t="s">
        <v>579</v>
      </c>
      <c r="Y5" s="35" t="s">
        <v>558</v>
      </c>
      <c r="Z5" s="35" t="s">
        <v>580</v>
      </c>
      <c r="AA5" s="35" t="s">
        <v>581</v>
      </c>
      <c r="AB5" s="35" t="s">
        <v>582</v>
      </c>
      <c r="AC5" s="35" t="s">
        <v>583</v>
      </c>
      <c r="AD5" s="35" t="s">
        <v>559</v>
      </c>
      <c r="AE5" s="35" t="s">
        <v>584</v>
      </c>
      <c r="AF5" s="35" t="s">
        <v>585</v>
      </c>
      <c r="AG5" s="35" t="s">
        <v>586</v>
      </c>
      <c r="AH5" s="35" t="s">
        <v>587</v>
      </c>
      <c r="AI5" s="35" t="s">
        <v>560</v>
      </c>
      <c r="AJ5" s="35" t="s">
        <v>588</v>
      </c>
      <c r="AK5" s="35" t="s">
        <v>589</v>
      </c>
      <c r="AL5" s="35" t="s">
        <v>590</v>
      </c>
      <c r="AM5" s="35" t="s">
        <v>591</v>
      </c>
      <c r="AN5" s="35" t="s">
        <v>561</v>
      </c>
    </row>
    <row r="6" spans="1:40">
      <c r="A6" s="35" t="s">
        <v>4</v>
      </c>
      <c r="B6" s="185">
        <v>1833.8485148656705</v>
      </c>
      <c r="C6" s="185">
        <v>1886.6121543778552</v>
      </c>
      <c r="D6" s="185">
        <v>1929.9088596734236</v>
      </c>
      <c r="E6" s="185">
        <v>1960.4923036365474</v>
      </c>
      <c r="F6" s="185">
        <v>1983.2547710242566</v>
      </c>
      <c r="G6" s="185">
        <v>2006.0789129735178</v>
      </c>
      <c r="H6" s="185">
        <v>2036.972183160904</v>
      </c>
      <c r="I6" s="185">
        <v>2074.2003059734261</v>
      </c>
      <c r="J6" s="185">
        <v>1914.545399528301</v>
      </c>
      <c r="K6" s="185">
        <v>1957.2610773816891</v>
      </c>
      <c r="L6" s="185">
        <v>2002.2872838168787</v>
      </c>
      <c r="M6" s="185">
        <v>2051.2769335000403</v>
      </c>
      <c r="N6" s="185">
        <v>2104.0245070320266</v>
      </c>
      <c r="O6" s="185">
        <v>2157.2000988773989</v>
      </c>
      <c r="P6" s="185">
        <v>2216.2386918503116</v>
      </c>
      <c r="Q6" s="185">
        <v>2277.0866520702075</v>
      </c>
      <c r="R6" s="185">
        <v>2342.1075393790215</v>
      </c>
      <c r="S6" s="185">
        <v>2408.995487304207</v>
      </c>
      <c r="T6" s="185">
        <v>2468.4881674022527</v>
      </c>
      <c r="U6" s="185">
        <v>2539.0431946322601</v>
      </c>
      <c r="V6" s="185">
        <v>2611.6181489313612</v>
      </c>
      <c r="W6" s="185">
        <v>2686.3644340512401</v>
      </c>
      <c r="X6" s="10">
        <v>2759.0891878804987</v>
      </c>
      <c r="Y6" s="24">
        <v>2835.9490382924259</v>
      </c>
      <c r="Z6" s="185">
        <v>2915.3222561629782</v>
      </c>
      <c r="AA6" s="185">
        <v>2997.7985510673598</v>
      </c>
      <c r="AB6" s="185">
        <v>3079.8807643862083</v>
      </c>
      <c r="AC6" s="185">
        <v>3164.7988750291743</v>
      </c>
      <c r="AD6" s="185">
        <v>3254.7047790794968</v>
      </c>
      <c r="AE6" s="185">
        <v>3348.9964072010525</v>
      </c>
      <c r="AF6" s="185">
        <v>3447.4307579315109</v>
      </c>
      <c r="AG6" s="185">
        <v>3549.9976521140461</v>
      </c>
      <c r="AH6" s="185">
        <v>3656.5174335620486</v>
      </c>
      <c r="AI6" s="185">
        <v>3767.7621351917451</v>
      </c>
      <c r="AJ6" s="185">
        <v>3873.7774921325872</v>
      </c>
      <c r="AK6" s="185">
        <v>3984.0902474336522</v>
      </c>
      <c r="AL6" s="185">
        <v>4099.5151623032189</v>
      </c>
      <c r="AM6" s="185">
        <v>4220.6813951424811</v>
      </c>
      <c r="AN6" s="185">
        <v>4350.0492909027143</v>
      </c>
    </row>
    <row r="7" spans="1:40">
      <c r="A7" s="35" t="s">
        <v>639</v>
      </c>
      <c r="B7" s="185">
        <v>69.817113338466598</v>
      </c>
      <c r="C7" s="185">
        <v>72.819731017164969</v>
      </c>
      <c r="D7" s="185">
        <v>75.472008813799022</v>
      </c>
      <c r="E7" s="185">
        <v>74.274927600037842</v>
      </c>
      <c r="F7" s="185">
        <v>73.26059197587216</v>
      </c>
      <c r="G7" s="185">
        <v>75.493823257911487</v>
      </c>
      <c r="H7" s="185">
        <v>74.303648694490207</v>
      </c>
      <c r="I7" s="185">
        <v>73.1945218840509</v>
      </c>
      <c r="J7" s="185">
        <v>70.325700988606158</v>
      </c>
      <c r="K7" s="185">
        <v>72.079600677576877</v>
      </c>
      <c r="L7" s="185">
        <v>74.097267383773996</v>
      </c>
      <c r="M7" s="185">
        <v>75.83751945163533</v>
      </c>
      <c r="N7" s="185">
        <v>77.576110521025043</v>
      </c>
      <c r="O7" s="185">
        <v>79.396606124967263</v>
      </c>
      <c r="P7" s="185">
        <v>81.224836721269554</v>
      </c>
      <c r="Q7" s="185">
        <v>83.015421229038807</v>
      </c>
      <c r="R7" s="185">
        <v>84.71879762829046</v>
      </c>
      <c r="S7" s="185">
        <v>86.40947079839232</v>
      </c>
      <c r="T7" s="185">
        <v>87.917074260425011</v>
      </c>
      <c r="U7" s="185">
        <v>89.948274996445477</v>
      </c>
      <c r="V7" s="185">
        <v>91.858597961990753</v>
      </c>
      <c r="W7" s="185">
        <v>93.636661953392263</v>
      </c>
      <c r="X7" s="185">
        <v>95.295599787555759</v>
      </c>
      <c r="Y7" s="185">
        <v>97.196418455885137</v>
      </c>
      <c r="Z7" s="185">
        <v>99.048946074573934</v>
      </c>
      <c r="AA7" s="185">
        <v>100.96742638628118</v>
      </c>
      <c r="AB7" s="185">
        <v>102.82399638424677</v>
      </c>
      <c r="AC7" s="185">
        <v>104.72881393465261</v>
      </c>
      <c r="AD7" s="185">
        <v>106.73410403014014</v>
      </c>
      <c r="AE7" s="185">
        <v>108.83032335584873</v>
      </c>
      <c r="AF7" s="185">
        <v>110.98712564413881</v>
      </c>
      <c r="AG7" s="185">
        <v>113.13803634297587</v>
      </c>
      <c r="AH7" s="185">
        <v>115.35753088013288</v>
      </c>
      <c r="AI7" s="185">
        <v>117.7224288535422</v>
      </c>
      <c r="AJ7" s="185">
        <v>119.86545963689662</v>
      </c>
      <c r="AK7" s="185">
        <v>122.16956564028087</v>
      </c>
      <c r="AL7" s="185">
        <v>124.66155698786915</v>
      </c>
      <c r="AM7" s="185">
        <v>127.27859211459484</v>
      </c>
      <c r="AN7" s="185">
        <v>130.07284907210411</v>
      </c>
    </row>
    <row r="8" spans="1:40">
      <c r="A8" s="35" t="s">
        <v>387</v>
      </c>
      <c r="B8" s="185">
        <v>205.448728044604</v>
      </c>
      <c r="C8" s="185">
        <v>211.2700110992823</v>
      </c>
      <c r="D8" s="185">
        <v>212.6655009618502</v>
      </c>
      <c r="E8" s="185">
        <v>219.65714422943788</v>
      </c>
      <c r="F8" s="185">
        <v>216.49078103790811</v>
      </c>
      <c r="G8" s="185">
        <v>222.77267087886864</v>
      </c>
      <c r="H8" s="185">
        <v>221.2538387586481</v>
      </c>
      <c r="I8" s="185">
        <v>218.49393691475751</v>
      </c>
      <c r="J8" s="185">
        <v>200.31349989514737</v>
      </c>
      <c r="K8" s="185">
        <v>203.22082571680417</v>
      </c>
      <c r="L8" s="185">
        <v>206.04503931752927</v>
      </c>
      <c r="M8" s="185">
        <v>209.17533429709937</v>
      </c>
      <c r="N8" s="185">
        <v>212.70008965049607</v>
      </c>
      <c r="O8" s="185">
        <v>216.19285695376888</v>
      </c>
      <c r="P8" s="185">
        <v>220.13897245284642</v>
      </c>
      <c r="Q8" s="185">
        <v>224.09500011180839</v>
      </c>
      <c r="R8" s="185">
        <v>228.49727535493759</v>
      </c>
      <c r="S8" s="185">
        <v>233.65217893638649</v>
      </c>
      <c r="T8" s="185">
        <v>238.16471989379443</v>
      </c>
      <c r="U8" s="185">
        <v>244.02805015212999</v>
      </c>
      <c r="V8" s="185">
        <v>250.54508009252402</v>
      </c>
      <c r="W8" s="185">
        <v>257.12210961450603</v>
      </c>
      <c r="X8" s="185">
        <v>263.79765227613524</v>
      </c>
      <c r="Y8" s="185">
        <v>272.00142752639778</v>
      </c>
      <c r="Z8" s="185">
        <v>279.41383286232161</v>
      </c>
      <c r="AA8" s="185">
        <v>286.93308960844996</v>
      </c>
      <c r="AB8" s="185">
        <v>294.21123044543191</v>
      </c>
      <c r="AC8" s="185">
        <v>301.65537999466676</v>
      </c>
      <c r="AD8" s="185">
        <v>309.46142024394663</v>
      </c>
      <c r="AE8" s="185">
        <v>317.22561591282499</v>
      </c>
      <c r="AF8" s="185">
        <v>325.12258386847782</v>
      </c>
      <c r="AG8" s="185">
        <v>333.19383166211566</v>
      </c>
      <c r="AH8" s="185">
        <v>341.49372872513675</v>
      </c>
      <c r="AI8" s="185">
        <v>350.13524625780695</v>
      </c>
      <c r="AJ8" s="185">
        <v>358.13243981411591</v>
      </c>
      <c r="AK8" s="185">
        <v>366.44623228675266</v>
      </c>
      <c r="AL8" s="185">
        <v>375.16121695849682</v>
      </c>
      <c r="AM8" s="185">
        <v>384.32207188338714</v>
      </c>
      <c r="AN8" s="185">
        <v>394.20982945516573</v>
      </c>
    </row>
    <row r="9" spans="1:40">
      <c r="A9" s="35" t="s">
        <v>522</v>
      </c>
      <c r="B9" s="185">
        <v>93.09690942833015</v>
      </c>
      <c r="C9" s="185">
        <v>95.064855171375669</v>
      </c>
      <c r="D9" s="185">
        <v>96.400077661477354</v>
      </c>
      <c r="E9" s="185">
        <v>96.617861286112102</v>
      </c>
      <c r="F9" s="185">
        <v>97.654818305582012</v>
      </c>
      <c r="G9" s="185">
        <v>97.862455274201025</v>
      </c>
      <c r="H9" s="185">
        <v>98.609954424293107</v>
      </c>
      <c r="I9" s="185">
        <v>97.964584789862243</v>
      </c>
      <c r="J9" s="185">
        <v>92.646489203328827</v>
      </c>
      <c r="K9" s="185">
        <v>95.03041242813778</v>
      </c>
      <c r="L9" s="185">
        <v>97.485838278771098</v>
      </c>
      <c r="M9" s="185">
        <v>99.77593398947829</v>
      </c>
      <c r="N9" s="185">
        <v>102.1635426368112</v>
      </c>
      <c r="O9" s="185">
        <v>104.60035225495045</v>
      </c>
      <c r="P9" s="185">
        <v>107.07694947006603</v>
      </c>
      <c r="Q9" s="185">
        <v>109.49041679677798</v>
      </c>
      <c r="R9" s="185">
        <v>112.02696547098452</v>
      </c>
      <c r="S9" s="185">
        <v>114.5350089727569</v>
      </c>
      <c r="T9" s="185">
        <v>116.72534002734352</v>
      </c>
      <c r="U9" s="185">
        <v>119.41291133682695</v>
      </c>
      <c r="V9" s="185">
        <v>122.13561690535352</v>
      </c>
      <c r="W9" s="185">
        <v>124.73806971931842</v>
      </c>
      <c r="X9" s="185">
        <v>127.26382097220295</v>
      </c>
      <c r="Y9" s="185">
        <v>130.22505419824279</v>
      </c>
      <c r="Z9" s="185">
        <v>132.95638539516673</v>
      </c>
      <c r="AA9" s="185">
        <v>135.74521610666449</v>
      </c>
      <c r="AB9" s="185">
        <v>138.39843779341157</v>
      </c>
      <c r="AC9" s="185">
        <v>141.11496840750539</v>
      </c>
      <c r="AD9" s="185">
        <v>143.96077026055309</v>
      </c>
      <c r="AE9" s="185">
        <v>146.92167586011277</v>
      </c>
      <c r="AF9" s="185">
        <v>149.90266826654346</v>
      </c>
      <c r="AG9" s="185">
        <v>152.92006309932941</v>
      </c>
      <c r="AH9" s="185">
        <v>156.0911313412185</v>
      </c>
      <c r="AI9" s="185">
        <v>159.46543030187945</v>
      </c>
      <c r="AJ9" s="185">
        <v>162.50807836854915</v>
      </c>
      <c r="AK9" s="185">
        <v>165.69750350631548</v>
      </c>
      <c r="AL9" s="185">
        <v>169.0152244595489</v>
      </c>
      <c r="AM9" s="185">
        <v>172.44314538089333</v>
      </c>
      <c r="AN9" s="185">
        <v>176.11001666062612</v>
      </c>
    </row>
    <row r="10" spans="1:40">
      <c r="A10" s="35" t="s">
        <v>523</v>
      </c>
      <c r="B10" s="185">
        <v>235.49802282756352</v>
      </c>
      <c r="C10" s="185">
        <v>242.13307836562956</v>
      </c>
      <c r="D10" s="185">
        <v>246.28265922314233</v>
      </c>
      <c r="E10" s="185">
        <v>249.43440425835786</v>
      </c>
      <c r="F10" s="185">
        <v>251.65581640876391</v>
      </c>
      <c r="G10" s="185">
        <v>252.75021516356861</v>
      </c>
      <c r="H10" s="185">
        <v>255.36564207593528</v>
      </c>
      <c r="I10" s="185">
        <v>255.83896455730644</v>
      </c>
      <c r="J10" s="185">
        <v>231.21220107940408</v>
      </c>
      <c r="K10" s="185">
        <v>237.27430963578766</v>
      </c>
      <c r="L10" s="185">
        <v>243.43820579760768</v>
      </c>
      <c r="M10" s="185">
        <v>250.0252729216615</v>
      </c>
      <c r="N10" s="185">
        <v>257.0393389716665</v>
      </c>
      <c r="O10" s="185">
        <v>264.01983750733473</v>
      </c>
      <c r="P10" s="185">
        <v>271.72429020362813</v>
      </c>
      <c r="Q10" s="185">
        <v>279.56215318997283</v>
      </c>
      <c r="R10" s="185">
        <v>287.85104341651504</v>
      </c>
      <c r="S10" s="185">
        <v>296.17218841670399</v>
      </c>
      <c r="T10" s="185">
        <v>303.16223965681729</v>
      </c>
      <c r="U10" s="185">
        <v>311.91377494075573</v>
      </c>
      <c r="V10" s="185">
        <v>320.90515779680265</v>
      </c>
      <c r="W10" s="185">
        <v>329.99635652965821</v>
      </c>
      <c r="X10" s="185">
        <v>338.83792660845495</v>
      </c>
      <c r="Y10" s="185">
        <v>348.33269322166962</v>
      </c>
      <c r="Z10" s="185">
        <v>357.99703019358316</v>
      </c>
      <c r="AA10" s="185">
        <v>368.00188053319943</v>
      </c>
      <c r="AB10" s="185">
        <v>377.85666663181792</v>
      </c>
      <c r="AC10" s="185">
        <v>388.05037117851231</v>
      </c>
      <c r="AD10" s="185">
        <v>398.85002792330147</v>
      </c>
      <c r="AE10" s="185">
        <v>410.15688477532797</v>
      </c>
      <c r="AF10" s="185">
        <v>421.90224250085339</v>
      </c>
      <c r="AG10" s="185">
        <v>434.10875218597869</v>
      </c>
      <c r="AH10" s="185">
        <v>446.80324447498771</v>
      </c>
      <c r="AI10" s="185">
        <v>460.1203754889417</v>
      </c>
      <c r="AJ10" s="185">
        <v>472.65691554047356</v>
      </c>
      <c r="AK10" s="185">
        <v>485.73312943754831</v>
      </c>
      <c r="AL10" s="185">
        <v>499.4515636810321</v>
      </c>
      <c r="AM10" s="185">
        <v>513.88566194585428</v>
      </c>
      <c r="AN10" s="185">
        <v>529.36224934657764</v>
      </c>
    </row>
    <row r="11" spans="1:40">
      <c r="A11" s="35" t="s">
        <v>524</v>
      </c>
      <c r="B11" s="185">
        <v>17.781500762507015</v>
      </c>
      <c r="C11" s="185">
        <v>18.21809145789609</v>
      </c>
      <c r="D11" s="185">
        <v>18.567420658015568</v>
      </c>
      <c r="E11" s="185">
        <v>18.762769995550013</v>
      </c>
      <c r="F11" s="185">
        <v>19.037714230270431</v>
      </c>
      <c r="G11" s="185">
        <v>19.074701766994909</v>
      </c>
      <c r="H11" s="185">
        <v>19.42407343994682</v>
      </c>
      <c r="I11" s="185">
        <v>19.472300898786198</v>
      </c>
      <c r="J11" s="185">
        <v>17.978595103875868</v>
      </c>
      <c r="K11" s="185">
        <v>18.425580854596319</v>
      </c>
      <c r="L11" s="185">
        <v>18.875393382474392</v>
      </c>
      <c r="M11" s="185">
        <v>19.37593948814931</v>
      </c>
      <c r="N11" s="185">
        <v>19.904043035124161</v>
      </c>
      <c r="O11" s="185">
        <v>20.434676476954504</v>
      </c>
      <c r="P11" s="185">
        <v>21.051358228285224</v>
      </c>
      <c r="Q11" s="185">
        <v>21.647594038894049</v>
      </c>
      <c r="R11" s="185">
        <v>22.266043235160069</v>
      </c>
      <c r="S11" s="185">
        <v>22.909699710557216</v>
      </c>
      <c r="T11" s="185">
        <v>23.472167600372124</v>
      </c>
      <c r="U11" s="185">
        <v>24.141799581503221</v>
      </c>
      <c r="V11" s="185">
        <v>24.822594807412035</v>
      </c>
      <c r="W11" s="185">
        <v>25.49556340544002</v>
      </c>
      <c r="X11" s="185">
        <v>26.15349331496332</v>
      </c>
      <c r="Y11" s="185">
        <v>26.767784324168478</v>
      </c>
      <c r="Z11" s="185">
        <v>27.460886584388707</v>
      </c>
      <c r="AA11" s="185">
        <v>28.180547175783659</v>
      </c>
      <c r="AB11" s="185">
        <v>28.889625610088803</v>
      </c>
      <c r="AC11" s="185">
        <v>29.626578795924523</v>
      </c>
      <c r="AD11" s="185">
        <v>30.409324222456782</v>
      </c>
      <c r="AE11" s="185">
        <v>31.215558283358291</v>
      </c>
      <c r="AF11" s="185">
        <v>32.049998427479558</v>
      </c>
      <c r="AG11" s="185">
        <v>32.910738887097288</v>
      </c>
      <c r="AH11" s="185">
        <v>33.807840745570964</v>
      </c>
      <c r="AI11" s="185">
        <v>34.749774821046124</v>
      </c>
      <c r="AJ11" s="185">
        <v>35.625703852026675</v>
      </c>
      <c r="AK11" s="185">
        <v>36.542469856907495</v>
      </c>
      <c r="AL11" s="185">
        <v>37.50409193622648</v>
      </c>
      <c r="AM11" s="185">
        <v>38.516268854629871</v>
      </c>
      <c r="AN11" s="185">
        <v>39.601164848584354</v>
      </c>
    </row>
    <row r="12" spans="1:40">
      <c r="A12" s="35" t="s">
        <v>525</v>
      </c>
      <c r="B12" s="185">
        <v>52.810230956688748</v>
      </c>
      <c r="C12" s="185">
        <v>54.282362311943913</v>
      </c>
      <c r="D12" s="185">
        <v>55.219691955007207</v>
      </c>
      <c r="E12" s="185">
        <v>55.71177904843772</v>
      </c>
      <c r="F12" s="185">
        <v>56.147972175388119</v>
      </c>
      <c r="G12" s="185">
        <v>56.388632981353197</v>
      </c>
      <c r="H12" s="185">
        <v>56.935742268541119</v>
      </c>
      <c r="I12" s="185">
        <v>56.915851520215952</v>
      </c>
      <c r="J12" s="185">
        <v>52.222577111314017</v>
      </c>
      <c r="K12" s="185">
        <v>53.485625534148674</v>
      </c>
      <c r="L12" s="185">
        <v>54.772963618611712</v>
      </c>
      <c r="M12" s="185">
        <v>56.124869079913438</v>
      </c>
      <c r="N12" s="185">
        <v>57.585957657715895</v>
      </c>
      <c r="O12" s="185">
        <v>59.079383283398805</v>
      </c>
      <c r="P12" s="185">
        <v>60.65927250258617</v>
      </c>
      <c r="Q12" s="185">
        <v>62.260045747357402</v>
      </c>
      <c r="R12" s="185">
        <v>63.990528518902622</v>
      </c>
      <c r="S12" s="185">
        <v>65.756685063171986</v>
      </c>
      <c r="T12" s="185">
        <v>67.302359421755469</v>
      </c>
      <c r="U12" s="185">
        <v>69.094850913797686</v>
      </c>
      <c r="V12" s="185">
        <v>70.970000633313632</v>
      </c>
      <c r="W12" s="185">
        <v>72.841272605878572</v>
      </c>
      <c r="X12" s="185">
        <v>74.680009801299036</v>
      </c>
      <c r="Y12" s="185">
        <v>76.689487549255745</v>
      </c>
      <c r="Z12" s="185">
        <v>78.645651568328219</v>
      </c>
      <c r="AA12" s="185">
        <v>80.680897902695563</v>
      </c>
      <c r="AB12" s="185">
        <v>82.683267359520102</v>
      </c>
      <c r="AC12" s="185">
        <v>84.755595279062305</v>
      </c>
      <c r="AD12" s="185">
        <v>86.95293734444499</v>
      </c>
      <c r="AE12" s="185">
        <v>89.222401499368857</v>
      </c>
      <c r="AF12" s="185">
        <v>91.58017263387822</v>
      </c>
      <c r="AG12" s="185">
        <v>94.032631642963366</v>
      </c>
      <c r="AH12" s="185">
        <v>96.593962146369691</v>
      </c>
      <c r="AI12" s="185">
        <v>99.287066617144006</v>
      </c>
      <c r="AJ12" s="185">
        <v>101.82505005183501</v>
      </c>
      <c r="AK12" s="185">
        <v>104.47034535027582</v>
      </c>
      <c r="AL12" s="185">
        <v>107.23725071589587</v>
      </c>
      <c r="AM12" s="185">
        <v>110.14119878132441</v>
      </c>
      <c r="AN12" s="185">
        <v>113.25676411935609</v>
      </c>
    </row>
    <row r="13" spans="1:40">
      <c r="A13" s="35" t="s">
        <v>526</v>
      </c>
      <c r="B13" s="185">
        <v>14.113350558119752</v>
      </c>
      <c r="C13" s="185">
        <v>14.548721789119966</v>
      </c>
      <c r="D13" s="185">
        <v>14.815418697580203</v>
      </c>
      <c r="E13" s="185">
        <v>15.061372702819703</v>
      </c>
      <c r="F13" s="185">
        <v>15.235873493159337</v>
      </c>
      <c r="G13" s="185">
        <v>15.371374502079824</v>
      </c>
      <c r="H13" s="185">
        <v>15.552383515448332</v>
      </c>
      <c r="I13" s="185">
        <v>15.609153497571331</v>
      </c>
      <c r="J13" s="185">
        <v>14.275724652406321</v>
      </c>
      <c r="K13" s="185">
        <v>14.632592738141414</v>
      </c>
      <c r="L13" s="185">
        <v>14.998829546275548</v>
      </c>
      <c r="M13" s="185">
        <v>15.396795523093482</v>
      </c>
      <c r="N13" s="185">
        <v>15.823820610150811</v>
      </c>
      <c r="O13" s="185">
        <v>16.253232567458738</v>
      </c>
      <c r="P13" s="185">
        <v>16.7257349793129</v>
      </c>
      <c r="Q13" s="185">
        <v>17.201748391427138</v>
      </c>
      <c r="R13" s="185">
        <v>17.708895194433161</v>
      </c>
      <c r="S13" s="185">
        <v>18.240242131053403</v>
      </c>
      <c r="T13" s="185">
        <v>18.673472788437888</v>
      </c>
      <c r="U13" s="185">
        <v>19.209896031686849</v>
      </c>
      <c r="V13" s="185">
        <v>19.759109345897627</v>
      </c>
      <c r="W13" s="185">
        <v>20.315924153008183</v>
      </c>
      <c r="X13" s="185">
        <v>20.85546661362639</v>
      </c>
      <c r="Y13" s="185">
        <v>21.431818706447395</v>
      </c>
      <c r="Z13" s="185">
        <v>22.024541155299971</v>
      </c>
      <c r="AA13" s="185">
        <v>22.636627065976988</v>
      </c>
      <c r="AB13" s="185">
        <v>23.238211464117626</v>
      </c>
      <c r="AC13" s="185">
        <v>23.860936149160427</v>
      </c>
      <c r="AD13" s="185">
        <v>24.521037099566129</v>
      </c>
      <c r="AE13" s="185">
        <v>25.21661964013013</v>
      </c>
      <c r="AF13" s="185">
        <v>25.945207485839877</v>
      </c>
      <c r="AG13" s="185">
        <v>26.705694433212486</v>
      </c>
      <c r="AH13" s="185">
        <v>27.488632120441018</v>
      </c>
      <c r="AI13" s="185">
        <v>28.306253513157241</v>
      </c>
      <c r="AJ13" s="185">
        <v>29.07899575807043</v>
      </c>
      <c r="AK13" s="185">
        <v>29.886726463920347</v>
      </c>
      <c r="AL13" s="185">
        <v>30.734199731905431</v>
      </c>
      <c r="AM13" s="185">
        <v>31.62665662555618</v>
      </c>
      <c r="AN13" s="185">
        <v>32.582524336641313</v>
      </c>
    </row>
    <row r="14" spans="1:40">
      <c r="A14" s="35" t="s">
        <v>388</v>
      </c>
      <c r="B14" s="185">
        <v>13.345629432701433</v>
      </c>
      <c r="C14" s="185">
        <v>13.899973861744526</v>
      </c>
      <c r="D14" s="185">
        <v>14.241400522629307</v>
      </c>
      <c r="E14" s="185">
        <v>14.660228740858253</v>
      </c>
      <c r="F14" s="185">
        <v>14.734307821369407</v>
      </c>
      <c r="G14" s="185">
        <v>14.820136538356026</v>
      </c>
      <c r="H14" s="185">
        <v>14.834474809054743</v>
      </c>
      <c r="I14" s="185">
        <v>14.739267553174583</v>
      </c>
      <c r="J14" s="185">
        <v>12.850963128301911</v>
      </c>
      <c r="K14" s="185">
        <v>13.194214531253461</v>
      </c>
      <c r="L14" s="185">
        <v>13.463306784285843</v>
      </c>
      <c r="M14" s="185">
        <v>13.76702952833095</v>
      </c>
      <c r="N14" s="185">
        <v>14.094770559289131</v>
      </c>
      <c r="O14" s="185">
        <v>14.441316908885499</v>
      </c>
      <c r="P14" s="185">
        <v>14.774137977640024</v>
      </c>
      <c r="Q14" s="185">
        <v>15.111490993070266</v>
      </c>
      <c r="R14" s="185">
        <v>15.48015276320328</v>
      </c>
      <c r="S14" s="185">
        <v>15.903436587208263</v>
      </c>
      <c r="T14" s="185">
        <v>16.2345529006253</v>
      </c>
      <c r="U14" s="185">
        <v>16.68332773177854</v>
      </c>
      <c r="V14" s="185">
        <v>17.177801343588126</v>
      </c>
      <c r="W14" s="185">
        <v>17.632404747738843</v>
      </c>
      <c r="X14" s="185">
        <v>18.108047442152905</v>
      </c>
      <c r="Y14" s="185">
        <v>18.687220599592028</v>
      </c>
      <c r="Z14" s="185">
        <v>19.123335619478652</v>
      </c>
      <c r="AA14" s="185">
        <v>19.574212861738804</v>
      </c>
      <c r="AB14" s="185">
        <v>20.016445254151499</v>
      </c>
      <c r="AC14" s="185">
        <v>20.474336821456458</v>
      </c>
      <c r="AD14" s="185">
        <v>20.962217277389243</v>
      </c>
      <c r="AE14" s="185">
        <v>21.465139347092094</v>
      </c>
      <c r="AF14" s="185">
        <v>21.98329495211933</v>
      </c>
      <c r="AG14" s="185">
        <v>22.520032154344616</v>
      </c>
      <c r="AH14" s="185">
        <v>23.078435912261451</v>
      </c>
      <c r="AI14" s="185">
        <v>23.667355045881628</v>
      </c>
      <c r="AJ14" s="185">
        <v>24.216532537303461</v>
      </c>
      <c r="AK14" s="185">
        <v>24.785962003570585</v>
      </c>
      <c r="AL14" s="185">
        <v>25.381861674959502</v>
      </c>
      <c r="AM14" s="185">
        <v>26.007023223198622</v>
      </c>
      <c r="AN14" s="185">
        <v>26.682114624908355</v>
      </c>
    </row>
    <row r="15" spans="1:40">
      <c r="A15" s="35" t="s">
        <v>527</v>
      </c>
      <c r="B15" s="185">
        <v>10.112362730183554</v>
      </c>
      <c r="C15" s="185">
        <v>8.5007203734218884</v>
      </c>
      <c r="D15" s="185">
        <v>7.7653014266725382</v>
      </c>
      <c r="E15" s="185">
        <v>7.8585582183696561</v>
      </c>
      <c r="F15" s="185">
        <v>7.6166575811777113</v>
      </c>
      <c r="G15" s="185">
        <v>7.2676899905857173</v>
      </c>
      <c r="H15" s="185">
        <v>7.0928076077901956</v>
      </c>
      <c r="I15" s="185">
        <v>6.7895805384473107</v>
      </c>
      <c r="J15" s="185">
        <v>5.5395441341179819</v>
      </c>
      <c r="K15" s="185">
        <v>5.6650824418180408</v>
      </c>
      <c r="L15" s="185">
        <v>5.7151179539530679</v>
      </c>
      <c r="M15" s="185">
        <v>5.7834214959080672</v>
      </c>
      <c r="N15" s="185">
        <v>5.891744250290798</v>
      </c>
      <c r="O15" s="185">
        <v>6.0386177502028104</v>
      </c>
      <c r="P15" s="185">
        <v>6.1810468439326582</v>
      </c>
      <c r="Q15" s="185">
        <v>6.3307968903523228</v>
      </c>
      <c r="R15" s="185">
        <v>6.5005469605789363</v>
      </c>
      <c r="S15" s="185">
        <v>6.7469701193181173</v>
      </c>
      <c r="T15" s="185">
        <v>6.9645438930507204</v>
      </c>
      <c r="U15" s="185">
        <v>7.2642905837274876</v>
      </c>
      <c r="V15" s="185">
        <v>7.6165217660109006</v>
      </c>
      <c r="W15" s="185">
        <v>7.9708467351610119</v>
      </c>
      <c r="X15" s="185">
        <v>8.3506559498367015</v>
      </c>
      <c r="Y15" s="185">
        <v>8.8308793056775485</v>
      </c>
      <c r="Z15" s="185">
        <v>9.2631119812253129</v>
      </c>
      <c r="AA15" s="185">
        <v>9.7001657965888324</v>
      </c>
      <c r="AB15" s="185">
        <v>10.122199009055521</v>
      </c>
      <c r="AC15" s="185">
        <v>10.548860068139749</v>
      </c>
      <c r="AD15" s="185">
        <v>10.988663855455595</v>
      </c>
      <c r="AE15" s="185">
        <v>11.419316718040559</v>
      </c>
      <c r="AF15" s="185">
        <v>11.842864946898526</v>
      </c>
      <c r="AG15" s="185">
        <v>12.260957333092508</v>
      </c>
      <c r="AH15" s="185">
        <v>12.67630003107922</v>
      </c>
      <c r="AI15" s="185">
        <v>13.093477295435996</v>
      </c>
      <c r="AJ15" s="185">
        <v>13.462828088563523</v>
      </c>
      <c r="AK15" s="185">
        <v>13.83089229550253</v>
      </c>
      <c r="AL15" s="185">
        <v>14.201888568407229</v>
      </c>
      <c r="AM15" s="185">
        <v>14.577737580063628</v>
      </c>
      <c r="AN15" s="185">
        <v>14.97305467762345</v>
      </c>
    </row>
    <row r="16" spans="1:40">
      <c r="A16" s="35" t="s">
        <v>599</v>
      </c>
      <c r="B16" s="185">
        <v>1.2396211872289537E-4</v>
      </c>
      <c r="C16" s="185">
        <v>1.3639597438124391E-4</v>
      </c>
      <c r="D16" s="185">
        <v>1.4782778941609218E-4</v>
      </c>
      <c r="E16" s="185">
        <v>1.433373755900728E-4</v>
      </c>
      <c r="F16" s="185">
        <v>1.4102836937202948E-4</v>
      </c>
      <c r="G16" s="185">
        <v>1.3573729608291313E-4</v>
      </c>
      <c r="H16" s="185">
        <v>1.4250803609018416E-4</v>
      </c>
      <c r="I16" s="185">
        <v>1.4349767581431678E-4</v>
      </c>
      <c r="J16" s="185">
        <v>1.1077458554618781E-4</v>
      </c>
      <c r="K16" s="185">
        <v>1.2272309954097676E-4</v>
      </c>
      <c r="L16" s="185">
        <v>1.265790961958254E-4</v>
      </c>
      <c r="M16" s="185">
        <v>1.3088259036532032E-4</v>
      </c>
      <c r="N16" s="185">
        <v>1.3647595294192876E-4</v>
      </c>
      <c r="O16" s="185">
        <v>1.4444262285271943E-4</v>
      </c>
      <c r="P16" s="185">
        <v>1.4909047543167897E-4</v>
      </c>
      <c r="Q16" s="185">
        <v>1.5384452910483781E-4</v>
      </c>
      <c r="R16" s="185">
        <v>1.5903968594170402E-4</v>
      </c>
      <c r="S16" s="185">
        <v>1.2376511719270039E-4</v>
      </c>
      <c r="T16" s="185">
        <v>1.2376511719270041E-4</v>
      </c>
      <c r="U16" s="185">
        <v>1.2376511719270044E-4</v>
      </c>
      <c r="V16" s="185">
        <v>1.2376511719270041E-4</v>
      </c>
      <c r="W16" s="185">
        <v>1.2376511719270041E-4</v>
      </c>
      <c r="X16" s="185">
        <v>1.2376511719270041E-4</v>
      </c>
      <c r="Y16" s="185">
        <v>1.2376511719270041E-4</v>
      </c>
      <c r="Z16" s="185">
        <v>1.2376511719270047E-4</v>
      </c>
      <c r="AA16" s="185">
        <v>1.2376511719270047E-4</v>
      </c>
      <c r="AB16" s="185">
        <v>1.2376511719270041E-4</v>
      </c>
      <c r="AC16" s="185">
        <v>1.2376511719270041E-4</v>
      </c>
      <c r="AD16" s="185">
        <v>1.2376511719270039E-4</v>
      </c>
      <c r="AE16" s="185">
        <v>1.2376511719270041E-4</v>
      </c>
      <c r="AF16" s="185">
        <v>1.2376511719270039E-4</v>
      </c>
      <c r="AG16" s="185">
        <v>1.2376511719270047E-4</v>
      </c>
      <c r="AH16" s="185">
        <v>1.2376511719270052E-4</v>
      </c>
      <c r="AI16" s="185">
        <v>1.2376511719270058E-4</v>
      </c>
      <c r="AJ16" s="185">
        <v>1.2376511719270058E-4</v>
      </c>
      <c r="AK16" s="185">
        <v>1.2376511719270052E-4</v>
      </c>
      <c r="AL16" s="185">
        <v>1.2376511719270052E-4</v>
      </c>
      <c r="AM16" s="185">
        <v>1.237651171927005E-4</v>
      </c>
      <c r="AN16" s="185">
        <v>1.2376511719270052E-4</v>
      </c>
    </row>
    <row r="17" spans="1:40">
      <c r="A17" s="35" t="s">
        <v>528</v>
      </c>
      <c r="B17" s="185">
        <v>84.250557323845101</v>
      </c>
      <c r="C17" s="185">
        <v>82.451215835678212</v>
      </c>
      <c r="D17" s="185">
        <v>80.166243478069532</v>
      </c>
      <c r="E17" s="185">
        <v>77.626015719858643</v>
      </c>
      <c r="F17" s="185">
        <v>76.22541754695969</v>
      </c>
      <c r="G17" s="185">
        <v>74.388929903020184</v>
      </c>
      <c r="H17" s="185">
        <v>74.661627930767523</v>
      </c>
      <c r="I17" s="185">
        <v>74.775428105381266</v>
      </c>
      <c r="J17" s="185">
        <v>70.522195251866989</v>
      </c>
      <c r="K17" s="185">
        <v>73.094492492143644</v>
      </c>
      <c r="L17" s="185">
        <v>73.214968744367397</v>
      </c>
      <c r="M17" s="185">
        <v>74.270210908090405</v>
      </c>
      <c r="N17" s="185">
        <v>74.302275677412496</v>
      </c>
      <c r="O17" s="185">
        <v>72.946609309788073</v>
      </c>
      <c r="P17" s="185">
        <v>74.534785437994302</v>
      </c>
      <c r="Q17" s="185">
        <v>76.951376992110681</v>
      </c>
      <c r="R17" s="185">
        <v>77.843900415805521</v>
      </c>
      <c r="S17" s="185">
        <v>79.070428521803947</v>
      </c>
      <c r="T17" s="185">
        <v>77.488568884480685</v>
      </c>
      <c r="U17" s="185">
        <v>80.001746636610036</v>
      </c>
      <c r="V17" s="185">
        <v>81.615727730669292</v>
      </c>
      <c r="W17" s="185">
        <v>83.144940101381721</v>
      </c>
      <c r="X17" s="185">
        <v>84.082398572093226</v>
      </c>
      <c r="Y17" s="185">
        <v>84.304176107667672</v>
      </c>
      <c r="Z17" s="185">
        <v>86.706826920772002</v>
      </c>
      <c r="AA17" s="185">
        <v>88.824376735822355</v>
      </c>
      <c r="AB17" s="185">
        <v>90.953130838479012</v>
      </c>
      <c r="AC17" s="185">
        <v>93.067176333633881</v>
      </c>
      <c r="AD17" s="185">
        <v>95.21376631469569</v>
      </c>
      <c r="AE17" s="185">
        <v>96.850170559997039</v>
      </c>
      <c r="AF17" s="185">
        <v>98.234253996043691</v>
      </c>
      <c r="AG17" s="185">
        <v>99.652597349120313</v>
      </c>
      <c r="AH17" s="185">
        <v>101.07044472386205</v>
      </c>
      <c r="AI17" s="185">
        <v>102.5096778995579</v>
      </c>
      <c r="AJ17" s="185">
        <v>103.8756184684088</v>
      </c>
      <c r="AK17" s="185">
        <v>105.22907993312295</v>
      </c>
      <c r="AL17" s="185">
        <v>106.64135677829437</v>
      </c>
      <c r="AM17" s="185">
        <v>108.08092477062478</v>
      </c>
      <c r="AN17" s="185">
        <v>109.5489131273044</v>
      </c>
    </row>
    <row r="18" spans="1:40">
      <c r="A18" s="35" t="s">
        <v>593</v>
      </c>
      <c r="B18" s="185">
        <v>21.151207305916397</v>
      </c>
      <c r="C18" s="185">
        <v>22.521282491755183</v>
      </c>
      <c r="D18" s="185">
        <v>24.217986565765905</v>
      </c>
      <c r="E18" s="185">
        <v>25.461135067347364</v>
      </c>
      <c r="F18" s="185">
        <v>26.297310750693875</v>
      </c>
      <c r="G18" s="185">
        <v>28.16300470040489</v>
      </c>
      <c r="H18" s="185">
        <v>30.348501189694851</v>
      </c>
      <c r="I18" s="185">
        <v>31.793574952699373</v>
      </c>
      <c r="J18" s="185">
        <v>30.484415949333048</v>
      </c>
      <c r="K18" s="185">
        <v>31.715305188613026</v>
      </c>
      <c r="L18" s="185">
        <v>33.102158131950326</v>
      </c>
      <c r="M18" s="185">
        <v>34.659094884560439</v>
      </c>
      <c r="N18" s="185">
        <v>36.39067919900473</v>
      </c>
      <c r="O18" s="185">
        <v>38.204349046553844</v>
      </c>
      <c r="P18" s="185">
        <v>40.242752534029108</v>
      </c>
      <c r="Q18" s="185">
        <v>42.352494691702802</v>
      </c>
      <c r="R18" s="185">
        <v>44.62959349611431</v>
      </c>
      <c r="S18" s="185">
        <v>47.059568403454492</v>
      </c>
      <c r="T18" s="185">
        <v>49.336141685836502</v>
      </c>
      <c r="U18" s="185">
        <v>52.129708803872987</v>
      </c>
      <c r="V18" s="185">
        <v>55.076493025987219</v>
      </c>
      <c r="W18" s="185">
        <v>58.127939356488781</v>
      </c>
      <c r="X18" s="185">
        <v>61.165718763166645</v>
      </c>
      <c r="Y18" s="185">
        <v>64.743710634723442</v>
      </c>
      <c r="Z18" s="185">
        <v>68.410556921662561</v>
      </c>
      <c r="AA18" s="185">
        <v>72.216463325601225</v>
      </c>
      <c r="AB18" s="185">
        <v>76.013255310377787</v>
      </c>
      <c r="AC18" s="185">
        <v>79.97978335920952</v>
      </c>
      <c r="AD18" s="185">
        <v>84.167229780771748</v>
      </c>
      <c r="AE18" s="185">
        <v>88.703651014964663</v>
      </c>
      <c r="AF18" s="185">
        <v>93.495987804506427</v>
      </c>
      <c r="AG18" s="185">
        <v>98.513167089164398</v>
      </c>
      <c r="AH18" s="185">
        <v>103.74106028177358</v>
      </c>
      <c r="AI18" s="185">
        <v>109.17954792194922</v>
      </c>
      <c r="AJ18" s="185">
        <v>114.28179559976975</v>
      </c>
      <c r="AK18" s="185">
        <v>119.64957820111283</v>
      </c>
      <c r="AL18" s="185">
        <v>125.31986083075584</v>
      </c>
      <c r="AM18" s="185">
        <v>131.28607556652435</v>
      </c>
      <c r="AN18" s="185">
        <v>137.69966432544891</v>
      </c>
    </row>
    <row r="19" spans="1:40">
      <c r="A19" s="35" t="s">
        <v>594</v>
      </c>
      <c r="B19" s="185">
        <v>135.95535691221758</v>
      </c>
      <c r="C19" s="185">
        <v>139.80351127853945</v>
      </c>
      <c r="D19" s="185">
        <v>142.66409200833968</v>
      </c>
      <c r="E19" s="185">
        <v>144.13036048331253</v>
      </c>
      <c r="F19" s="185">
        <v>145.0014302833948</v>
      </c>
      <c r="G19" s="185">
        <v>146.55585903275639</v>
      </c>
      <c r="H19" s="185">
        <v>148.28569594981948</v>
      </c>
      <c r="I19" s="185">
        <v>149.06461652943278</v>
      </c>
      <c r="J19" s="185">
        <v>137.82766079356369</v>
      </c>
      <c r="K19" s="185">
        <v>140.70394471007126</v>
      </c>
      <c r="L19" s="185">
        <v>143.76714641829912</v>
      </c>
      <c r="M19" s="185">
        <v>147.12848647576391</v>
      </c>
      <c r="N19" s="185">
        <v>150.76049449915379</v>
      </c>
      <c r="O19" s="185">
        <v>154.33485001807401</v>
      </c>
      <c r="P19" s="185">
        <v>158.36097525088041</v>
      </c>
      <c r="Q19" s="185">
        <v>162.47821309092055</v>
      </c>
      <c r="R19" s="185">
        <v>166.85402227556517</v>
      </c>
      <c r="S19" s="185">
        <v>171.19273800324726</v>
      </c>
      <c r="T19" s="185">
        <v>174.84705057564088</v>
      </c>
      <c r="U19" s="185">
        <v>179.31069111024703</v>
      </c>
      <c r="V19" s="185">
        <v>183.8200659769339</v>
      </c>
      <c r="W19" s="185">
        <v>188.45915175381029</v>
      </c>
      <c r="X19" s="185">
        <v>192.83647380242422</v>
      </c>
      <c r="Y19" s="185">
        <v>197.4490556385359</v>
      </c>
      <c r="Z19" s="185">
        <v>202.3032772288403</v>
      </c>
      <c r="AA19" s="185">
        <v>207.34778110170382</v>
      </c>
      <c r="AB19" s="185">
        <v>212.31258981749002</v>
      </c>
      <c r="AC19" s="185">
        <v>217.46651232501361</v>
      </c>
      <c r="AD19" s="185">
        <v>222.94594056097739</v>
      </c>
      <c r="AE19" s="185">
        <v>228.74169932221261</v>
      </c>
      <c r="AF19" s="185">
        <v>234.76776055763202</v>
      </c>
      <c r="AG19" s="185">
        <v>241.02171215001968</v>
      </c>
      <c r="AH19" s="185">
        <v>247.53264718985847</v>
      </c>
      <c r="AI19" s="185">
        <v>254.37037860613714</v>
      </c>
      <c r="AJ19" s="185">
        <v>260.75466562266104</v>
      </c>
      <c r="AK19" s="185">
        <v>267.45156625352439</v>
      </c>
      <c r="AL19" s="185">
        <v>274.50343300227337</v>
      </c>
      <c r="AM19" s="185">
        <v>281.92696162795829</v>
      </c>
      <c r="AN19" s="185">
        <v>289.90858523747522</v>
      </c>
    </row>
    <row r="20" spans="1:40">
      <c r="A20" s="35" t="s">
        <v>595</v>
      </c>
      <c r="B20" s="185">
        <v>11.263564724197627</v>
      </c>
      <c r="C20" s="185">
        <v>11.573114330999795</v>
      </c>
      <c r="D20" s="185">
        <v>11.904421804272397</v>
      </c>
      <c r="E20" s="185">
        <v>12.110094606966681</v>
      </c>
      <c r="F20" s="185">
        <v>12.166932788027333</v>
      </c>
      <c r="G20" s="185">
        <v>12.293711060955006</v>
      </c>
      <c r="H20" s="185">
        <v>12.562958323284702</v>
      </c>
      <c r="I20" s="185">
        <v>12.711588758003899</v>
      </c>
      <c r="J20" s="185">
        <v>11.921653112246329</v>
      </c>
      <c r="K20" s="185">
        <v>12.235304710288451</v>
      </c>
      <c r="L20" s="185">
        <v>12.501281403627599</v>
      </c>
      <c r="M20" s="185">
        <v>12.741742363348116</v>
      </c>
      <c r="N20" s="185">
        <v>12.98624838026327</v>
      </c>
      <c r="O20" s="185">
        <v>13.214479448270467</v>
      </c>
      <c r="P20" s="185">
        <v>13.465168709241487</v>
      </c>
      <c r="Q20" s="185">
        <v>13.703477984695741</v>
      </c>
      <c r="R20" s="185">
        <v>13.943442716705752</v>
      </c>
      <c r="S20" s="185">
        <v>14.18613399699187</v>
      </c>
      <c r="T20" s="185">
        <v>14.466589529547347</v>
      </c>
      <c r="U20" s="185">
        <v>14.845840463025313</v>
      </c>
      <c r="V20" s="185">
        <v>15.167896365378041</v>
      </c>
      <c r="W20" s="185">
        <v>15.482175648100521</v>
      </c>
      <c r="X20" s="185">
        <v>15.753527531290876</v>
      </c>
      <c r="Y20" s="185">
        <v>16.029022897704866</v>
      </c>
      <c r="Z20" s="185">
        <v>16.344022280745968</v>
      </c>
      <c r="AA20" s="185">
        <v>16.653030576959534</v>
      </c>
      <c r="AB20" s="185">
        <v>16.95834435079685</v>
      </c>
      <c r="AC20" s="185">
        <v>17.270783697210387</v>
      </c>
      <c r="AD20" s="185">
        <v>17.605624985872634</v>
      </c>
      <c r="AE20" s="185">
        <v>17.958545368952624</v>
      </c>
      <c r="AF20" s="185">
        <v>18.326368122704476</v>
      </c>
      <c r="AG20" s="185">
        <v>18.695411513294513</v>
      </c>
      <c r="AH20" s="185">
        <v>19.063846336311084</v>
      </c>
      <c r="AI20" s="185">
        <v>19.436090482310849</v>
      </c>
      <c r="AJ20" s="185">
        <v>19.764024399763979</v>
      </c>
      <c r="AK20" s="185">
        <v>20.084817159876348</v>
      </c>
      <c r="AL20" s="185">
        <v>20.430774533226025</v>
      </c>
      <c r="AM20" s="185">
        <v>20.793147678228024</v>
      </c>
      <c r="AN20" s="185">
        <v>21.18512097954352</v>
      </c>
    </row>
    <row r="21" spans="1:40">
      <c r="A21" s="35" t="s">
        <v>596</v>
      </c>
      <c r="B21" s="185">
        <v>1.1351531206547518</v>
      </c>
      <c r="C21" s="185">
        <v>1.1581435930988344</v>
      </c>
      <c r="D21" s="185">
        <v>1.1466897745006903</v>
      </c>
      <c r="E21" s="185">
        <v>1.1404041486992398</v>
      </c>
      <c r="F21" s="185">
        <v>1.158082223645845</v>
      </c>
      <c r="G21" s="185">
        <v>1.1690400702239674</v>
      </c>
      <c r="H21" s="185">
        <v>1.1399086849076014</v>
      </c>
      <c r="I21" s="185">
        <v>1.1221637155461712</v>
      </c>
      <c r="J21" s="185">
        <v>1.0096297710191362</v>
      </c>
      <c r="K21" s="185">
        <v>1.0106492879161646</v>
      </c>
      <c r="L21" s="185">
        <v>1.0302529717942739</v>
      </c>
      <c r="M21" s="185">
        <v>1.0620864750479064</v>
      </c>
      <c r="N21" s="185">
        <v>1.0998118752864574</v>
      </c>
      <c r="O21" s="185">
        <v>1.1401523216394778</v>
      </c>
      <c r="P21" s="185">
        <v>1.1865134987803243</v>
      </c>
      <c r="Q21" s="185">
        <v>1.2382503590157974</v>
      </c>
      <c r="R21" s="185">
        <v>1.2967453569894312</v>
      </c>
      <c r="S21" s="185">
        <v>1.3581112576656127</v>
      </c>
      <c r="T21" s="185">
        <v>1.393039840277065</v>
      </c>
      <c r="U21" s="185">
        <v>1.4236346020613615</v>
      </c>
      <c r="V21" s="185">
        <v>1.4718356260352397</v>
      </c>
      <c r="W21" s="185">
        <v>1.526684010572724</v>
      </c>
      <c r="X21" s="185">
        <v>1.5859732062358185</v>
      </c>
      <c r="Y21" s="185">
        <v>1.6511561750372967</v>
      </c>
      <c r="Z21" s="185">
        <v>1.7137906368871529</v>
      </c>
      <c r="AA21" s="185">
        <v>1.7838412023456807</v>
      </c>
      <c r="AB21" s="185">
        <v>1.852760928004608</v>
      </c>
      <c r="AC21" s="185">
        <v>1.9252952057275514</v>
      </c>
      <c r="AD21" s="185">
        <v>2.0011863599229782</v>
      </c>
      <c r="AE21" s="185">
        <v>2.0799279842080454</v>
      </c>
      <c r="AF21" s="185">
        <v>2.161300898584174</v>
      </c>
      <c r="AG21" s="185">
        <v>2.2491417997344558</v>
      </c>
      <c r="AH21" s="185">
        <v>2.3449152122731407</v>
      </c>
      <c r="AI21" s="185">
        <v>2.4496740414846618</v>
      </c>
      <c r="AJ21" s="185">
        <v>2.553957149593189</v>
      </c>
      <c r="AK21" s="185">
        <v>2.6701459219060015</v>
      </c>
      <c r="AL21" s="185">
        <v>2.7900071780000926</v>
      </c>
      <c r="AM21" s="185">
        <v>2.9167674131821033</v>
      </c>
      <c r="AN21" s="185">
        <v>3.0523121519180978</v>
      </c>
    </row>
    <row r="22" spans="1:40">
      <c r="A22" s="35" t="s">
        <v>529</v>
      </c>
      <c r="B22" s="185">
        <v>27.516308224731535</v>
      </c>
      <c r="C22" s="185">
        <v>26.933321910754717</v>
      </c>
      <c r="D22" s="185">
        <v>26.357240851505608</v>
      </c>
      <c r="E22" s="185">
        <v>25.784669574259389</v>
      </c>
      <c r="F22" s="185">
        <v>25.784669574259372</v>
      </c>
      <c r="G22" s="185">
        <v>25.792154377886234</v>
      </c>
      <c r="H22" s="185">
        <v>25.78096221762112</v>
      </c>
      <c r="I22" s="185">
        <v>25.777254860982886</v>
      </c>
      <c r="J22" s="185">
        <v>25.780962217621408</v>
      </c>
      <c r="K22" s="185">
        <v>25.780962217621408</v>
      </c>
      <c r="L22" s="185">
        <v>25.780962217621404</v>
      </c>
      <c r="M22" s="185">
        <v>25.780962217621397</v>
      </c>
      <c r="N22" s="185">
        <v>25.780962217621397</v>
      </c>
      <c r="O22" s="185">
        <v>25.221712610799649</v>
      </c>
      <c r="P22" s="185">
        <v>25.221712610799649</v>
      </c>
      <c r="Q22" s="185">
        <v>25.198560689428401</v>
      </c>
      <c r="R22" s="185">
        <v>25.198154966054339</v>
      </c>
      <c r="S22" s="185">
        <v>25.22443266858593</v>
      </c>
      <c r="T22" s="185">
        <v>25.198154966054339</v>
      </c>
      <c r="U22" s="185">
        <v>24.729363674487423</v>
      </c>
      <c r="V22" s="185">
        <v>24.107340422025779</v>
      </c>
      <c r="W22" s="185">
        <v>24.068889189911349</v>
      </c>
      <c r="X22" s="185">
        <v>23.566180013629189</v>
      </c>
      <c r="Y22" s="185">
        <v>22.355593289542004</v>
      </c>
      <c r="Z22" s="185">
        <v>22.403008355083625</v>
      </c>
      <c r="AA22" s="185">
        <v>22.450423420625238</v>
      </c>
      <c r="AB22" s="185">
        <v>22.497838486166845</v>
      </c>
      <c r="AC22" s="185">
        <v>22.545253551708463</v>
      </c>
      <c r="AD22" s="185">
        <v>22.592668617250066</v>
      </c>
      <c r="AE22" s="185">
        <v>22.390297614205075</v>
      </c>
      <c r="AF22" s="185">
        <v>22.187926611160076</v>
      </c>
      <c r="AG22" s="185">
        <v>21.985555608115085</v>
      </c>
      <c r="AH22" s="185">
        <v>21.783184605070087</v>
      </c>
      <c r="AI22" s="185">
        <v>21.580813602025103</v>
      </c>
      <c r="AJ22" s="185">
        <v>21.378442598980104</v>
      </c>
      <c r="AK22" s="185">
        <v>21.176071595935095</v>
      </c>
      <c r="AL22" s="185">
        <v>20.973700592890108</v>
      </c>
      <c r="AM22" s="185">
        <v>20.771329589845102</v>
      </c>
      <c r="AN22" s="185">
        <v>20.568958586800107</v>
      </c>
    </row>
    <row r="23" spans="1:40">
      <c r="A23" s="35" t="s">
        <v>600</v>
      </c>
      <c r="B23" s="185">
        <v>66.42036548153871</v>
      </c>
      <c r="C23" s="185">
        <v>67.405879473318592</v>
      </c>
      <c r="D23" s="185">
        <v>64.422201326406551</v>
      </c>
      <c r="E23" s="185">
        <v>61.447467786677329</v>
      </c>
      <c r="F23" s="185">
        <v>61.142610702865952</v>
      </c>
      <c r="G23" s="185">
        <v>61.268075561889901</v>
      </c>
      <c r="H23" s="185">
        <v>60.912459713234377</v>
      </c>
      <c r="I23" s="185">
        <v>60.468556482084786</v>
      </c>
      <c r="J23" s="185">
        <v>58.515171706745178</v>
      </c>
      <c r="K23" s="185">
        <v>58.254298294534607</v>
      </c>
      <c r="L23" s="185">
        <v>58.043794250560346</v>
      </c>
      <c r="M23" s="185">
        <v>58.268510979649157</v>
      </c>
      <c r="N23" s="185">
        <v>58.634403368923351</v>
      </c>
      <c r="O23" s="185">
        <v>59.586142400355428</v>
      </c>
      <c r="P23" s="185">
        <v>59.40613908356876</v>
      </c>
      <c r="Q23" s="185">
        <v>59.339774819221503</v>
      </c>
      <c r="R23" s="185">
        <v>59.635924277118903</v>
      </c>
      <c r="S23" s="185">
        <v>59.8003165606208</v>
      </c>
      <c r="T23" s="185">
        <v>60.405002253054697</v>
      </c>
      <c r="U23" s="185">
        <v>59.924771535685913</v>
      </c>
      <c r="V23" s="185">
        <v>59.693945281900724</v>
      </c>
      <c r="W23" s="185">
        <v>59.46503786708054</v>
      </c>
      <c r="X23" s="185">
        <v>59.155273715860652</v>
      </c>
      <c r="Y23" s="185">
        <v>58.166723000493484</v>
      </c>
      <c r="Z23" s="185">
        <v>57.190274817346371</v>
      </c>
      <c r="AA23" s="185">
        <v>56.213826634199208</v>
      </c>
      <c r="AB23" s="185">
        <v>55.237378451052074</v>
      </c>
      <c r="AC23" s="185">
        <v>54.260930267904918</v>
      </c>
      <c r="AD23" s="185">
        <v>53.284482084757748</v>
      </c>
      <c r="AE23" s="185">
        <v>52.724292816706132</v>
      </c>
      <c r="AF23" s="185">
        <v>52.164103548654488</v>
      </c>
      <c r="AG23" s="185">
        <v>51.603914280602893</v>
      </c>
      <c r="AH23" s="185">
        <v>51.043725012551292</v>
      </c>
      <c r="AI23" s="185">
        <v>50.483535744499683</v>
      </c>
      <c r="AJ23" s="185">
        <v>49.923346476448074</v>
      </c>
      <c r="AK23" s="185">
        <v>49.363157208396451</v>
      </c>
      <c r="AL23" s="185">
        <v>48.802967940344814</v>
      </c>
      <c r="AM23" s="185">
        <v>48.242778672293184</v>
      </c>
      <c r="AN23" s="185">
        <v>47.682589404241561</v>
      </c>
    </row>
    <row r="24" spans="1:40">
      <c r="A24" s="35"/>
    </row>
    <row r="25" spans="1:40">
      <c r="A25" s="35"/>
    </row>
    <row r="41" spans="1:39">
      <c r="A41" s="132"/>
      <c r="B41" s="132"/>
      <c r="C41" s="132"/>
      <c r="D41" s="132"/>
      <c r="E41" s="132"/>
      <c r="F41" s="132"/>
      <c r="G41" s="132"/>
      <c r="H41" s="132"/>
      <c r="I41" s="132"/>
    </row>
    <row r="42" spans="1:39">
      <c r="A42" s="35" t="s">
        <v>553</v>
      </c>
      <c r="B42" s="35" t="s">
        <v>562</v>
      </c>
      <c r="C42" s="35" t="s">
        <v>563</v>
      </c>
      <c r="D42" s="35" t="s">
        <v>554</v>
      </c>
      <c r="E42" s="35" t="s">
        <v>564</v>
      </c>
      <c r="F42" s="35" t="s">
        <v>565</v>
      </c>
      <c r="G42" s="35" t="s">
        <v>566</v>
      </c>
      <c r="H42" s="35" t="s">
        <v>567</v>
      </c>
      <c r="I42" s="35" t="s">
        <v>555</v>
      </c>
      <c r="J42" s="35" t="s">
        <v>568</v>
      </c>
      <c r="K42" s="35" t="s">
        <v>569</v>
      </c>
      <c r="L42" s="35" t="s">
        <v>570</v>
      </c>
      <c r="M42" s="35" t="s">
        <v>571</v>
      </c>
      <c r="N42" s="35" t="s">
        <v>556</v>
      </c>
      <c r="O42" s="35" t="s">
        <v>572</v>
      </c>
      <c r="P42" s="35" t="s">
        <v>573</v>
      </c>
      <c r="Q42" s="35" t="s">
        <v>574</v>
      </c>
      <c r="R42" s="35" t="s">
        <v>575</v>
      </c>
      <c r="S42" s="35" t="s">
        <v>557</v>
      </c>
      <c r="T42" s="35" t="s">
        <v>576</v>
      </c>
      <c r="U42" s="35" t="s">
        <v>577</v>
      </c>
      <c r="V42" s="35" t="s">
        <v>578</v>
      </c>
      <c r="W42" s="35" t="s">
        <v>579</v>
      </c>
      <c r="X42" s="35" t="s">
        <v>558</v>
      </c>
      <c r="Y42" s="35" t="s">
        <v>580</v>
      </c>
      <c r="Z42" s="35" t="s">
        <v>581</v>
      </c>
      <c r="AA42" s="35" t="s">
        <v>582</v>
      </c>
      <c r="AB42" s="35" t="s">
        <v>583</v>
      </c>
      <c r="AC42" s="35" t="s">
        <v>559</v>
      </c>
      <c r="AD42" s="35" t="s">
        <v>584</v>
      </c>
      <c r="AE42" s="35" t="s">
        <v>585</v>
      </c>
      <c r="AF42" s="35" t="s">
        <v>586</v>
      </c>
      <c r="AG42" s="35" t="s">
        <v>587</v>
      </c>
      <c r="AH42" s="35" t="s">
        <v>560</v>
      </c>
      <c r="AI42" s="35" t="s">
        <v>588</v>
      </c>
      <c r="AJ42" s="35" t="s">
        <v>589</v>
      </c>
      <c r="AK42" s="35" t="s">
        <v>590</v>
      </c>
      <c r="AL42" s="35" t="s">
        <v>591</v>
      </c>
      <c r="AM42" s="35" t="s">
        <v>561</v>
      </c>
    </row>
    <row r="43" spans="1:39">
      <c r="A43" s="185">
        <v>52325.432882070083</v>
      </c>
      <c r="B43" s="185">
        <v>53104.386458423345</v>
      </c>
      <c r="C43" s="185">
        <v>53912.365691429273</v>
      </c>
      <c r="D43" s="185">
        <v>54750.491457321114</v>
      </c>
      <c r="E43" s="185">
        <v>55619.940469824825</v>
      </c>
      <c r="F43" s="185">
        <v>56521.948041648095</v>
      </c>
      <c r="G43" s="185">
        <v>57436.000617299658</v>
      </c>
      <c r="H43" s="185">
        <v>58364.834921819442</v>
      </c>
      <c r="I43" s="185">
        <v>59308.69</v>
      </c>
      <c r="J43" s="185">
        <v>60097.87398848695</v>
      </c>
      <c r="K43" s="185">
        <v>60841.58228680936</v>
      </c>
      <c r="L43" s="185">
        <v>61537.824355929828</v>
      </c>
      <c r="M43" s="185">
        <v>62221.509701386371</v>
      </c>
      <c r="N43" s="185">
        <v>62892.038582526089</v>
      </c>
      <c r="O43" s="185">
        <v>63548.817559440096</v>
      </c>
      <c r="P43" s="185">
        <v>64191.260356766121</v>
      </c>
      <c r="Q43" s="185">
        <v>64818.78872542824</v>
      </c>
      <c r="R43" s="185">
        <v>65435.442210930109</v>
      </c>
      <c r="S43" s="185">
        <v>66040.790860694062</v>
      </c>
      <c r="T43" s="185">
        <v>66634.409418703101</v>
      </c>
      <c r="U43" s="185">
        <v>67215.877817791683</v>
      </c>
      <c r="V43" s="185">
        <v>67784.781669940756</v>
      </c>
      <c r="W43" s="185">
        <v>68342.055626742411</v>
      </c>
      <c r="X43" s="185">
        <v>68887.330858600355</v>
      </c>
      <c r="Y43" s="185">
        <v>69420.244147098419</v>
      </c>
      <c r="Z43" s="185">
        <v>69940.43828496871</v>
      </c>
      <c r="AA43" s="185">
        <v>70447.562472153164</v>
      </c>
      <c r="AB43" s="185">
        <v>70942.722252264575</v>
      </c>
      <c r="AC43" s="185">
        <v>71425.610993241411</v>
      </c>
      <c r="AD43" s="185">
        <v>71895.928013305995</v>
      </c>
      <c r="AE43" s="185">
        <v>72353.378891150234</v>
      </c>
      <c r="AF43" s="185">
        <v>72797.675771420298</v>
      </c>
      <c r="AG43" s="185">
        <v>73228.597899236789</v>
      </c>
      <c r="AH43" s="185">
        <v>73645.872502840066</v>
      </c>
      <c r="AI43" s="185">
        <v>74049.234192071817</v>
      </c>
      <c r="AJ43" s="185">
        <v>74438.425238522788</v>
      </c>
      <c r="AK43" s="185">
        <v>74813.195848926669</v>
      </c>
      <c r="AL43" s="185">
        <v>75173.102421925723</v>
      </c>
      <c r="AM43" s="185">
        <v>75517.908954390194</v>
      </c>
    </row>
    <row r="60" spans="1:40">
      <c r="B60" s="35" t="s">
        <v>553</v>
      </c>
      <c r="C60" s="35" t="s">
        <v>562</v>
      </c>
      <c r="D60" s="35" t="s">
        <v>563</v>
      </c>
      <c r="E60" s="35" t="s">
        <v>554</v>
      </c>
      <c r="F60" s="35" t="s">
        <v>564</v>
      </c>
      <c r="G60" s="35" t="s">
        <v>565</v>
      </c>
      <c r="H60" s="35" t="s">
        <v>566</v>
      </c>
      <c r="I60" s="35" t="s">
        <v>567</v>
      </c>
      <c r="J60" s="35" t="s">
        <v>555</v>
      </c>
      <c r="K60" s="35" t="s">
        <v>568</v>
      </c>
      <c r="L60" s="35" t="s">
        <v>569</v>
      </c>
      <c r="M60" s="35" t="s">
        <v>570</v>
      </c>
      <c r="N60" s="35" t="s">
        <v>571</v>
      </c>
      <c r="O60" s="35" t="s">
        <v>556</v>
      </c>
      <c r="P60" s="35" t="s">
        <v>572</v>
      </c>
      <c r="Q60" s="35" t="s">
        <v>573</v>
      </c>
      <c r="R60" s="35" t="s">
        <v>574</v>
      </c>
      <c r="S60" s="35" t="s">
        <v>575</v>
      </c>
      <c r="T60" s="35" t="s">
        <v>557</v>
      </c>
      <c r="U60" s="35" t="s">
        <v>576</v>
      </c>
      <c r="V60" s="35" t="s">
        <v>577</v>
      </c>
      <c r="W60" s="35" t="s">
        <v>578</v>
      </c>
      <c r="X60" s="35" t="s">
        <v>579</v>
      </c>
      <c r="Y60" s="35" t="s">
        <v>558</v>
      </c>
      <c r="Z60" s="35" t="s">
        <v>580</v>
      </c>
      <c r="AA60" s="35" t="s">
        <v>581</v>
      </c>
      <c r="AB60" s="35" t="s">
        <v>582</v>
      </c>
      <c r="AC60" s="35" t="s">
        <v>583</v>
      </c>
      <c r="AD60" s="35" t="s">
        <v>559</v>
      </c>
      <c r="AE60" s="35" t="s">
        <v>584</v>
      </c>
      <c r="AF60" s="35" t="s">
        <v>585</v>
      </c>
      <c r="AG60" s="35" t="s">
        <v>586</v>
      </c>
      <c r="AH60" s="35" t="s">
        <v>587</v>
      </c>
      <c r="AI60" s="35" t="s">
        <v>560</v>
      </c>
      <c r="AJ60" s="35" t="s">
        <v>588</v>
      </c>
      <c r="AK60" s="35" t="s">
        <v>589</v>
      </c>
      <c r="AL60" s="35" t="s">
        <v>590</v>
      </c>
      <c r="AM60" s="35" t="s">
        <v>591</v>
      </c>
      <c r="AN60" s="35" t="s">
        <v>561</v>
      </c>
    </row>
    <row r="61" spans="1:40">
      <c r="A61" s="35" t="s">
        <v>275</v>
      </c>
      <c r="B61" s="185">
        <v>0.5</v>
      </c>
      <c r="C61" s="185">
        <v>0.49336729527378553</v>
      </c>
      <c r="D61" s="185">
        <v>0.48171060529799387</v>
      </c>
      <c r="E61" s="185">
        <v>0.47177045577230031</v>
      </c>
      <c r="F61" s="185">
        <v>0.46545124966508494</v>
      </c>
      <c r="G61" s="185">
        <v>0.45689360095251991</v>
      </c>
      <c r="H61" s="185">
        <v>0.44754750385756908</v>
      </c>
      <c r="I61" s="185">
        <v>0.44072180868643385</v>
      </c>
      <c r="J61" s="185">
        <v>0.44932093804663059</v>
      </c>
      <c r="K61" s="185">
        <v>0.46169849501877358</v>
      </c>
      <c r="L61" s="185">
        <v>0.45433259997191139</v>
      </c>
      <c r="M61" s="185">
        <v>0.44629995028076702</v>
      </c>
      <c r="N61" s="185">
        <v>0.43729958443530692</v>
      </c>
      <c r="O61" s="185">
        <v>0.4285071202854901</v>
      </c>
      <c r="P61" s="185">
        <v>0.41982182143542912</v>
      </c>
      <c r="Q61" s="185">
        <v>0.41040577394913741</v>
      </c>
      <c r="R61" s="185">
        <v>0.40123866012746023</v>
      </c>
      <c r="S61" s="185">
        <v>0.3928484634610474</v>
      </c>
      <c r="T61" s="185">
        <v>0.38649000151150309</v>
      </c>
      <c r="U61" s="185">
        <v>0.38026445156883421</v>
      </c>
      <c r="V61" s="185">
        <v>0.37289616395615627</v>
      </c>
      <c r="W61" s="185">
        <v>0.36581070355972556</v>
      </c>
      <c r="X61" s="185">
        <v>0.35937401047997142</v>
      </c>
      <c r="Y61" s="185">
        <v>0.35340136617795931</v>
      </c>
      <c r="Z61" s="185">
        <v>0.34736735925061146</v>
      </c>
      <c r="AA61" s="185">
        <v>0.3409826261458041</v>
      </c>
      <c r="AB61" s="185">
        <v>0.33500389317740054</v>
      </c>
      <c r="AC61" s="185">
        <v>0.32926681704835342</v>
      </c>
      <c r="AD61" s="185">
        <v>0.32344370295884878</v>
      </c>
      <c r="AE61" s="185">
        <v>0.31754276370187084</v>
      </c>
      <c r="AF61" s="185">
        <v>0.31149313701067721</v>
      </c>
      <c r="AG61" s="185">
        <v>0.30551517497785613</v>
      </c>
      <c r="AH61" s="185">
        <v>0.29958394219881929</v>
      </c>
      <c r="AI61" s="185">
        <v>0.29370002239714332</v>
      </c>
      <c r="AJ61" s="185">
        <v>0.28869564431398759</v>
      </c>
      <c r="AK61" s="185">
        <v>0.28404412224899633</v>
      </c>
      <c r="AL61" s="185">
        <v>0.27930607561463999</v>
      </c>
      <c r="AM61" s="185">
        <v>0.27446369057707254</v>
      </c>
      <c r="AN61" s="185">
        <v>0.26944557548125397</v>
      </c>
    </row>
    <row r="62" spans="1:40">
      <c r="A62" s="35" t="s">
        <v>276</v>
      </c>
      <c r="B62" s="185">
        <v>0.3</v>
      </c>
      <c r="C62" s="185">
        <v>0.29461251514394299</v>
      </c>
      <c r="D62" s="185">
        <v>0.29662276780814034</v>
      </c>
      <c r="E62" s="185">
        <v>0.2978666344466091</v>
      </c>
      <c r="F62" s="185">
        <v>0.29849598777050546</v>
      </c>
      <c r="G62" s="185">
        <v>0.29718257875521831</v>
      </c>
      <c r="H62" s="185">
        <v>0.29753388727183516</v>
      </c>
      <c r="I62" s="185">
        <v>0.29840116764803021</v>
      </c>
      <c r="J62" s="185">
        <v>0.30777027456338796</v>
      </c>
      <c r="K62" s="185">
        <v>0.29124236862318381</v>
      </c>
      <c r="L62" s="185">
        <v>0.29240625388083158</v>
      </c>
      <c r="M62" s="185">
        <v>0.29331568960873045</v>
      </c>
      <c r="N62" s="185">
        <v>0.29457226083561588</v>
      </c>
      <c r="O62" s="185">
        <v>0.29617543706924332</v>
      </c>
      <c r="P62" s="185">
        <v>0.2974423087562828</v>
      </c>
      <c r="Q62" s="185">
        <v>0.29959432476552511</v>
      </c>
      <c r="R62" s="185">
        <v>0.30166829026180969</v>
      </c>
      <c r="S62" s="185">
        <v>0.30380186364507517</v>
      </c>
      <c r="T62" s="185">
        <v>0.30626186294131208</v>
      </c>
      <c r="U62" s="185">
        <v>0.30722027340126007</v>
      </c>
      <c r="V62" s="185">
        <v>0.30957010725260409</v>
      </c>
      <c r="W62" s="185">
        <v>0.31165861774611353</v>
      </c>
      <c r="X62" s="185">
        <v>0.31395984116930353</v>
      </c>
      <c r="Y62" s="185">
        <v>0.31591742107071824</v>
      </c>
      <c r="Z62" s="185">
        <v>0.31791083718876156</v>
      </c>
      <c r="AA62" s="185">
        <v>0.32028674233284754</v>
      </c>
      <c r="AB62" s="185">
        <v>0.32272586557195093</v>
      </c>
      <c r="AC62" s="185">
        <v>0.32494110183628322</v>
      </c>
      <c r="AD62" s="185">
        <v>0.32707344508491171</v>
      </c>
      <c r="AE62" s="185">
        <v>0.32946791255742369</v>
      </c>
      <c r="AF62" s="185">
        <v>0.33205639863232578</v>
      </c>
      <c r="AG62" s="185">
        <v>0.33460062237938187</v>
      </c>
      <c r="AH62" s="185">
        <v>0.33713819888464658</v>
      </c>
      <c r="AI62" s="185">
        <v>0.33964707999850152</v>
      </c>
      <c r="AJ62" s="185">
        <v>0.34277558292100246</v>
      </c>
      <c r="AK62" s="185">
        <v>0.34551575309130234</v>
      </c>
      <c r="AL62" s="185">
        <v>0.34823666281050414</v>
      </c>
      <c r="AM62" s="185">
        <v>0.35094719589559048</v>
      </c>
      <c r="AN62" s="185">
        <v>0.35361865313401414</v>
      </c>
    </row>
    <row r="63" spans="1:40">
      <c r="A63" s="35" t="s">
        <v>277</v>
      </c>
      <c r="B63" s="185">
        <v>0.19999999999999998</v>
      </c>
      <c r="C63" s="185">
        <v>0.20644820051799312</v>
      </c>
      <c r="D63" s="185">
        <v>0.21023399354719632</v>
      </c>
      <c r="E63" s="185">
        <v>0.21278371680239092</v>
      </c>
      <c r="F63" s="185">
        <v>0.21204411297191461</v>
      </c>
      <c r="G63" s="185">
        <v>0.21520611914246437</v>
      </c>
      <c r="H63" s="185">
        <v>0.21758126820122253</v>
      </c>
      <c r="I63" s="185">
        <v>0.21696525179971546</v>
      </c>
      <c r="J63" s="185">
        <v>0.19246748390404797</v>
      </c>
      <c r="K63" s="185">
        <v>0.19447523142102022</v>
      </c>
      <c r="L63" s="185">
        <v>0.19853947436388894</v>
      </c>
      <c r="M63" s="185">
        <v>0.20352974517664227</v>
      </c>
      <c r="N63" s="185">
        <v>0.20914540945630367</v>
      </c>
      <c r="O63" s="185">
        <v>0.21421136898544324</v>
      </c>
      <c r="P63" s="185">
        <v>0.22105830860577064</v>
      </c>
      <c r="Q63" s="185">
        <v>0.22775120039412966</v>
      </c>
      <c r="R63" s="185">
        <v>0.23427355667310334</v>
      </c>
      <c r="S63" s="185">
        <v>0.23995973534049977</v>
      </c>
      <c r="T63" s="185">
        <v>0.24328810059724967</v>
      </c>
      <c r="U63" s="185">
        <v>0.24920260436384109</v>
      </c>
      <c r="V63" s="185">
        <v>0.25486887012552317</v>
      </c>
      <c r="W63" s="185">
        <v>0.2605140800549105</v>
      </c>
      <c r="X63" s="185">
        <v>0.265298258073913</v>
      </c>
      <c r="Y63" s="185">
        <v>0.26996247948298979</v>
      </c>
      <c r="Z63" s="185">
        <v>0.27578463348214166</v>
      </c>
      <c r="AA63" s="185">
        <v>0.28157840377750087</v>
      </c>
      <c r="AB63" s="185">
        <v>0.28690634139555593</v>
      </c>
      <c r="AC63" s="185">
        <v>0.29221990112462515</v>
      </c>
      <c r="AD63" s="185">
        <v>0.29770579023911803</v>
      </c>
      <c r="AE63" s="185">
        <v>0.30405901407918862</v>
      </c>
      <c r="AF63" s="185">
        <v>0.31037545326155108</v>
      </c>
      <c r="AG63" s="185">
        <v>0.31667306228216097</v>
      </c>
      <c r="AH63" s="185">
        <v>0.32293918719489123</v>
      </c>
      <c r="AI63" s="185">
        <v>0.32919531823838566</v>
      </c>
      <c r="AJ63" s="185">
        <v>0.33502336623671947</v>
      </c>
      <c r="AK63" s="185">
        <v>0.34090311848260424</v>
      </c>
      <c r="AL63" s="185">
        <v>0.34690494989219267</v>
      </c>
      <c r="AM63" s="185">
        <v>0.35303785738565435</v>
      </c>
      <c r="AN63" s="185">
        <v>0.35940199900858649</v>
      </c>
    </row>
    <row r="64" spans="1:40">
      <c r="A64" s="35"/>
    </row>
    <row r="65" spans="1:39">
      <c r="A65" s="35"/>
    </row>
    <row r="66" spans="1:39">
      <c r="A66" s="35"/>
    </row>
    <row r="70" spans="1:39">
      <c r="A70" s="35" t="s">
        <v>553</v>
      </c>
      <c r="B70" s="35" t="s">
        <v>562</v>
      </c>
      <c r="C70" s="35" t="s">
        <v>563</v>
      </c>
      <c r="D70" s="35" t="s">
        <v>554</v>
      </c>
      <c r="E70" s="35" t="s">
        <v>564</v>
      </c>
      <c r="F70" s="35" t="s">
        <v>565</v>
      </c>
      <c r="G70" s="35" t="s">
        <v>566</v>
      </c>
      <c r="H70" s="35" t="s">
        <v>567</v>
      </c>
      <c r="I70" s="35" t="s">
        <v>555</v>
      </c>
      <c r="J70" s="35" t="s">
        <v>568</v>
      </c>
      <c r="K70" s="35" t="s">
        <v>569</v>
      </c>
      <c r="L70" s="35" t="s">
        <v>570</v>
      </c>
      <c r="M70" s="35" t="s">
        <v>571</v>
      </c>
      <c r="N70" s="35" t="s">
        <v>556</v>
      </c>
      <c r="O70" s="35" t="s">
        <v>572</v>
      </c>
      <c r="P70" s="35" t="s">
        <v>573</v>
      </c>
      <c r="Q70" s="35" t="s">
        <v>574</v>
      </c>
      <c r="R70" s="35" t="s">
        <v>575</v>
      </c>
      <c r="S70" s="35" t="s">
        <v>557</v>
      </c>
      <c r="T70" s="35" t="s">
        <v>576</v>
      </c>
      <c r="U70" s="35" t="s">
        <v>577</v>
      </c>
      <c r="V70" s="35" t="s">
        <v>578</v>
      </c>
      <c r="W70" s="35" t="s">
        <v>579</v>
      </c>
      <c r="X70" s="35" t="s">
        <v>558</v>
      </c>
      <c r="Y70" s="35" t="s">
        <v>580</v>
      </c>
      <c r="Z70" s="35" t="s">
        <v>581</v>
      </c>
      <c r="AA70" s="35" t="s">
        <v>582</v>
      </c>
      <c r="AB70" s="35" t="s">
        <v>583</v>
      </c>
      <c r="AC70" s="35" t="s">
        <v>559</v>
      </c>
      <c r="AD70" s="35" t="s">
        <v>584</v>
      </c>
      <c r="AE70" s="35" t="s">
        <v>585</v>
      </c>
      <c r="AF70" s="35" t="s">
        <v>586</v>
      </c>
      <c r="AG70" s="35" t="s">
        <v>587</v>
      </c>
      <c r="AH70" s="35" t="s">
        <v>560</v>
      </c>
      <c r="AI70" s="35" t="s">
        <v>588</v>
      </c>
      <c r="AJ70" s="35" t="s">
        <v>589</v>
      </c>
      <c r="AK70" s="35" t="s">
        <v>590</v>
      </c>
      <c r="AL70" s="35" t="s">
        <v>591</v>
      </c>
      <c r="AM70" s="35" t="s">
        <v>561</v>
      </c>
    </row>
    <row r="71" spans="1:39">
      <c r="A71" s="185">
        <v>0.30163969294990939</v>
      </c>
      <c r="B71" s="185">
        <v>0.30796232196009593</v>
      </c>
      <c r="C71" s="185">
        <v>0.31076074811132609</v>
      </c>
      <c r="D71" s="185">
        <v>0.31288978435800541</v>
      </c>
      <c r="E71" s="185">
        <v>0.31287861234645009</v>
      </c>
      <c r="F71" s="185">
        <v>0.31559061766201918</v>
      </c>
      <c r="G71" s="185">
        <v>0.31792262160723966</v>
      </c>
      <c r="H71" s="185">
        <v>0.31751776256697073</v>
      </c>
      <c r="I71" s="185">
        <v>0.29019645575179692</v>
      </c>
      <c r="J71" s="185">
        <v>0.29699796556548153</v>
      </c>
      <c r="K71" s="185">
        <v>0.30086618803463078</v>
      </c>
      <c r="L71" s="185">
        <v>0.30560921323222662</v>
      </c>
      <c r="M71" s="185">
        <v>0.31089428879503833</v>
      </c>
      <c r="N71" s="185">
        <v>0.31574574729178884</v>
      </c>
      <c r="O71" s="185">
        <v>0.32233263553724806</v>
      </c>
      <c r="P71" s="185">
        <v>0.32880003865535701</v>
      </c>
      <c r="Q71" s="185">
        <v>0.33535511550799657</v>
      </c>
      <c r="R71" s="185">
        <v>0.34123725286063172</v>
      </c>
      <c r="S71" s="185">
        <v>0.34454239921586177</v>
      </c>
      <c r="T71" s="185">
        <v>0.35116683037727708</v>
      </c>
      <c r="U71" s="185">
        <v>0.3572236000334062</v>
      </c>
      <c r="V71" s="185">
        <v>0.36353776465503623</v>
      </c>
      <c r="W71" s="185">
        <v>0.36890203829536222</v>
      </c>
      <c r="X71" s="24">
        <v>0.37427262385952426</v>
      </c>
      <c r="Y71" s="24">
        <v>0.38104809418400248</v>
      </c>
      <c r="Z71" s="24">
        <v>0.38784776605814258</v>
      </c>
      <c r="AA71" s="24">
        <v>0.4299009822099728</v>
      </c>
      <c r="AB71" s="24">
        <v>0.43713117831921317</v>
      </c>
      <c r="AC71" s="24">
        <v>0.44491156591527831</v>
      </c>
      <c r="AD71" s="24">
        <v>0.45393229406497204</v>
      </c>
      <c r="AE71" s="24">
        <v>0.46311317822350589</v>
      </c>
      <c r="AF71" s="24">
        <v>0.4726065828684099</v>
      </c>
      <c r="AG71" s="24">
        <v>0.48236629091688582</v>
      </c>
      <c r="AH71" s="24">
        <v>0.49247723540906563</v>
      </c>
      <c r="AI71" s="24">
        <v>0.50118562936425615</v>
      </c>
      <c r="AJ71" s="24">
        <v>0.51042179853043057</v>
      </c>
      <c r="AK71" s="24">
        <v>0.52017248072066546</v>
      </c>
      <c r="AL71" s="24">
        <v>0.53049825447978527</v>
      </c>
      <c r="AM71" s="24">
        <v>0.54170030276549952</v>
      </c>
    </row>
    <row r="81" spans="1:46">
      <c r="B81" s="35"/>
      <c r="C81" s="35"/>
      <c r="D81" s="35"/>
      <c r="E81" s="35"/>
      <c r="F81" s="35"/>
      <c r="G81" s="35"/>
      <c r="H81" s="35"/>
      <c r="I81" s="35"/>
      <c r="J81" s="35"/>
      <c r="K81" s="35"/>
      <c r="L81" s="35"/>
      <c r="M81" s="35"/>
      <c r="N81" s="35"/>
      <c r="O81" s="35"/>
      <c r="P81" s="35"/>
      <c r="Q81" s="35"/>
      <c r="R81" s="35"/>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row>
    <row r="82" spans="1:46">
      <c r="A82" s="35"/>
    </row>
    <row r="83" spans="1:46">
      <c r="A83" s="35"/>
    </row>
    <row r="84" spans="1:46">
      <c r="A84" s="35"/>
    </row>
    <row r="91" spans="1:46">
      <c r="B91" s="35"/>
      <c r="C91" s="35"/>
      <c r="D91" s="35"/>
      <c r="E91" s="35"/>
      <c r="F91" s="35"/>
      <c r="G91" s="35"/>
      <c r="H91" s="35"/>
      <c r="I91" s="35"/>
      <c r="J91" s="35"/>
      <c r="K91" s="35"/>
      <c r="L91" s="35"/>
      <c r="M91" s="35"/>
      <c r="N91" s="35"/>
      <c r="O91" s="35"/>
      <c r="P91" s="35"/>
      <c r="Q91" s="35"/>
      <c r="R91" s="35"/>
      <c r="S91" s="35"/>
      <c r="T91" s="35"/>
      <c r="U91" s="35"/>
      <c r="V91" s="35"/>
      <c r="W91" s="35"/>
      <c r="X91" s="35"/>
      <c r="Y91" s="35"/>
      <c r="Z91" s="35"/>
      <c r="AA91" s="35"/>
      <c r="AB91" s="35"/>
      <c r="AC91" s="35"/>
      <c r="AD91" s="35"/>
      <c r="AE91" s="35"/>
      <c r="AF91" s="35"/>
      <c r="AG91" s="35"/>
      <c r="AH91" s="35"/>
      <c r="AI91" s="35"/>
      <c r="AJ91" s="35"/>
    </row>
    <row r="92" spans="1:46">
      <c r="A92" s="35"/>
    </row>
    <row r="93" spans="1:46">
      <c r="A93" s="35"/>
    </row>
    <row r="94" spans="1:46">
      <c r="A94" s="35"/>
    </row>
    <row r="95" spans="1:46">
      <c r="A95" s="35"/>
    </row>
    <row r="96" spans="1:46">
      <c r="A96" s="35"/>
    </row>
    <row r="97" spans="1:47">
      <c r="A97" s="35"/>
    </row>
    <row r="98" spans="1:47">
      <c r="A98" s="35"/>
    </row>
    <row r="99" spans="1:47">
      <c r="A99" s="35"/>
    </row>
    <row r="100" spans="1:47">
      <c r="A100" s="35"/>
    </row>
    <row r="101" spans="1:47">
      <c r="C101" s="35" t="s">
        <v>553</v>
      </c>
      <c r="D101" s="35" t="s">
        <v>562</v>
      </c>
      <c r="E101" s="35" t="s">
        <v>563</v>
      </c>
      <c r="F101" s="35" t="s">
        <v>554</v>
      </c>
      <c r="G101" s="35" t="s">
        <v>564</v>
      </c>
      <c r="H101" s="35" t="s">
        <v>565</v>
      </c>
      <c r="I101" s="35" t="s">
        <v>566</v>
      </c>
      <c r="J101" s="35" t="s">
        <v>567</v>
      </c>
      <c r="K101" s="35" t="s">
        <v>555</v>
      </c>
      <c r="L101" s="35" t="s">
        <v>568</v>
      </c>
      <c r="M101" s="35" t="s">
        <v>569</v>
      </c>
      <c r="N101" s="35" t="s">
        <v>570</v>
      </c>
      <c r="O101" s="35" t="s">
        <v>571</v>
      </c>
      <c r="P101" s="35" t="s">
        <v>556</v>
      </c>
      <c r="Q101" s="35" t="s">
        <v>572</v>
      </c>
      <c r="R101" s="35" t="s">
        <v>573</v>
      </c>
      <c r="S101" s="35" t="s">
        <v>574</v>
      </c>
      <c r="T101" s="35" t="s">
        <v>575</v>
      </c>
      <c r="U101" s="35" t="s">
        <v>557</v>
      </c>
      <c r="V101" s="35" t="s">
        <v>576</v>
      </c>
      <c r="W101" s="35" t="s">
        <v>577</v>
      </c>
      <c r="X101" s="35" t="s">
        <v>578</v>
      </c>
      <c r="Y101" s="35" t="s">
        <v>579</v>
      </c>
      <c r="Z101" s="35" t="s">
        <v>558</v>
      </c>
      <c r="AA101" s="35" t="s">
        <v>580</v>
      </c>
      <c r="AB101" s="35" t="s">
        <v>581</v>
      </c>
      <c r="AC101" s="35" t="s">
        <v>582</v>
      </c>
      <c r="AD101" s="35" t="s">
        <v>583</v>
      </c>
      <c r="AE101" s="35" t="s">
        <v>559</v>
      </c>
      <c r="AF101" s="35" t="s">
        <v>584</v>
      </c>
      <c r="AG101" s="35" t="s">
        <v>585</v>
      </c>
      <c r="AH101" s="35" t="s">
        <v>586</v>
      </c>
      <c r="AI101" s="35" t="s">
        <v>587</v>
      </c>
      <c r="AJ101" s="35" t="s">
        <v>560</v>
      </c>
      <c r="AK101" s="35" t="s">
        <v>588</v>
      </c>
      <c r="AL101" s="35" t="s">
        <v>589</v>
      </c>
      <c r="AM101" s="35" t="s">
        <v>590</v>
      </c>
      <c r="AN101" s="35" t="s">
        <v>591</v>
      </c>
      <c r="AO101" s="35" t="s">
        <v>561</v>
      </c>
      <c r="AP101" s="35"/>
      <c r="AQ101" s="35"/>
      <c r="AR101" s="35"/>
      <c r="AS101" s="35"/>
      <c r="AT101" s="35"/>
      <c r="AU101" s="35"/>
    </row>
    <row r="102" spans="1:47">
      <c r="A102" s="35" t="s">
        <v>275</v>
      </c>
      <c r="B102" s="35" t="s">
        <v>530</v>
      </c>
      <c r="C102" s="185" t="s">
        <v>395</v>
      </c>
      <c r="D102" s="185" t="s">
        <v>395</v>
      </c>
      <c r="E102" s="185" t="s">
        <v>395</v>
      </c>
      <c r="F102" s="185" t="s">
        <v>395</v>
      </c>
      <c r="G102" s="185" t="s">
        <v>395</v>
      </c>
      <c r="H102" s="185" t="s">
        <v>395</v>
      </c>
      <c r="I102" s="185" t="s">
        <v>395</v>
      </c>
      <c r="J102" s="185" t="s">
        <v>395</v>
      </c>
      <c r="K102" s="185" t="s">
        <v>395</v>
      </c>
      <c r="L102" s="185" t="s">
        <v>395</v>
      </c>
      <c r="M102" s="185" t="s">
        <v>395</v>
      </c>
      <c r="N102" s="185" t="s">
        <v>395</v>
      </c>
      <c r="O102" s="185" t="s">
        <v>395</v>
      </c>
      <c r="P102" s="185" t="s">
        <v>395</v>
      </c>
      <c r="Q102" s="185" t="s">
        <v>395</v>
      </c>
      <c r="R102" s="185" t="s">
        <v>395</v>
      </c>
      <c r="S102" s="185" t="s">
        <v>395</v>
      </c>
      <c r="T102" s="185" t="s">
        <v>395</v>
      </c>
      <c r="U102" s="185" t="s">
        <v>395</v>
      </c>
      <c r="V102" s="185" t="s">
        <v>395</v>
      </c>
      <c r="W102" s="185" t="s">
        <v>395</v>
      </c>
      <c r="X102" s="185" t="s">
        <v>395</v>
      </c>
      <c r="Y102" s="185" t="s">
        <v>395</v>
      </c>
      <c r="Z102" s="185" t="s">
        <v>395</v>
      </c>
      <c r="AA102" s="185" t="s">
        <v>395</v>
      </c>
      <c r="AB102" s="185" t="s">
        <v>395</v>
      </c>
      <c r="AC102" s="185" t="s">
        <v>395</v>
      </c>
      <c r="AD102" s="185" t="s">
        <v>395</v>
      </c>
      <c r="AE102" s="185" t="s">
        <v>395</v>
      </c>
      <c r="AF102" s="185" t="s">
        <v>395</v>
      </c>
      <c r="AG102" s="185" t="s">
        <v>395</v>
      </c>
      <c r="AH102" s="185" t="s">
        <v>395</v>
      </c>
      <c r="AI102" s="185" t="s">
        <v>395</v>
      </c>
      <c r="AJ102" s="185" t="s">
        <v>395</v>
      </c>
      <c r="AK102" s="185" t="s">
        <v>395</v>
      </c>
      <c r="AL102" s="185" t="s">
        <v>395</v>
      </c>
      <c r="AM102" s="185" t="s">
        <v>395</v>
      </c>
      <c r="AN102" s="185" t="s">
        <v>395</v>
      </c>
      <c r="AO102" s="185" t="s">
        <v>395</v>
      </c>
    </row>
    <row r="103" spans="1:47">
      <c r="A103" s="35" t="s">
        <v>275</v>
      </c>
      <c r="B103" s="35" t="s">
        <v>531</v>
      </c>
      <c r="C103" s="185" t="s">
        <v>395</v>
      </c>
      <c r="D103" s="185" t="s">
        <v>395</v>
      </c>
      <c r="E103" s="185" t="s">
        <v>395</v>
      </c>
      <c r="F103" s="185" t="s">
        <v>395</v>
      </c>
      <c r="G103" s="185" t="s">
        <v>395</v>
      </c>
      <c r="H103" s="185" t="s">
        <v>395</v>
      </c>
      <c r="I103" s="185" t="s">
        <v>395</v>
      </c>
      <c r="J103" s="185" t="s">
        <v>395</v>
      </c>
      <c r="K103" s="185" t="s">
        <v>395</v>
      </c>
      <c r="L103" s="185" t="s">
        <v>395</v>
      </c>
      <c r="M103" s="185" t="s">
        <v>395</v>
      </c>
      <c r="N103" s="185" t="s">
        <v>395</v>
      </c>
      <c r="O103" s="185" t="s">
        <v>395</v>
      </c>
      <c r="P103" s="185" t="s">
        <v>395</v>
      </c>
      <c r="Q103" s="185" t="s">
        <v>395</v>
      </c>
      <c r="R103" s="185" t="s">
        <v>395</v>
      </c>
      <c r="S103" s="185" t="s">
        <v>395</v>
      </c>
      <c r="T103" s="185" t="s">
        <v>395</v>
      </c>
      <c r="U103" s="185" t="s">
        <v>395</v>
      </c>
      <c r="V103" s="185" t="s">
        <v>395</v>
      </c>
      <c r="W103" s="185" t="s">
        <v>395</v>
      </c>
      <c r="X103" s="185" t="s">
        <v>395</v>
      </c>
      <c r="Y103" s="185" t="s">
        <v>395</v>
      </c>
      <c r="Z103" s="185" t="s">
        <v>395</v>
      </c>
      <c r="AA103" s="185" t="s">
        <v>395</v>
      </c>
      <c r="AB103" s="185" t="s">
        <v>395</v>
      </c>
      <c r="AC103" s="185" t="s">
        <v>395</v>
      </c>
      <c r="AD103" s="185" t="s">
        <v>395</v>
      </c>
      <c r="AE103" s="185" t="s">
        <v>395</v>
      </c>
      <c r="AF103" s="185" t="s">
        <v>395</v>
      </c>
      <c r="AG103" s="185" t="s">
        <v>395</v>
      </c>
      <c r="AH103" s="185" t="s">
        <v>395</v>
      </c>
      <c r="AI103" s="185" t="s">
        <v>395</v>
      </c>
      <c r="AJ103" s="185" t="s">
        <v>395</v>
      </c>
      <c r="AK103" s="185" t="s">
        <v>395</v>
      </c>
      <c r="AL103" s="185" t="s">
        <v>395</v>
      </c>
    </row>
    <row r="104" spans="1:47">
      <c r="A104" s="35" t="s">
        <v>275</v>
      </c>
      <c r="B104" s="35" t="s">
        <v>532</v>
      </c>
      <c r="C104" s="185" t="s">
        <v>395</v>
      </c>
      <c r="D104" s="185" t="s">
        <v>395</v>
      </c>
      <c r="E104" s="185" t="s">
        <v>395</v>
      </c>
      <c r="F104" s="185" t="s">
        <v>395</v>
      </c>
      <c r="G104" s="185" t="s">
        <v>395</v>
      </c>
      <c r="H104" s="185" t="s">
        <v>395</v>
      </c>
      <c r="I104" s="185" t="s">
        <v>395</v>
      </c>
      <c r="J104" s="185" t="s">
        <v>395</v>
      </c>
      <c r="K104" s="185" t="s">
        <v>395</v>
      </c>
      <c r="L104" s="185" t="s">
        <v>395</v>
      </c>
      <c r="M104" s="185" t="s">
        <v>395</v>
      </c>
      <c r="N104" s="185" t="s">
        <v>395</v>
      </c>
      <c r="O104" s="185" t="s">
        <v>395</v>
      </c>
      <c r="P104" s="185" t="s">
        <v>395</v>
      </c>
      <c r="Q104" s="185" t="s">
        <v>395</v>
      </c>
      <c r="R104" s="185" t="s">
        <v>395</v>
      </c>
      <c r="S104" s="185" t="s">
        <v>395</v>
      </c>
      <c r="T104" s="185" t="s">
        <v>395</v>
      </c>
      <c r="U104" s="185" t="s">
        <v>395</v>
      </c>
      <c r="V104" s="185" t="s">
        <v>395</v>
      </c>
      <c r="W104" s="185" t="s">
        <v>395</v>
      </c>
      <c r="X104" s="185" t="s">
        <v>395</v>
      </c>
      <c r="Y104" s="185" t="s">
        <v>395</v>
      </c>
      <c r="Z104" s="185" t="s">
        <v>395</v>
      </c>
    </row>
    <row r="105" spans="1:47">
      <c r="A105" s="35" t="s">
        <v>275</v>
      </c>
      <c r="B105" s="35" t="s">
        <v>533</v>
      </c>
      <c r="C105" s="185" t="s">
        <v>395</v>
      </c>
      <c r="D105" s="185" t="s">
        <v>395</v>
      </c>
      <c r="E105" s="185" t="s">
        <v>395</v>
      </c>
      <c r="F105" s="185" t="s">
        <v>395</v>
      </c>
      <c r="G105" s="185" t="s">
        <v>395</v>
      </c>
      <c r="H105" s="185" t="s">
        <v>395</v>
      </c>
      <c r="I105" s="185" t="s">
        <v>395</v>
      </c>
      <c r="J105" s="185" t="s">
        <v>395</v>
      </c>
      <c r="K105" s="185" t="s">
        <v>395</v>
      </c>
      <c r="L105" s="185" t="s">
        <v>395</v>
      </c>
      <c r="M105" s="185" t="s">
        <v>395</v>
      </c>
      <c r="N105" s="185" t="s">
        <v>395</v>
      </c>
      <c r="O105" s="185" t="s">
        <v>395</v>
      </c>
      <c r="P105" s="185" t="s">
        <v>395</v>
      </c>
      <c r="Q105" s="185" t="s">
        <v>395</v>
      </c>
      <c r="R105" s="185" t="s">
        <v>395</v>
      </c>
    </row>
    <row r="106" spans="1:47">
      <c r="A106" s="35" t="s">
        <v>276</v>
      </c>
      <c r="B106" s="35" t="s">
        <v>531</v>
      </c>
      <c r="AM106" s="185" t="s">
        <v>395</v>
      </c>
      <c r="AN106" s="185" t="s">
        <v>395</v>
      </c>
      <c r="AO106" s="185" t="s">
        <v>395</v>
      </c>
    </row>
    <row r="107" spans="1:47">
      <c r="A107" s="35" t="s">
        <v>276</v>
      </c>
      <c r="B107" s="35" t="s">
        <v>532</v>
      </c>
      <c r="AA107" s="185" t="s">
        <v>395</v>
      </c>
      <c r="AB107" s="185" t="s">
        <v>395</v>
      </c>
      <c r="AC107" s="185" t="s">
        <v>395</v>
      </c>
      <c r="AD107" s="185" t="s">
        <v>395</v>
      </c>
      <c r="AE107" s="185" t="s">
        <v>395</v>
      </c>
      <c r="AF107" s="185" t="s">
        <v>395</v>
      </c>
      <c r="AG107" s="185" t="s">
        <v>395</v>
      </c>
      <c r="AH107" s="185" t="s">
        <v>395</v>
      </c>
      <c r="AI107" s="185" t="s">
        <v>395</v>
      </c>
      <c r="AJ107" s="185" t="s">
        <v>395</v>
      </c>
      <c r="AK107" s="185" t="s">
        <v>395</v>
      </c>
      <c r="AL107" s="185" t="s">
        <v>395</v>
      </c>
      <c r="AM107" s="185" t="s">
        <v>395</v>
      </c>
      <c r="AN107" s="185" t="s">
        <v>395</v>
      </c>
      <c r="AO107" s="185" t="s">
        <v>395</v>
      </c>
    </row>
    <row r="108" spans="1:47">
      <c r="A108" s="35" t="s">
        <v>276</v>
      </c>
      <c r="B108" s="35" t="s">
        <v>533</v>
      </c>
      <c r="S108" s="185" t="s">
        <v>395</v>
      </c>
      <c r="T108" s="185" t="s">
        <v>395</v>
      </c>
      <c r="U108" s="185" t="s">
        <v>395</v>
      </c>
      <c r="V108" s="185" t="s">
        <v>395</v>
      </c>
      <c r="W108" s="185" t="s">
        <v>395</v>
      </c>
      <c r="X108" s="185" t="s">
        <v>395</v>
      </c>
      <c r="Y108" s="185" t="s">
        <v>395</v>
      </c>
      <c r="Z108" s="185" t="s">
        <v>395</v>
      </c>
      <c r="AA108" s="185" t="s">
        <v>395</v>
      </c>
      <c r="AB108" s="185" t="s">
        <v>395</v>
      </c>
      <c r="AC108" s="185" t="s">
        <v>395</v>
      </c>
      <c r="AD108" s="185" t="s">
        <v>395</v>
      </c>
      <c r="AE108" s="185" t="s">
        <v>395</v>
      </c>
      <c r="AF108" s="185" t="s">
        <v>395</v>
      </c>
      <c r="AG108" s="185" t="s">
        <v>395</v>
      </c>
      <c r="AH108" s="185" t="s">
        <v>395</v>
      </c>
      <c r="AI108" s="185" t="s">
        <v>395</v>
      </c>
      <c r="AJ108" s="185" t="s">
        <v>395</v>
      </c>
      <c r="AK108" s="185" t="s">
        <v>395</v>
      </c>
      <c r="AL108" s="185" t="s">
        <v>395</v>
      </c>
      <c r="AM108" s="185" t="s">
        <v>395</v>
      </c>
      <c r="AN108" s="185" t="s">
        <v>395</v>
      </c>
      <c r="AO108" s="185" t="s">
        <v>395</v>
      </c>
    </row>
    <row r="109" spans="1:47">
      <c r="A109" s="35" t="s">
        <v>276</v>
      </c>
      <c r="B109" s="35" t="s">
        <v>534</v>
      </c>
      <c r="C109" s="185" t="s">
        <v>395</v>
      </c>
      <c r="D109" s="185" t="s">
        <v>395</v>
      </c>
      <c r="E109" s="185" t="s">
        <v>395</v>
      </c>
      <c r="F109" s="185" t="s">
        <v>395</v>
      </c>
      <c r="G109" s="185" t="s">
        <v>395</v>
      </c>
      <c r="H109" s="185" t="s">
        <v>395</v>
      </c>
      <c r="I109" s="185" t="s">
        <v>395</v>
      </c>
      <c r="J109" s="185" t="s">
        <v>395</v>
      </c>
      <c r="K109" s="185" t="s">
        <v>395</v>
      </c>
      <c r="L109" s="185" t="s">
        <v>395</v>
      </c>
      <c r="M109" s="185" t="s">
        <v>395</v>
      </c>
      <c r="N109" s="185" t="s">
        <v>395</v>
      </c>
      <c r="O109" s="185" t="s">
        <v>395</v>
      </c>
      <c r="P109" s="185" t="s">
        <v>395</v>
      </c>
      <c r="Q109" s="185" t="s">
        <v>395</v>
      </c>
      <c r="R109" s="185" t="s">
        <v>395</v>
      </c>
      <c r="S109" s="185" t="s">
        <v>395</v>
      </c>
      <c r="T109" s="185" t="s">
        <v>395</v>
      </c>
      <c r="U109" s="185" t="s">
        <v>395</v>
      </c>
      <c r="V109" s="185" t="s">
        <v>395</v>
      </c>
      <c r="W109" s="185" t="s">
        <v>395</v>
      </c>
      <c r="X109" s="185" t="s">
        <v>395</v>
      </c>
      <c r="Y109" s="185" t="s">
        <v>395</v>
      </c>
      <c r="Z109" s="185" t="s">
        <v>395</v>
      </c>
      <c r="AA109" s="185" t="s">
        <v>395</v>
      </c>
      <c r="AB109" s="185" t="s">
        <v>395</v>
      </c>
      <c r="AC109" s="185" t="s">
        <v>395</v>
      </c>
      <c r="AD109" s="185" t="s">
        <v>395</v>
      </c>
      <c r="AE109" s="185" t="s">
        <v>395</v>
      </c>
      <c r="AF109" s="185" t="s">
        <v>395</v>
      </c>
      <c r="AG109" s="185" t="s">
        <v>395</v>
      </c>
      <c r="AH109" s="185" t="s">
        <v>395</v>
      </c>
      <c r="AI109" s="185" t="s">
        <v>395</v>
      </c>
      <c r="AJ109" s="185" t="s">
        <v>395</v>
      </c>
      <c r="AK109" s="185" t="s">
        <v>395</v>
      </c>
      <c r="AL109" s="185" t="s">
        <v>395</v>
      </c>
      <c r="AM109" s="185" t="s">
        <v>395</v>
      </c>
      <c r="AN109" s="185" t="s">
        <v>395</v>
      </c>
      <c r="AO109" s="185" t="s">
        <v>395</v>
      </c>
    </row>
    <row r="110" spans="1:47">
      <c r="A110" s="35" t="s">
        <v>276</v>
      </c>
      <c r="B110" s="35" t="s">
        <v>535</v>
      </c>
      <c r="C110" s="185" t="s">
        <v>395</v>
      </c>
      <c r="D110" s="185" t="s">
        <v>395</v>
      </c>
      <c r="E110" s="185" t="s">
        <v>395</v>
      </c>
      <c r="F110" s="185" t="s">
        <v>395</v>
      </c>
      <c r="G110" s="185" t="s">
        <v>395</v>
      </c>
      <c r="H110" s="185" t="s">
        <v>395</v>
      </c>
      <c r="I110" s="185" t="s">
        <v>395</v>
      </c>
      <c r="J110" s="185" t="s">
        <v>395</v>
      </c>
      <c r="K110" s="185" t="s">
        <v>395</v>
      </c>
      <c r="L110" s="185" t="s">
        <v>395</v>
      </c>
      <c r="M110" s="185" t="s">
        <v>395</v>
      </c>
      <c r="N110" s="185" t="s">
        <v>395</v>
      </c>
      <c r="O110" s="185" t="s">
        <v>395</v>
      </c>
      <c r="P110" s="185" t="s">
        <v>395</v>
      </c>
      <c r="Q110" s="185" t="s">
        <v>395</v>
      </c>
      <c r="R110" s="185" t="s">
        <v>395</v>
      </c>
      <c r="S110" s="185" t="s">
        <v>395</v>
      </c>
      <c r="T110" s="185" t="s">
        <v>395</v>
      </c>
      <c r="U110" s="185" t="s">
        <v>395</v>
      </c>
      <c r="V110" s="185" t="s">
        <v>395</v>
      </c>
      <c r="W110" s="185" t="s">
        <v>395</v>
      </c>
      <c r="X110" s="185" t="s">
        <v>395</v>
      </c>
      <c r="Y110" s="185" t="s">
        <v>395</v>
      </c>
      <c r="Z110" s="185" t="s">
        <v>395</v>
      </c>
      <c r="AA110" s="185" t="s">
        <v>395</v>
      </c>
      <c r="AB110" s="185" t="s">
        <v>395</v>
      </c>
      <c r="AC110" s="185" t="s">
        <v>395</v>
      </c>
      <c r="AD110" s="185" t="s">
        <v>395</v>
      </c>
      <c r="AE110" s="185" t="s">
        <v>395</v>
      </c>
      <c r="AF110" s="185" t="s">
        <v>395</v>
      </c>
      <c r="AG110" s="185" t="s">
        <v>395</v>
      </c>
    </row>
    <row r="111" spans="1:47">
      <c r="A111" s="35" t="s">
        <v>276</v>
      </c>
      <c r="B111" s="35" t="s">
        <v>536</v>
      </c>
      <c r="C111" s="185" t="s">
        <v>395</v>
      </c>
      <c r="D111" s="185" t="s">
        <v>395</v>
      </c>
      <c r="E111" s="185" t="s">
        <v>395</v>
      </c>
      <c r="F111" s="185" t="s">
        <v>395</v>
      </c>
      <c r="G111" s="185" t="s">
        <v>395</v>
      </c>
      <c r="H111" s="185" t="s">
        <v>395</v>
      </c>
      <c r="I111" s="185" t="s">
        <v>395</v>
      </c>
      <c r="J111" s="185" t="s">
        <v>395</v>
      </c>
      <c r="K111" s="185" t="s">
        <v>395</v>
      </c>
      <c r="L111" s="185" t="s">
        <v>395</v>
      </c>
      <c r="M111" s="185" t="s">
        <v>395</v>
      </c>
      <c r="N111" s="185" t="s">
        <v>395</v>
      </c>
      <c r="O111" s="185" t="s">
        <v>395</v>
      </c>
      <c r="P111" s="185" t="s">
        <v>395</v>
      </c>
      <c r="Q111" s="185" t="s">
        <v>395</v>
      </c>
      <c r="R111" s="185" t="s">
        <v>395</v>
      </c>
      <c r="S111" s="185" t="s">
        <v>395</v>
      </c>
      <c r="T111" s="185" t="s">
        <v>395</v>
      </c>
    </row>
    <row r="112" spans="1:47">
      <c r="A112" s="35" t="s">
        <v>277</v>
      </c>
      <c r="B112" s="35" t="s">
        <v>535</v>
      </c>
      <c r="AH112" s="185" t="s">
        <v>395</v>
      </c>
      <c r="AI112" s="185" t="s">
        <v>395</v>
      </c>
      <c r="AJ112" s="185" t="s">
        <v>395</v>
      </c>
      <c r="AK112" s="185" t="s">
        <v>395</v>
      </c>
      <c r="AL112" s="185" t="s">
        <v>395</v>
      </c>
      <c r="AM112" s="185" t="s">
        <v>395</v>
      </c>
      <c r="AN112" s="185" t="s">
        <v>395</v>
      </c>
      <c r="AO112" s="185" t="s">
        <v>395</v>
      </c>
    </row>
    <row r="113" spans="1:41">
      <c r="A113" s="35" t="s">
        <v>277</v>
      </c>
      <c r="B113" s="35" t="s">
        <v>536</v>
      </c>
      <c r="U113" s="185" t="s">
        <v>395</v>
      </c>
      <c r="V113" s="185" t="s">
        <v>395</v>
      </c>
      <c r="W113" s="185" t="s">
        <v>395</v>
      </c>
      <c r="X113" s="185" t="s">
        <v>395</v>
      </c>
      <c r="Y113" s="185" t="s">
        <v>395</v>
      </c>
      <c r="Z113" s="185" t="s">
        <v>395</v>
      </c>
      <c r="AA113" s="185" t="s">
        <v>395</v>
      </c>
      <c r="AB113" s="185" t="s">
        <v>395</v>
      </c>
      <c r="AC113" s="185" t="s">
        <v>395</v>
      </c>
      <c r="AD113" s="185" t="s">
        <v>395</v>
      </c>
      <c r="AE113" s="185" t="s">
        <v>395</v>
      </c>
      <c r="AF113" s="185" t="s">
        <v>395</v>
      </c>
      <c r="AG113" s="185" t="s">
        <v>395</v>
      </c>
      <c r="AH113" s="185" t="s">
        <v>395</v>
      </c>
      <c r="AI113" s="185" t="s">
        <v>395</v>
      </c>
      <c r="AJ113" s="185" t="s">
        <v>395</v>
      </c>
      <c r="AK113" s="185" t="s">
        <v>395</v>
      </c>
      <c r="AL113" s="185" t="s">
        <v>395</v>
      </c>
      <c r="AM113" s="185" t="s">
        <v>395</v>
      </c>
      <c r="AN113" s="185" t="s">
        <v>395</v>
      </c>
      <c r="AO113" s="185" t="s">
        <v>395</v>
      </c>
    </row>
    <row r="114" spans="1:41">
      <c r="A114" s="35" t="s">
        <v>277</v>
      </c>
      <c r="B114" s="35" t="s">
        <v>537</v>
      </c>
      <c r="C114" s="185" t="s">
        <v>395</v>
      </c>
      <c r="D114" s="185" t="s">
        <v>395</v>
      </c>
      <c r="E114" s="185" t="s">
        <v>395</v>
      </c>
      <c r="F114" s="185" t="s">
        <v>395</v>
      </c>
      <c r="G114" s="185" t="s">
        <v>395</v>
      </c>
      <c r="H114" s="185" t="s">
        <v>395</v>
      </c>
      <c r="I114" s="185" t="s">
        <v>395</v>
      </c>
      <c r="J114" s="185" t="s">
        <v>395</v>
      </c>
      <c r="K114" s="185" t="s">
        <v>395</v>
      </c>
      <c r="L114" s="185" t="s">
        <v>395</v>
      </c>
      <c r="M114" s="185" t="s">
        <v>395</v>
      </c>
      <c r="N114" s="185" t="s">
        <v>395</v>
      </c>
      <c r="O114" s="185" t="s">
        <v>395</v>
      </c>
      <c r="P114" s="185" t="s">
        <v>395</v>
      </c>
      <c r="Q114" s="185" t="s">
        <v>395</v>
      </c>
      <c r="R114" s="185" t="s">
        <v>395</v>
      </c>
      <c r="S114" s="185" t="s">
        <v>395</v>
      </c>
      <c r="T114" s="185" t="s">
        <v>395</v>
      </c>
      <c r="U114" s="185" t="s">
        <v>395</v>
      </c>
      <c r="V114" s="185" t="s">
        <v>395</v>
      </c>
      <c r="W114" s="185" t="s">
        <v>395</v>
      </c>
      <c r="X114" s="185" t="s">
        <v>395</v>
      </c>
      <c r="Y114" s="185" t="s">
        <v>395</v>
      </c>
      <c r="Z114" s="185" t="s">
        <v>395</v>
      </c>
      <c r="AA114" s="185" t="s">
        <v>395</v>
      </c>
      <c r="AB114" s="185" t="s">
        <v>395</v>
      </c>
      <c r="AC114" s="185" t="s">
        <v>395</v>
      </c>
      <c r="AD114" s="185" t="s">
        <v>395</v>
      </c>
      <c r="AE114" s="185" t="s">
        <v>395</v>
      </c>
      <c r="AF114" s="185" t="s">
        <v>395</v>
      </c>
      <c r="AG114" s="185" t="s">
        <v>395</v>
      </c>
      <c r="AH114" s="185" t="s">
        <v>395</v>
      </c>
      <c r="AI114" s="185" t="s">
        <v>395</v>
      </c>
      <c r="AJ114" s="185" t="s">
        <v>395</v>
      </c>
      <c r="AK114" s="185" t="s">
        <v>395</v>
      </c>
      <c r="AL114" s="185" t="s">
        <v>395</v>
      </c>
      <c r="AM114" s="185" t="s">
        <v>395</v>
      </c>
      <c r="AN114" s="185" t="s">
        <v>395</v>
      </c>
      <c r="AO114" s="185" t="s">
        <v>395</v>
      </c>
    </row>
    <row r="115" spans="1:41">
      <c r="A115" s="35" t="s">
        <v>277</v>
      </c>
      <c r="B115" s="35" t="s">
        <v>538</v>
      </c>
      <c r="C115" s="185" t="s">
        <v>395</v>
      </c>
      <c r="D115" s="185" t="s">
        <v>395</v>
      </c>
      <c r="E115" s="185" t="s">
        <v>395</v>
      </c>
      <c r="F115" s="185" t="s">
        <v>395</v>
      </c>
      <c r="G115" s="185" t="s">
        <v>395</v>
      </c>
      <c r="H115" s="185" t="s">
        <v>395</v>
      </c>
      <c r="I115" s="185" t="s">
        <v>395</v>
      </c>
      <c r="J115" s="185" t="s">
        <v>395</v>
      </c>
      <c r="K115" s="185" t="s">
        <v>395</v>
      </c>
      <c r="L115" s="185" t="s">
        <v>395</v>
      </c>
      <c r="M115" s="185" t="s">
        <v>395</v>
      </c>
      <c r="N115" s="185" t="s">
        <v>395</v>
      </c>
      <c r="O115" s="185" t="s">
        <v>395</v>
      </c>
      <c r="P115" s="185" t="s">
        <v>395</v>
      </c>
      <c r="Q115" s="185" t="s">
        <v>395</v>
      </c>
      <c r="R115" s="185" t="s">
        <v>395</v>
      </c>
      <c r="S115" s="185" t="s">
        <v>395</v>
      </c>
      <c r="T115" s="185" t="s">
        <v>395</v>
      </c>
      <c r="U115" s="185" t="s">
        <v>395</v>
      </c>
      <c r="V115" s="185" t="s">
        <v>395</v>
      </c>
      <c r="W115" s="185" t="s">
        <v>395</v>
      </c>
      <c r="X115" s="185" t="s">
        <v>395</v>
      </c>
      <c r="Y115" s="185" t="s">
        <v>395</v>
      </c>
      <c r="Z115" s="185" t="s">
        <v>395</v>
      </c>
      <c r="AA115" s="185" t="s">
        <v>395</v>
      </c>
      <c r="AB115" s="185" t="s">
        <v>395</v>
      </c>
      <c r="AC115" s="185" t="s">
        <v>395</v>
      </c>
      <c r="AD115" s="185" t="s">
        <v>395</v>
      </c>
      <c r="AE115" s="185" t="s">
        <v>395</v>
      </c>
      <c r="AF115" s="185" t="s">
        <v>395</v>
      </c>
      <c r="AG115" s="185" t="s">
        <v>395</v>
      </c>
      <c r="AH115" s="185" t="s">
        <v>395</v>
      </c>
      <c r="AI115" s="185" t="s">
        <v>395</v>
      </c>
      <c r="AJ115" s="185" t="s">
        <v>395</v>
      </c>
      <c r="AK115" s="185" t="s">
        <v>395</v>
      </c>
      <c r="AL115" s="185" t="s">
        <v>395</v>
      </c>
      <c r="AM115" s="185" t="s">
        <v>395</v>
      </c>
      <c r="AN115" s="185" t="s">
        <v>395</v>
      </c>
      <c r="AO115" s="185" t="s">
        <v>395</v>
      </c>
    </row>
    <row r="116" spans="1:41">
      <c r="A116" s="35" t="s">
        <v>277</v>
      </c>
      <c r="B116" s="35" t="s">
        <v>601</v>
      </c>
      <c r="C116" s="185" t="s">
        <v>395</v>
      </c>
      <c r="D116" s="185" t="s">
        <v>395</v>
      </c>
      <c r="E116" s="185" t="s">
        <v>395</v>
      </c>
      <c r="F116" s="185" t="s">
        <v>395</v>
      </c>
      <c r="G116" s="185" t="s">
        <v>395</v>
      </c>
      <c r="H116" s="185" t="s">
        <v>395</v>
      </c>
      <c r="I116" s="185" t="s">
        <v>395</v>
      </c>
      <c r="J116" s="185" t="s">
        <v>395</v>
      </c>
      <c r="K116" s="185" t="s">
        <v>395</v>
      </c>
      <c r="L116" s="185" t="s">
        <v>395</v>
      </c>
      <c r="M116" s="185" t="s">
        <v>395</v>
      </c>
      <c r="N116" s="185" t="s">
        <v>395</v>
      </c>
      <c r="O116" s="185" t="s">
        <v>395</v>
      </c>
      <c r="P116" s="185" t="s">
        <v>395</v>
      </c>
      <c r="Q116" s="185" t="s">
        <v>395</v>
      </c>
      <c r="R116" s="185" t="s">
        <v>395</v>
      </c>
      <c r="S116" s="185" t="s">
        <v>395</v>
      </c>
      <c r="T116" s="185" t="s">
        <v>395</v>
      </c>
      <c r="U116" s="185" t="s">
        <v>395</v>
      </c>
      <c r="V116" s="185" t="s">
        <v>395</v>
      </c>
      <c r="W116" s="185" t="s">
        <v>395</v>
      </c>
      <c r="X116" s="185" t="s">
        <v>395</v>
      </c>
      <c r="Y116" s="185" t="s">
        <v>395</v>
      </c>
      <c r="Z116" s="185" t="s">
        <v>395</v>
      </c>
      <c r="AA116" s="185" t="s">
        <v>395</v>
      </c>
      <c r="AB116" s="185" t="s">
        <v>395</v>
      </c>
      <c r="AC116" s="185" t="s">
        <v>395</v>
      </c>
      <c r="AD116" s="185" t="s">
        <v>395</v>
      </c>
      <c r="AE116" s="185" t="s">
        <v>395</v>
      </c>
      <c r="AF116" s="185" t="s">
        <v>395</v>
      </c>
      <c r="AG116" s="185" t="s">
        <v>395</v>
      </c>
      <c r="AH116" s="185" t="s">
        <v>395</v>
      </c>
      <c r="AI116" s="185" t="s">
        <v>395</v>
      </c>
      <c r="AJ116" s="185" t="s">
        <v>395</v>
      </c>
      <c r="AK116" s="185" t="s">
        <v>395</v>
      </c>
      <c r="AL116" s="185" t="s">
        <v>395</v>
      </c>
      <c r="AM116" s="185" t="s">
        <v>395</v>
      </c>
      <c r="AN116" s="185" t="s">
        <v>395</v>
      </c>
      <c r="AO116" s="185" t="s">
        <v>395</v>
      </c>
    </row>
    <row r="117" spans="1:41">
      <c r="A117" s="35"/>
      <c r="B117" s="35"/>
    </row>
    <row r="118" spans="1:41">
      <c r="A118" s="35"/>
      <c r="B118" s="35"/>
    </row>
    <row r="119" spans="1:41">
      <c r="A119" s="35"/>
      <c r="B119" s="35"/>
    </row>
    <row r="120" spans="1:41">
      <c r="A120" s="35"/>
      <c r="B120" s="35"/>
    </row>
    <row r="121" spans="1:41">
      <c r="A121" s="35"/>
      <c r="B121" s="35"/>
    </row>
    <row r="122" spans="1:41">
      <c r="A122" s="35"/>
      <c r="B122" s="35"/>
    </row>
    <row r="123" spans="1:41">
      <c r="A123" s="35"/>
      <c r="B123" s="35"/>
    </row>
    <row r="124" spans="1:41">
      <c r="A124" s="35"/>
      <c r="B124" s="35"/>
    </row>
    <row r="125" spans="1:41">
      <c r="A125" s="35"/>
      <c r="B125" s="35"/>
    </row>
    <row r="126" spans="1:41">
      <c r="A126" s="35"/>
      <c r="B126" s="35"/>
    </row>
    <row r="127" spans="1:41">
      <c r="A127" s="35"/>
      <c r="B127" s="35"/>
    </row>
    <row r="128" spans="1:41">
      <c r="A128" s="35"/>
      <c r="B128" s="35"/>
    </row>
    <row r="129" spans="1:15">
      <c r="A129" s="35"/>
      <c r="B129" s="35"/>
    </row>
    <row r="130" spans="1:15">
      <c r="A130" s="35"/>
      <c r="B130" s="35"/>
    </row>
    <row r="131" spans="1:15">
      <c r="A131" s="35"/>
      <c r="B131" s="35"/>
      <c r="C131" s="197"/>
      <c r="D131" s="198"/>
      <c r="E131" s="198"/>
      <c r="F131" s="198"/>
      <c r="G131" s="198"/>
      <c r="H131" s="198"/>
      <c r="I131" s="198"/>
      <c r="J131" s="198"/>
      <c r="K131" s="198"/>
      <c r="L131" s="35"/>
      <c r="M131" s="198"/>
      <c r="N131" s="179"/>
      <c r="O131" s="179"/>
    </row>
    <row r="132" spans="1:15">
      <c r="A132" s="35"/>
      <c r="B132" s="35"/>
    </row>
    <row r="133" spans="1:15">
      <c r="A133" s="35"/>
      <c r="B133" s="35"/>
    </row>
    <row r="134" spans="1:15">
      <c r="A134" s="35"/>
      <c r="B134" s="35"/>
    </row>
    <row r="161" spans="1:13">
      <c r="A161" s="35"/>
      <c r="B161" s="35"/>
      <c r="C161" s="35"/>
      <c r="D161" s="35"/>
      <c r="E161" s="35"/>
      <c r="F161" s="35"/>
      <c r="G161" s="35"/>
      <c r="H161" s="35"/>
      <c r="I161" s="35"/>
      <c r="J161" s="35"/>
      <c r="K161" s="35"/>
      <c r="L161" s="35"/>
      <c r="M161" s="35"/>
    </row>
    <row r="162" spans="1:13">
      <c r="A162" s="35" t="s">
        <v>641</v>
      </c>
      <c r="B162" s="35" t="s">
        <v>4</v>
      </c>
      <c r="C162" s="35" t="s">
        <v>642</v>
      </c>
      <c r="D162" s="35" t="s">
        <v>643</v>
      </c>
      <c r="E162" s="35" t="s">
        <v>663</v>
      </c>
      <c r="F162" s="275"/>
      <c r="G162" s="275"/>
      <c r="H162" s="275"/>
      <c r="I162" s="275"/>
      <c r="J162" s="275"/>
      <c r="K162" s="275"/>
      <c r="L162" s="275"/>
      <c r="M162" s="275"/>
    </row>
    <row r="163" spans="1:13">
      <c r="A163" s="185">
        <v>-1</v>
      </c>
      <c r="B163" s="185">
        <v>-1</v>
      </c>
      <c r="C163" s="185">
        <v>-1</v>
      </c>
      <c r="D163" s="185">
        <v>1</v>
      </c>
      <c r="E163" s="185">
        <v>-1</v>
      </c>
    </row>
  </sheetData>
  <pageMargins left="0.7" right="0.7"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dimension ref="A2:AO77"/>
  <sheetViews>
    <sheetView workbookViewId="0">
      <selection activeCell="L10" sqref="L10"/>
    </sheetView>
    <sheetView workbookViewId="1"/>
  </sheetViews>
  <sheetFormatPr defaultColWidth="8.85546875" defaultRowHeight="15"/>
  <cols>
    <col min="1" max="1" width="13.42578125" customWidth="1"/>
    <col min="3" max="3" width="13.42578125" bestFit="1" customWidth="1"/>
    <col min="4" max="33" width="10.42578125" bestFit="1" customWidth="1"/>
  </cols>
  <sheetData>
    <row r="2" spans="1:41" s="4" customFormat="1"/>
    <row r="3" spans="1:41" s="4" customFormat="1">
      <c r="C3" s="35" t="s">
        <v>553</v>
      </c>
      <c r="D3" s="35" t="s">
        <v>562</v>
      </c>
      <c r="E3" s="35" t="s">
        <v>563</v>
      </c>
      <c r="F3" s="35" t="s">
        <v>554</v>
      </c>
      <c r="G3" s="35" t="s">
        <v>564</v>
      </c>
      <c r="H3" s="35" t="s">
        <v>565</v>
      </c>
      <c r="I3" s="35" t="s">
        <v>566</v>
      </c>
      <c r="J3" s="35" t="s">
        <v>567</v>
      </c>
      <c r="K3" s="35" t="s">
        <v>555</v>
      </c>
      <c r="L3" s="35" t="s">
        <v>568</v>
      </c>
      <c r="M3" s="35" t="s">
        <v>569</v>
      </c>
      <c r="N3" s="35" t="s">
        <v>570</v>
      </c>
      <c r="O3" s="35" t="s">
        <v>571</v>
      </c>
      <c r="P3" s="35" t="s">
        <v>556</v>
      </c>
      <c r="Q3" s="35" t="s">
        <v>572</v>
      </c>
      <c r="R3" s="35" t="s">
        <v>573</v>
      </c>
      <c r="S3" s="35" t="s">
        <v>574</v>
      </c>
      <c r="T3" s="35" t="s">
        <v>575</v>
      </c>
      <c r="U3" s="35" t="s">
        <v>557</v>
      </c>
      <c r="V3" s="35" t="s">
        <v>576</v>
      </c>
      <c r="W3" s="35" t="s">
        <v>577</v>
      </c>
      <c r="X3" s="35" t="s">
        <v>578</v>
      </c>
      <c r="Y3" s="35" t="s">
        <v>579</v>
      </c>
      <c r="Z3" s="35" t="s">
        <v>558</v>
      </c>
      <c r="AA3" s="35" t="s">
        <v>580</v>
      </c>
      <c r="AB3" s="35" t="s">
        <v>581</v>
      </c>
      <c r="AC3" s="35" t="s">
        <v>582</v>
      </c>
      <c r="AD3" s="35" t="s">
        <v>583</v>
      </c>
      <c r="AE3" s="35" t="s">
        <v>559</v>
      </c>
      <c r="AF3" s="35" t="s">
        <v>560</v>
      </c>
      <c r="AG3" s="35" t="s">
        <v>561</v>
      </c>
      <c r="AH3" s="35"/>
      <c r="AI3" s="35"/>
      <c r="AJ3" s="35"/>
      <c r="AK3" s="35"/>
      <c r="AL3" s="35"/>
      <c r="AM3" s="35"/>
      <c r="AN3" s="35"/>
      <c r="AO3" s="35"/>
    </row>
    <row r="4" spans="1:41" s="4" customFormat="1"/>
    <row r="5" spans="1:41" s="4" customFormat="1">
      <c r="A5" s="4" t="s">
        <v>609</v>
      </c>
      <c r="C5" s="276">
        <v>2012</v>
      </c>
      <c r="D5" s="276">
        <v>2013</v>
      </c>
      <c r="E5" s="276">
        <v>2014</v>
      </c>
      <c r="F5" s="276">
        <v>2015</v>
      </c>
      <c r="G5" s="276">
        <v>2016</v>
      </c>
      <c r="H5" s="276">
        <v>2017</v>
      </c>
      <c r="I5" s="276">
        <v>2018</v>
      </c>
      <c r="J5" s="276">
        <v>2019</v>
      </c>
      <c r="K5" s="276">
        <v>2020</v>
      </c>
      <c r="L5" s="276">
        <v>2021</v>
      </c>
      <c r="M5" s="276">
        <v>2022</v>
      </c>
      <c r="N5" s="276">
        <v>2023</v>
      </c>
      <c r="O5" s="276">
        <v>2024</v>
      </c>
      <c r="P5" s="276">
        <v>2025</v>
      </c>
      <c r="Q5" s="276">
        <v>2026</v>
      </c>
      <c r="R5" s="276">
        <v>2027</v>
      </c>
      <c r="S5" s="276">
        <v>2028</v>
      </c>
      <c r="T5" s="276">
        <v>2029</v>
      </c>
      <c r="U5" s="276">
        <v>2030</v>
      </c>
      <c r="V5" s="276">
        <v>2031</v>
      </c>
      <c r="W5" s="276">
        <v>2032</v>
      </c>
      <c r="X5" s="276">
        <v>2033</v>
      </c>
      <c r="Y5" s="276">
        <v>2034</v>
      </c>
      <c r="Z5" s="276">
        <v>2035</v>
      </c>
      <c r="AA5" s="276">
        <v>2036</v>
      </c>
      <c r="AB5" s="276">
        <v>2037</v>
      </c>
      <c r="AC5" s="276">
        <v>2038</v>
      </c>
      <c r="AD5" s="276">
        <v>2039</v>
      </c>
      <c r="AE5" s="276">
        <v>2040</v>
      </c>
      <c r="AF5" s="276">
        <v>2045</v>
      </c>
      <c r="AG5" s="276">
        <v>2050</v>
      </c>
      <c r="AN5" s="5"/>
    </row>
    <row r="6" spans="1:41">
      <c r="A6" t="s">
        <v>610</v>
      </c>
      <c r="C6">
        <v>0</v>
      </c>
      <c r="D6">
        <f>C6+1</f>
        <v>1</v>
      </c>
      <c r="E6" s="4">
        <f t="shared" ref="E6:AG6" si="0">D6+1</f>
        <v>2</v>
      </c>
      <c r="F6" s="4">
        <f t="shared" si="0"/>
        <v>3</v>
      </c>
      <c r="G6" s="4">
        <f t="shared" si="0"/>
        <v>4</v>
      </c>
      <c r="H6" s="4">
        <f t="shared" si="0"/>
        <v>5</v>
      </c>
      <c r="I6" s="4">
        <f t="shared" si="0"/>
        <v>6</v>
      </c>
      <c r="J6" s="4">
        <f t="shared" si="0"/>
        <v>7</v>
      </c>
      <c r="K6" s="4">
        <f t="shared" si="0"/>
        <v>8</v>
      </c>
      <c r="L6" s="4">
        <f t="shared" si="0"/>
        <v>9</v>
      </c>
      <c r="M6" s="4">
        <f t="shared" si="0"/>
        <v>10</v>
      </c>
      <c r="N6" s="4">
        <f t="shared" si="0"/>
        <v>11</v>
      </c>
      <c r="O6" s="4">
        <f t="shared" si="0"/>
        <v>12</v>
      </c>
      <c r="P6" s="4">
        <f t="shared" si="0"/>
        <v>13</v>
      </c>
      <c r="Q6" s="4">
        <f t="shared" si="0"/>
        <v>14</v>
      </c>
      <c r="R6" s="4">
        <f t="shared" si="0"/>
        <v>15</v>
      </c>
      <c r="S6" s="4">
        <f t="shared" si="0"/>
        <v>16</v>
      </c>
      <c r="T6" s="4">
        <f t="shared" si="0"/>
        <v>17</v>
      </c>
      <c r="U6" s="4">
        <f t="shared" si="0"/>
        <v>18</v>
      </c>
      <c r="V6" s="4">
        <f t="shared" si="0"/>
        <v>19</v>
      </c>
      <c r="W6" s="4">
        <f t="shared" si="0"/>
        <v>20</v>
      </c>
      <c r="X6" s="4">
        <f t="shared" si="0"/>
        <v>21</v>
      </c>
      <c r="Y6" s="4">
        <f t="shared" si="0"/>
        <v>22</v>
      </c>
      <c r="Z6" s="4">
        <f t="shared" si="0"/>
        <v>23</v>
      </c>
      <c r="AA6" s="4">
        <f t="shared" si="0"/>
        <v>24</v>
      </c>
      <c r="AB6" s="4">
        <f t="shared" si="0"/>
        <v>25</v>
      </c>
      <c r="AC6" s="4">
        <f t="shared" si="0"/>
        <v>26</v>
      </c>
      <c r="AD6" s="4">
        <f t="shared" si="0"/>
        <v>27</v>
      </c>
      <c r="AE6" s="4">
        <f t="shared" si="0"/>
        <v>28</v>
      </c>
      <c r="AF6" s="4">
        <f t="shared" si="0"/>
        <v>29</v>
      </c>
      <c r="AG6" s="4">
        <f t="shared" si="0"/>
        <v>30</v>
      </c>
      <c r="AH6" s="4"/>
      <c r="AI6" s="4"/>
      <c r="AJ6" s="4"/>
      <c r="AK6" s="4"/>
      <c r="AL6" s="4"/>
      <c r="AM6" s="4"/>
    </row>
    <row r="7" spans="1:41">
      <c r="A7" s="134" t="s">
        <v>138</v>
      </c>
      <c r="B7" s="4">
        <v>1</v>
      </c>
      <c r="C7" s="331">
        <v>69.817113338466598</v>
      </c>
      <c r="D7" s="331">
        <v>73.084999999999994</v>
      </c>
      <c r="E7" s="331">
        <v>76.058999999999997</v>
      </c>
      <c r="F7" s="331">
        <v>75.036000000000001</v>
      </c>
      <c r="G7" s="331">
        <v>74.197000000000003</v>
      </c>
      <c r="H7" s="331">
        <v>76.781999999999996</v>
      </c>
      <c r="I7" s="331">
        <v>75.613</v>
      </c>
      <c r="J7" s="331">
        <v>74.427999999999997</v>
      </c>
      <c r="K7" s="331">
        <v>71.725999999999999</v>
      </c>
      <c r="L7" s="10">
        <f>L42/K42*K7</f>
        <v>73.514822682499755</v>
      </c>
      <c r="M7" s="10">
        <f t="shared" ref="M7:AG19" si="1">M42/L42*L7</f>
        <v>75.572664412255719</v>
      </c>
      <c r="N7" s="10">
        <f t="shared" si="1"/>
        <v>77.347567727327473</v>
      </c>
      <c r="O7" s="10">
        <f t="shared" si="1"/>
        <v>79.12077697074831</v>
      </c>
      <c r="P7" s="10">
        <f t="shared" si="1"/>
        <v>80.977521601129098</v>
      </c>
      <c r="Q7" s="10">
        <f t="shared" si="1"/>
        <v>82.842155240140002</v>
      </c>
      <c r="R7" s="10">
        <f t="shared" si="1"/>
        <v>84.668393195806658</v>
      </c>
      <c r="S7" s="10">
        <f t="shared" si="1"/>
        <v>86.405686587770418</v>
      </c>
      <c r="T7" s="10">
        <f t="shared" si="1"/>
        <v>88.130023808644651</v>
      </c>
      <c r="U7" s="10">
        <f t="shared" si="1"/>
        <v>89.667646106007552</v>
      </c>
      <c r="V7" s="10">
        <f t="shared" si="1"/>
        <v>91.73929135011835</v>
      </c>
      <c r="W7" s="10">
        <f t="shared" si="1"/>
        <v>93.687651950873686</v>
      </c>
      <c r="X7" s="10">
        <f t="shared" si="1"/>
        <v>95.501120086341373</v>
      </c>
      <c r="Y7" s="10">
        <f t="shared" si="1"/>
        <v>97.193090069157307</v>
      </c>
      <c r="Z7" s="10">
        <f t="shared" si="1"/>
        <v>99.131757126691255</v>
      </c>
      <c r="AA7" s="10">
        <f t="shared" si="1"/>
        <v>101.02117158129585</v>
      </c>
      <c r="AB7" s="10">
        <f t="shared" si="1"/>
        <v>102.97785195423387</v>
      </c>
      <c r="AC7" s="10">
        <f t="shared" si="1"/>
        <v>104.87138927845699</v>
      </c>
      <c r="AD7" s="10">
        <f t="shared" si="1"/>
        <v>106.81413484230917</v>
      </c>
      <c r="AE7" s="10">
        <f t="shared" si="1"/>
        <v>108.85935352291986</v>
      </c>
      <c r="AF7" s="10">
        <f t="shared" si="1"/>
        <v>120.06647375355969</v>
      </c>
      <c r="AG7" s="10">
        <f t="shared" si="1"/>
        <v>132.66281091257488</v>
      </c>
      <c r="AH7" s="126"/>
      <c r="AI7" s="126"/>
      <c r="AJ7" s="126"/>
      <c r="AK7" s="126"/>
      <c r="AL7" s="126"/>
      <c r="AM7" s="126"/>
      <c r="AO7">
        <v>1</v>
      </c>
    </row>
    <row r="8" spans="1:41">
      <c r="A8" s="134" t="s">
        <v>4</v>
      </c>
      <c r="B8" s="4">
        <f>B7+1</f>
        <v>2</v>
      </c>
      <c r="C8" s="331">
        <v>1833.8485148656705</v>
      </c>
      <c r="D8" s="331">
        <v>1885.8209999999999</v>
      </c>
      <c r="E8" s="331">
        <v>1933.1679999999999</v>
      </c>
      <c r="F8" s="331">
        <v>1966.174</v>
      </c>
      <c r="G8" s="331">
        <v>1991.546</v>
      </c>
      <c r="H8" s="331">
        <v>2020.6990000000001</v>
      </c>
      <c r="I8" s="331">
        <v>2053.4989999999998</v>
      </c>
      <c r="J8" s="331">
        <v>2080.7860000000001</v>
      </c>
      <c r="K8" s="331">
        <v>1927.731</v>
      </c>
      <c r="L8" s="10">
        <f t="shared" ref="L8:L24" si="2">L43/K43*K8</f>
        <v>1970.7408635447755</v>
      </c>
      <c r="M8" s="10">
        <f t="shared" si="1"/>
        <v>2016.0771684341241</v>
      </c>
      <c r="N8" s="10">
        <f t="shared" si="1"/>
        <v>2065.4042130665671</v>
      </c>
      <c r="O8" s="10">
        <f t="shared" si="1"/>
        <v>2118.5150626172972</v>
      </c>
      <c r="P8" s="10">
        <f t="shared" si="1"/>
        <v>2172.0568782717742</v>
      </c>
      <c r="Q8" s="10">
        <f t="shared" si="1"/>
        <v>2231.5020739293468</v>
      </c>
      <c r="R8" s="10">
        <f t="shared" si="1"/>
        <v>2292.7690980654993</v>
      </c>
      <c r="S8" s="10">
        <f t="shared" si="1"/>
        <v>2358.2377885147248</v>
      </c>
      <c r="T8" s="10">
        <f t="shared" si="1"/>
        <v>2425.5863981499592</v>
      </c>
      <c r="U8" s="10">
        <f t="shared" si="1"/>
        <v>2485.4888082606526</v>
      </c>
      <c r="V8" s="10">
        <f t="shared" si="1"/>
        <v>2556.5297526178038</v>
      </c>
      <c r="W8" s="10">
        <f t="shared" si="1"/>
        <v>2629.6045354150306</v>
      </c>
      <c r="X8" s="10">
        <f t="shared" si="1"/>
        <v>2704.8656031316436</v>
      </c>
      <c r="Y8" s="10">
        <f t="shared" si="1"/>
        <v>2778.0912171382747</v>
      </c>
      <c r="Z8" s="10">
        <f t="shared" si="1"/>
        <v>2855.4804064105374</v>
      </c>
      <c r="AA8" s="10">
        <f t="shared" si="1"/>
        <v>2935.4002728689229</v>
      </c>
      <c r="AB8" s="10">
        <f t="shared" si="1"/>
        <v>3018.4445874573839</v>
      </c>
      <c r="AC8" s="10">
        <f t="shared" si="1"/>
        <v>3101.0921063944338</v>
      </c>
      <c r="AD8" s="10">
        <f t="shared" si="1"/>
        <v>3186.5950536675605</v>
      </c>
      <c r="AE8" s="10">
        <f t="shared" si="1"/>
        <v>3277.1201456102917</v>
      </c>
      <c r="AF8" s="10">
        <f t="shared" si="1"/>
        <v>3793.7109615811719</v>
      </c>
      <c r="AG8" s="10">
        <f t="shared" si="1"/>
        <v>4380.0083673477939</v>
      </c>
      <c r="AH8" s="126"/>
      <c r="AI8" s="126"/>
      <c r="AJ8" s="126"/>
      <c r="AK8" s="126"/>
      <c r="AL8" s="126"/>
      <c r="AM8" s="126"/>
      <c r="AO8">
        <f>AO7+1</f>
        <v>2</v>
      </c>
    </row>
    <row r="9" spans="1:41">
      <c r="A9" s="134" t="s">
        <v>525</v>
      </c>
      <c r="B9" s="185">
        <f t="shared" ref="B9:B34" si="3">B8+1</f>
        <v>3</v>
      </c>
      <c r="C9" s="331">
        <v>52.810230956688748</v>
      </c>
      <c r="D9" s="331">
        <v>54.390999999999998</v>
      </c>
      <c r="E9" s="331">
        <v>55.515000000000001</v>
      </c>
      <c r="F9" s="331">
        <v>56.133000000000003</v>
      </c>
      <c r="G9" s="331">
        <v>56.734999999999999</v>
      </c>
      <c r="H9" s="331">
        <v>57.222000000000001</v>
      </c>
      <c r="I9" s="331">
        <v>57.87</v>
      </c>
      <c r="J9" s="331">
        <v>57.747999999999998</v>
      </c>
      <c r="K9" s="331">
        <v>53.228999999999999</v>
      </c>
      <c r="L9" s="10">
        <f t="shared" si="2"/>
        <v>54.516389635248402</v>
      </c>
      <c r="M9" s="10">
        <f t="shared" si="1"/>
        <v>55.828537037545736</v>
      </c>
      <c r="N9" s="10">
        <f t="shared" si="1"/>
        <v>57.206496146040969</v>
      </c>
      <c r="O9" s="10">
        <f t="shared" si="1"/>
        <v>58.695742525860048</v>
      </c>
      <c r="P9" s="10">
        <f t="shared" si="1"/>
        <v>60.217949146571861</v>
      </c>
      <c r="Q9" s="10">
        <f t="shared" si="1"/>
        <v>61.828285669583188</v>
      </c>
      <c r="R9" s="10">
        <f t="shared" si="1"/>
        <v>63.45990869087349</v>
      </c>
      <c r="S9" s="10">
        <f t="shared" si="1"/>
        <v>65.223740974566454</v>
      </c>
      <c r="T9" s="10">
        <f t="shared" si="1"/>
        <v>67.023934528678637</v>
      </c>
      <c r="U9" s="10">
        <f t="shared" si="1"/>
        <v>68.599396809248773</v>
      </c>
      <c r="V9" s="10">
        <f t="shared" si="1"/>
        <v>70.426432832893113</v>
      </c>
      <c r="W9" s="10">
        <f t="shared" si="1"/>
        <v>72.337720056565772</v>
      </c>
      <c r="X9" s="10">
        <f t="shared" si="1"/>
        <v>74.245054802136565</v>
      </c>
      <c r="Y9" s="10">
        <f t="shared" si="1"/>
        <v>76.11922776695242</v>
      </c>
      <c r="Z9" s="10">
        <f t="shared" si="1"/>
        <v>78.167431761519637</v>
      </c>
      <c r="AA9" s="10">
        <f t="shared" si="1"/>
        <v>80.161294575858804</v>
      </c>
      <c r="AB9" s="10">
        <f t="shared" si="1"/>
        <v>82.235763763794935</v>
      </c>
      <c r="AC9" s="10">
        <f t="shared" si="1"/>
        <v>84.276722477688466</v>
      </c>
      <c r="AD9" s="10">
        <f t="shared" si="1"/>
        <v>86.388987879569868</v>
      </c>
      <c r="AE9" s="10">
        <f t="shared" si="1"/>
        <v>88.628676674493676</v>
      </c>
      <c r="AF9" s="10">
        <f t="shared" si="1"/>
        <v>101.20050677887698</v>
      </c>
      <c r="AG9" s="10">
        <f t="shared" si="1"/>
        <v>115.4394254511642</v>
      </c>
      <c r="AH9" s="126"/>
      <c r="AI9" s="126"/>
      <c r="AJ9" s="126"/>
      <c r="AK9" s="126"/>
      <c r="AL9" s="126"/>
      <c r="AM9" s="126"/>
      <c r="AO9" s="4">
        <f t="shared" ref="AO9:AO22" si="4">AO8+1</f>
        <v>3</v>
      </c>
    </row>
    <row r="10" spans="1:41">
      <c r="A10" s="134" t="s">
        <v>522</v>
      </c>
      <c r="B10" s="185">
        <f t="shared" si="3"/>
        <v>4</v>
      </c>
      <c r="C10" s="331">
        <v>93.09690942833015</v>
      </c>
      <c r="D10" s="331">
        <v>96.522000000000006</v>
      </c>
      <c r="E10" s="331">
        <v>99.097999999999999</v>
      </c>
      <c r="F10" s="331">
        <v>100.31</v>
      </c>
      <c r="G10" s="331">
        <v>102.387</v>
      </c>
      <c r="H10" s="331">
        <v>103.53100000000001</v>
      </c>
      <c r="I10" s="331">
        <v>105.003</v>
      </c>
      <c r="J10" s="331">
        <v>104.664</v>
      </c>
      <c r="K10" s="331">
        <v>99.796999999999997</v>
      </c>
      <c r="L10" s="10">
        <f t="shared" si="2"/>
        <v>102.36491582834971</v>
      </c>
      <c r="M10" s="10">
        <f t="shared" si="1"/>
        <v>105.0098528974475</v>
      </c>
      <c r="N10" s="10">
        <f t="shared" si="1"/>
        <v>107.47669954869907</v>
      </c>
      <c r="O10" s="10">
        <f t="shared" si="1"/>
        <v>110.04858524266147</v>
      </c>
      <c r="P10" s="10">
        <f t="shared" si="1"/>
        <v>112.67346926743792</v>
      </c>
      <c r="Q10" s="10">
        <f t="shared" si="1"/>
        <v>115.34121171944236</v>
      </c>
      <c r="R10" s="10">
        <f t="shared" si="1"/>
        <v>117.94095188094238</v>
      </c>
      <c r="S10" s="10">
        <f t="shared" si="1"/>
        <v>120.67327288108554</v>
      </c>
      <c r="T10" s="10">
        <f t="shared" si="1"/>
        <v>123.37488866273767</v>
      </c>
      <c r="U10" s="10">
        <f t="shared" si="1"/>
        <v>125.73427076274204</v>
      </c>
      <c r="V10" s="10">
        <f t="shared" si="1"/>
        <v>128.62927041441671</v>
      </c>
      <c r="W10" s="10">
        <f t="shared" si="1"/>
        <v>131.56211600801402</v>
      </c>
      <c r="X10" s="10">
        <f t="shared" si="1"/>
        <v>134.36542766837559</v>
      </c>
      <c r="Y10" s="10">
        <f t="shared" si="1"/>
        <v>137.08611789583711</v>
      </c>
      <c r="Z10" s="10">
        <f t="shared" si="1"/>
        <v>140.27590085253956</v>
      </c>
      <c r="AA10" s="10">
        <f t="shared" si="1"/>
        <v>143.21803780563229</v>
      </c>
      <c r="AB10" s="10">
        <f t="shared" si="1"/>
        <v>146.22211211981949</v>
      </c>
      <c r="AC10" s="10">
        <f t="shared" si="1"/>
        <v>149.0801110245722</v>
      </c>
      <c r="AD10" s="10">
        <f t="shared" si="1"/>
        <v>152.00630507710386</v>
      </c>
      <c r="AE10" s="10">
        <f t="shared" si="1"/>
        <v>155.07174759921938</v>
      </c>
      <c r="AF10" s="10">
        <f t="shared" si="1"/>
        <v>171.77306646677394</v>
      </c>
      <c r="AG10" s="10">
        <f t="shared" si="1"/>
        <v>189.70229183869614</v>
      </c>
      <c r="AH10" s="126"/>
      <c r="AI10" s="126"/>
      <c r="AJ10" s="126"/>
      <c r="AK10" s="126"/>
      <c r="AL10" s="126"/>
      <c r="AM10" s="126"/>
      <c r="AO10" s="4">
        <f t="shared" si="4"/>
        <v>4</v>
      </c>
    </row>
    <row r="11" spans="1:41">
      <c r="A11" s="134" t="s">
        <v>599</v>
      </c>
      <c r="B11" s="185">
        <f t="shared" si="3"/>
        <v>5</v>
      </c>
      <c r="C11" s="331">
        <v>1.2396211872289537E-4</v>
      </c>
      <c r="D11" s="331">
        <v>1E-4</v>
      </c>
      <c r="E11" s="331">
        <v>1E-4</v>
      </c>
      <c r="F11" s="331">
        <v>1E-4</v>
      </c>
      <c r="G11" s="331">
        <v>1E-4</v>
      </c>
      <c r="H11" s="331">
        <v>1E-4</v>
      </c>
      <c r="I11" s="331">
        <v>1E-4</v>
      </c>
      <c r="J11" s="331">
        <v>1E-4</v>
      </c>
      <c r="K11" s="331">
        <v>1E-4</v>
      </c>
      <c r="L11" s="10">
        <f t="shared" si="2"/>
        <v>1.1078633148196885E-4</v>
      </c>
      <c r="M11" s="10">
        <f t="shared" si="1"/>
        <v>1.1426727129847656E-4</v>
      </c>
      <c r="N11" s="10">
        <f t="shared" si="1"/>
        <v>1.1815218239814442E-4</v>
      </c>
      <c r="O11" s="10">
        <f t="shared" si="1"/>
        <v>1.2320150174249553E-4</v>
      </c>
      <c r="P11" s="10">
        <f t="shared" si="1"/>
        <v>1.3039328663747845E-4</v>
      </c>
      <c r="Q11" s="10">
        <f t="shared" si="1"/>
        <v>1.3458906182909188E-4</v>
      </c>
      <c r="R11" s="10">
        <f t="shared" si="1"/>
        <v>1.3888070837393644E-4</v>
      </c>
      <c r="S11" s="10">
        <f t="shared" si="1"/>
        <v>1.4357055380305797E-4</v>
      </c>
      <c r="T11" s="10">
        <f t="shared" si="1"/>
        <v>1.1172699638862214E-4</v>
      </c>
      <c r="U11" s="10">
        <f t="shared" si="1"/>
        <v>1.1172699638862217E-4</v>
      </c>
      <c r="V11" s="10">
        <f t="shared" si="1"/>
        <v>1.117269963886222E-4</v>
      </c>
      <c r="W11" s="10">
        <f t="shared" si="1"/>
        <v>1.1172699638862217E-4</v>
      </c>
      <c r="X11" s="10">
        <f t="shared" si="1"/>
        <v>1.1172699638862217E-4</v>
      </c>
      <c r="Y11" s="10">
        <f t="shared" si="1"/>
        <v>1.1172699638862217E-4</v>
      </c>
      <c r="Z11" s="10">
        <f t="shared" si="1"/>
        <v>1.1172699638862217E-4</v>
      </c>
      <c r="AA11" s="10">
        <f t="shared" si="1"/>
        <v>1.1172699638862222E-4</v>
      </c>
      <c r="AB11" s="10">
        <f t="shared" si="1"/>
        <v>1.1172699638862222E-4</v>
      </c>
      <c r="AC11" s="10">
        <f t="shared" si="1"/>
        <v>1.1172699638862217E-4</v>
      </c>
      <c r="AD11" s="10">
        <f t="shared" si="1"/>
        <v>1.1172699638862217E-4</v>
      </c>
      <c r="AE11" s="10">
        <f t="shared" si="1"/>
        <v>1.1172699638862214E-4</v>
      </c>
      <c r="AF11" s="10">
        <f t="shared" si="1"/>
        <v>1.1172699638862232E-4</v>
      </c>
      <c r="AG11" s="10">
        <f t="shared" si="1"/>
        <v>1.1172699638862227E-4</v>
      </c>
      <c r="AH11" s="126"/>
      <c r="AI11" s="126"/>
      <c r="AJ11" s="126"/>
      <c r="AK11" s="126"/>
      <c r="AL11" s="126"/>
      <c r="AM11" s="126"/>
      <c r="AO11" s="4">
        <f t="shared" si="4"/>
        <v>5</v>
      </c>
    </row>
    <row r="12" spans="1:41">
      <c r="A12" s="134" t="s">
        <v>388</v>
      </c>
      <c r="B12" s="185">
        <f t="shared" si="3"/>
        <v>6</v>
      </c>
      <c r="C12" s="331">
        <v>13.345629432701433</v>
      </c>
      <c r="D12" s="331">
        <v>13.752000000000001</v>
      </c>
      <c r="E12" s="331">
        <v>14.013999999999999</v>
      </c>
      <c r="F12" s="331">
        <v>14.365</v>
      </c>
      <c r="G12" s="331">
        <v>14.41</v>
      </c>
      <c r="H12" s="331">
        <v>14.513</v>
      </c>
      <c r="I12" s="331">
        <v>14.522</v>
      </c>
      <c r="J12" s="331">
        <v>14.384</v>
      </c>
      <c r="K12" s="331">
        <v>12.598000000000001</v>
      </c>
      <c r="L12" s="10">
        <f t="shared" si="2"/>
        <v>12.934494714926089</v>
      </c>
      <c r="M12" s="10">
        <f t="shared" si="1"/>
        <v>13.19829005616678</v>
      </c>
      <c r="N12" s="10">
        <f t="shared" si="1"/>
        <v>13.496034208980783</v>
      </c>
      <c r="O12" s="10">
        <f t="shared" si="1"/>
        <v>13.817323863833037</v>
      </c>
      <c r="P12" s="10">
        <f t="shared" si="1"/>
        <v>14.157048666451152</v>
      </c>
      <c r="Q12" s="10">
        <f t="shared" si="1"/>
        <v>14.483318361750134</v>
      </c>
      <c r="R12" s="10">
        <f t="shared" si="1"/>
        <v>14.814030795204278</v>
      </c>
      <c r="S12" s="10">
        <f t="shared" si="1"/>
        <v>15.175435690212284</v>
      </c>
      <c r="T12" s="10">
        <f t="shared" si="1"/>
        <v>15.590387438308957</v>
      </c>
      <c r="U12" s="10">
        <f t="shared" si="1"/>
        <v>15.914985935307293</v>
      </c>
      <c r="V12" s="10">
        <f t="shared" si="1"/>
        <v>16.354926916105637</v>
      </c>
      <c r="W12" s="10">
        <f t="shared" si="1"/>
        <v>16.839667125799188</v>
      </c>
      <c r="X12" s="10">
        <f t="shared" si="1"/>
        <v>17.28532194780065</v>
      </c>
      <c r="Y12" s="10">
        <f t="shared" si="1"/>
        <v>17.751601914866445</v>
      </c>
      <c r="Z12" s="10">
        <f t="shared" si="1"/>
        <v>18.319374412894163</v>
      </c>
      <c r="AA12" s="10">
        <f t="shared" si="1"/>
        <v>18.746904782849999</v>
      </c>
      <c r="AB12" s="10">
        <f t="shared" si="1"/>
        <v>19.188906790114647</v>
      </c>
      <c r="AC12" s="10">
        <f t="shared" si="1"/>
        <v>19.622434115965071</v>
      </c>
      <c r="AD12" s="10">
        <f t="shared" si="1"/>
        <v>20.071312375696728</v>
      </c>
      <c r="AE12" s="10">
        <f t="shared" si="1"/>
        <v>20.549589211641038</v>
      </c>
      <c r="AF12" s="10">
        <f t="shared" si="1"/>
        <v>23.201478044191926</v>
      </c>
      <c r="AG12" s="10">
        <f t="shared" si="1"/>
        <v>26.156893976631636</v>
      </c>
      <c r="AH12" s="126"/>
      <c r="AI12" s="126"/>
      <c r="AJ12" s="126"/>
      <c r="AK12" s="126"/>
      <c r="AL12" s="126"/>
      <c r="AM12" s="126"/>
      <c r="AO12" s="4">
        <f t="shared" si="4"/>
        <v>6</v>
      </c>
    </row>
    <row r="13" spans="1:41">
      <c r="A13" s="134" t="s">
        <v>387</v>
      </c>
      <c r="B13" s="185">
        <f t="shared" si="3"/>
        <v>7</v>
      </c>
      <c r="C13" s="331">
        <v>205.448728044604</v>
      </c>
      <c r="D13" s="331">
        <v>210.61199999999999</v>
      </c>
      <c r="E13" s="331">
        <v>211.703</v>
      </c>
      <c r="F13" s="331">
        <v>218.495</v>
      </c>
      <c r="G13" s="331">
        <v>215.50700000000001</v>
      </c>
      <c r="H13" s="331">
        <v>222.273</v>
      </c>
      <c r="I13" s="331">
        <v>220.99700000000001</v>
      </c>
      <c r="J13" s="331">
        <v>218.15700000000001</v>
      </c>
      <c r="K13" s="331">
        <v>200.386</v>
      </c>
      <c r="L13" s="10">
        <f t="shared" si="2"/>
        <v>203.29437807937791</v>
      </c>
      <c r="M13" s="10">
        <f t="shared" si="1"/>
        <v>206.11961385675255</v>
      </c>
      <c r="N13" s="10">
        <f t="shared" si="1"/>
        <v>209.25104179398332</v>
      </c>
      <c r="O13" s="10">
        <f t="shared" si="1"/>
        <v>212.77707287334377</v>
      </c>
      <c r="P13" s="10">
        <f t="shared" si="1"/>
        <v>216.27110432504313</v>
      </c>
      <c r="Q13" s="10">
        <f t="shared" si="1"/>
        <v>220.21864805430781</v>
      </c>
      <c r="R13" s="10">
        <f t="shared" si="1"/>
        <v>224.1761075309966</v>
      </c>
      <c r="S13" s="10">
        <f t="shared" si="1"/>
        <v>228.57997610366618</v>
      </c>
      <c r="T13" s="10">
        <f t="shared" si="1"/>
        <v>233.73674541583398</v>
      </c>
      <c r="U13" s="10">
        <f t="shared" si="1"/>
        <v>238.25091961160444</v>
      </c>
      <c r="V13" s="10">
        <f t="shared" si="1"/>
        <v>244.11637200378888</v>
      </c>
      <c r="W13" s="10">
        <f t="shared" si="1"/>
        <v>250.63576067364573</v>
      </c>
      <c r="X13" s="10">
        <f t="shared" si="1"/>
        <v>257.21517064093081</v>
      </c>
      <c r="Y13" s="10">
        <f t="shared" si="1"/>
        <v>263.89312940303836</v>
      </c>
      <c r="Z13" s="10">
        <f t="shared" si="1"/>
        <v>272.09987387188147</v>
      </c>
      <c r="AA13" s="10">
        <f t="shared" si="1"/>
        <v>279.51496200334503</v>
      </c>
      <c r="AB13" s="10">
        <f t="shared" si="1"/>
        <v>287.03694021808531</v>
      </c>
      <c r="AC13" s="10">
        <f t="shared" si="1"/>
        <v>294.31771525582803</v>
      </c>
      <c r="AD13" s="10">
        <f t="shared" si="1"/>
        <v>301.76455908988714</v>
      </c>
      <c r="AE13" s="10">
        <f t="shared" si="1"/>
        <v>309.57342460424826</v>
      </c>
      <c r="AF13" s="10">
        <f t="shared" si="1"/>
        <v>350.26197182587691</v>
      </c>
      <c r="AG13" s="10">
        <f t="shared" si="1"/>
        <v>394.35250707791403</v>
      </c>
      <c r="AH13" s="126"/>
      <c r="AI13" s="126"/>
      <c r="AJ13" s="126"/>
      <c r="AK13" s="126"/>
      <c r="AL13" s="126"/>
      <c r="AM13" s="126"/>
      <c r="AO13" s="4">
        <f t="shared" si="4"/>
        <v>7</v>
      </c>
    </row>
    <row r="14" spans="1:41">
      <c r="A14" s="134" t="s">
        <v>527</v>
      </c>
      <c r="B14" s="185">
        <f t="shared" si="3"/>
        <v>8</v>
      </c>
      <c r="C14" s="331">
        <v>10.112362730183554</v>
      </c>
      <c r="D14" s="331">
        <v>8.5809999999999995</v>
      </c>
      <c r="E14" s="331">
        <v>7.8769999999999998</v>
      </c>
      <c r="F14" s="331">
        <v>7.9880000000000004</v>
      </c>
      <c r="G14" s="331">
        <v>7.7750000000000004</v>
      </c>
      <c r="H14" s="331">
        <v>7.4850000000000003</v>
      </c>
      <c r="I14" s="331">
        <v>7.3470000000000004</v>
      </c>
      <c r="J14" s="331">
        <v>7.0549999999999997</v>
      </c>
      <c r="K14" s="331">
        <v>5.7949999999999999</v>
      </c>
      <c r="L14" s="10">
        <f t="shared" si="2"/>
        <v>5.926327501958367</v>
      </c>
      <c r="M14" s="10">
        <f t="shared" si="1"/>
        <v>5.9786703998218655</v>
      </c>
      <c r="N14" s="10">
        <f t="shared" si="1"/>
        <v>6.0501237570018143</v>
      </c>
      <c r="O14" s="10">
        <f t="shared" si="1"/>
        <v>6.1634418110600437</v>
      </c>
      <c r="P14" s="10">
        <f t="shared" si="1"/>
        <v>6.3170883768032438</v>
      </c>
      <c r="Q14" s="10">
        <f t="shared" si="1"/>
        <v>6.4660855827431662</v>
      </c>
      <c r="R14" s="10">
        <f t="shared" si="1"/>
        <v>6.6227413468262029</v>
      </c>
      <c r="S14" s="10">
        <f t="shared" si="1"/>
        <v>6.8003194350491345</v>
      </c>
      <c r="T14" s="10">
        <f t="shared" si="1"/>
        <v>7.0581063883289872</v>
      </c>
      <c r="U14" s="10">
        <f t="shared" si="1"/>
        <v>7.2857135683160434</v>
      </c>
      <c r="V14" s="10">
        <f t="shared" si="1"/>
        <v>7.5992830661693977</v>
      </c>
      <c r="W14" s="10">
        <f t="shared" si="1"/>
        <v>7.9677573759525409</v>
      </c>
      <c r="X14" s="10">
        <f t="shared" si="1"/>
        <v>8.3384220275036629</v>
      </c>
      <c r="Y14" s="10">
        <f t="shared" si="1"/>
        <v>8.7357461295881151</v>
      </c>
      <c r="Z14" s="10">
        <f t="shared" si="1"/>
        <v>9.2381149671171627</v>
      </c>
      <c r="AA14" s="10">
        <f t="shared" si="1"/>
        <v>9.6902800359668433</v>
      </c>
      <c r="AB14" s="10">
        <f t="shared" si="1"/>
        <v>10.147488571310493</v>
      </c>
      <c r="AC14" s="10">
        <f t="shared" si="1"/>
        <v>10.588983829229196</v>
      </c>
      <c r="AD14" s="10">
        <f t="shared" si="1"/>
        <v>11.035320346735213</v>
      </c>
      <c r="AE14" s="10">
        <f t="shared" si="1"/>
        <v>11.495405668882599</v>
      </c>
      <c r="AF14" s="10">
        <f t="shared" si="1"/>
        <v>13.697282500147978</v>
      </c>
      <c r="AG14" s="10">
        <f t="shared" si="1"/>
        <v>15.663536521429563</v>
      </c>
      <c r="AH14" s="126"/>
      <c r="AI14" s="126"/>
      <c r="AJ14" s="126"/>
      <c r="AK14" s="126"/>
      <c r="AL14" s="126"/>
      <c r="AM14" s="126"/>
      <c r="AO14" s="4">
        <f t="shared" si="4"/>
        <v>8</v>
      </c>
    </row>
    <row r="15" spans="1:41">
      <c r="A15" s="134" t="s">
        <v>526</v>
      </c>
      <c r="B15" s="185">
        <f t="shared" si="3"/>
        <v>9</v>
      </c>
      <c r="C15" s="331">
        <v>14.113350558119752</v>
      </c>
      <c r="D15" s="331">
        <v>14.494999999999999</v>
      </c>
      <c r="E15" s="331">
        <v>14.76</v>
      </c>
      <c r="F15" s="331">
        <v>14.999000000000001</v>
      </c>
      <c r="G15" s="331">
        <v>15.18</v>
      </c>
      <c r="H15" s="331">
        <v>15.356</v>
      </c>
      <c r="I15" s="331">
        <v>15.564</v>
      </c>
      <c r="J15" s="331">
        <v>15.58</v>
      </c>
      <c r="K15" s="331">
        <v>14.3</v>
      </c>
      <c r="L15" s="10">
        <f t="shared" si="2"/>
        <v>14.657474926861358</v>
      </c>
      <c r="M15" s="10">
        <f t="shared" si="1"/>
        <v>15.024334507291506</v>
      </c>
      <c r="N15" s="10">
        <f t="shared" si="1"/>
        <v>15.42297721069621</v>
      </c>
      <c r="O15" s="10">
        <f t="shared" si="1"/>
        <v>15.850728438294347</v>
      </c>
      <c r="P15" s="10">
        <f t="shared" si="1"/>
        <v>16.280870594928636</v>
      </c>
      <c r="Q15" s="10">
        <f t="shared" si="1"/>
        <v>16.754176479850955</v>
      </c>
      <c r="R15" s="10">
        <f t="shared" si="1"/>
        <v>17.230999335360863</v>
      </c>
      <c r="S15" s="10">
        <f t="shared" si="1"/>
        <v>17.739008522954972</v>
      </c>
      <c r="T15" s="10">
        <f t="shared" si="1"/>
        <v>18.271258995605319</v>
      </c>
      <c r="U15" s="10">
        <f t="shared" si="1"/>
        <v>18.705226345875964</v>
      </c>
      <c r="V15" s="10">
        <f t="shared" si="1"/>
        <v>19.242561757228767</v>
      </c>
      <c r="W15" s="10">
        <f t="shared" si="1"/>
        <v>19.792708988591222</v>
      </c>
      <c r="X15" s="10">
        <f t="shared" si="1"/>
        <v>20.350470638914086</v>
      </c>
      <c r="Y15" s="10">
        <f t="shared" si="1"/>
        <v>20.890930571751181</v>
      </c>
      <c r="Z15" s="10">
        <f t="shared" si="1"/>
        <v>21.468262730224208</v>
      </c>
      <c r="AA15" s="10">
        <f t="shared" si="1"/>
        <v>22.061993081920445</v>
      </c>
      <c r="AB15" s="10">
        <f t="shared" si="1"/>
        <v>22.675119822299678</v>
      </c>
      <c r="AC15" s="10">
        <f t="shared" si="1"/>
        <v>23.277727192704589</v>
      </c>
      <c r="AD15" s="10">
        <f t="shared" si="1"/>
        <v>23.901510798296268</v>
      </c>
      <c r="AE15" s="10">
        <f t="shared" si="1"/>
        <v>24.56273422622295</v>
      </c>
      <c r="AF15" s="10">
        <f t="shared" si="1"/>
        <v>28.354387261869654</v>
      </c>
      <c r="AG15" s="10">
        <f t="shared" si="1"/>
        <v>32.637929727471544</v>
      </c>
      <c r="AH15" s="126"/>
      <c r="AI15" s="126"/>
      <c r="AJ15" s="126"/>
      <c r="AK15" s="126"/>
      <c r="AL15" s="126"/>
      <c r="AM15" s="126"/>
      <c r="AO15" s="4">
        <f t="shared" si="4"/>
        <v>9</v>
      </c>
    </row>
    <row r="16" spans="1:41">
      <c r="A16" s="134" t="s">
        <v>523</v>
      </c>
      <c r="B16" s="185">
        <f t="shared" si="3"/>
        <v>10</v>
      </c>
      <c r="C16" s="331">
        <v>235.49802282756352</v>
      </c>
      <c r="D16" s="331">
        <v>242.05600000000001</v>
      </c>
      <c r="E16" s="331">
        <v>246.69399999999999</v>
      </c>
      <c r="F16" s="331">
        <v>250.125</v>
      </c>
      <c r="G16" s="331">
        <v>252.709</v>
      </c>
      <c r="H16" s="331">
        <v>254.65</v>
      </c>
      <c r="I16" s="331">
        <v>257.584</v>
      </c>
      <c r="J16" s="331">
        <v>257.30799999999999</v>
      </c>
      <c r="K16" s="331">
        <v>233.197</v>
      </c>
      <c r="L16" s="10">
        <f t="shared" si="2"/>
        <v>239.311147620339</v>
      </c>
      <c r="M16" s="10">
        <f t="shared" si="1"/>
        <v>245.5279566232268</v>
      </c>
      <c r="N16" s="10">
        <f t="shared" si="1"/>
        <v>252.17156922220227</v>
      </c>
      <c r="O16" s="10">
        <f t="shared" si="1"/>
        <v>259.2458462414383</v>
      </c>
      <c r="P16" s="10">
        <f t="shared" si="1"/>
        <v>266.28626759214023</v>
      </c>
      <c r="Q16" s="10">
        <f t="shared" si="1"/>
        <v>274.0568577557645</v>
      </c>
      <c r="R16" s="10">
        <f t="shared" si="1"/>
        <v>281.96200344571417</v>
      </c>
      <c r="S16" s="10">
        <f t="shared" si="1"/>
        <v>290.32204813684677</v>
      </c>
      <c r="T16" s="10">
        <f t="shared" si="1"/>
        <v>298.71462448684076</v>
      </c>
      <c r="U16" s="10">
        <f t="shared" si="1"/>
        <v>305.76468054543471</v>
      </c>
      <c r="V16" s="10">
        <f t="shared" si="1"/>
        <v>314.59134178597935</v>
      </c>
      <c r="W16" s="10">
        <f t="shared" si="1"/>
        <v>323.65990952631881</v>
      </c>
      <c r="X16" s="10">
        <f t="shared" si="1"/>
        <v>332.82914999463492</v>
      </c>
      <c r="Y16" s="10">
        <f t="shared" si="1"/>
        <v>341.74661891729392</v>
      </c>
      <c r="Z16" s="10">
        <f t="shared" si="1"/>
        <v>351.32289162074625</v>
      </c>
      <c r="AA16" s="10">
        <f t="shared" si="1"/>
        <v>361.07019032867794</v>
      </c>
      <c r="AB16" s="10">
        <f t="shared" si="1"/>
        <v>371.16092547913934</v>
      </c>
      <c r="AC16" s="10">
        <f t="shared" si="1"/>
        <v>381.10030818952805</v>
      </c>
      <c r="AD16" s="10">
        <f t="shared" si="1"/>
        <v>391.38151873152327</v>
      </c>
      <c r="AE16" s="10">
        <f t="shared" si="1"/>
        <v>402.27388315761033</v>
      </c>
      <c r="AF16" s="10">
        <f t="shared" si="1"/>
        <v>464.07019483390343</v>
      </c>
      <c r="AG16" s="10">
        <f t="shared" si="1"/>
        <v>533.90646291403743</v>
      </c>
      <c r="AH16" s="126"/>
      <c r="AI16" s="126"/>
      <c r="AJ16" s="126"/>
      <c r="AK16" s="126"/>
      <c r="AL16" s="126"/>
      <c r="AM16" s="126"/>
      <c r="AO16" s="4">
        <f t="shared" si="4"/>
        <v>10</v>
      </c>
    </row>
    <row r="17" spans="1:41">
      <c r="A17" s="134" t="s">
        <v>529</v>
      </c>
      <c r="B17" s="185">
        <f t="shared" si="3"/>
        <v>11</v>
      </c>
      <c r="C17" s="331">
        <v>27.516308224731535</v>
      </c>
      <c r="D17" s="331">
        <v>26.898</v>
      </c>
      <c r="E17" s="331">
        <v>26.286000000000001</v>
      </c>
      <c r="F17" s="331">
        <v>25.675000000000001</v>
      </c>
      <c r="G17" s="331">
        <v>25.675000000000001</v>
      </c>
      <c r="H17" s="331">
        <v>25.675000000000001</v>
      </c>
      <c r="I17" s="331">
        <v>25.658999999999999</v>
      </c>
      <c r="J17" s="331">
        <v>25.655000000000001</v>
      </c>
      <c r="K17" s="331">
        <v>25.658999999999999</v>
      </c>
      <c r="L17" s="10">
        <f t="shared" si="2"/>
        <v>25.658999999999999</v>
      </c>
      <c r="M17" s="10">
        <f t="shared" si="1"/>
        <v>25.658999999999995</v>
      </c>
      <c r="N17" s="10">
        <f t="shared" si="1"/>
        <v>25.658999999999988</v>
      </c>
      <c r="O17" s="10">
        <f t="shared" si="1"/>
        <v>25.658999999999988</v>
      </c>
      <c r="P17" s="10">
        <f t="shared" si="1"/>
        <v>25.102396040058142</v>
      </c>
      <c r="Q17" s="10">
        <f t="shared" si="1"/>
        <v>25.102396040058142</v>
      </c>
      <c r="R17" s="10">
        <f t="shared" si="1"/>
        <v>25.079353643678584</v>
      </c>
      <c r="S17" s="10">
        <f t="shared" si="1"/>
        <v>25.078949839663544</v>
      </c>
      <c r="T17" s="10">
        <f t="shared" si="1"/>
        <v>25.105103230043877</v>
      </c>
      <c r="U17" s="10">
        <f t="shared" si="1"/>
        <v>25.078949839663544</v>
      </c>
      <c r="V17" s="10">
        <f t="shared" si="1"/>
        <v>24.612376263053832</v>
      </c>
      <c r="W17" s="10">
        <f t="shared" si="1"/>
        <v>23.993295621292361</v>
      </c>
      <c r="X17" s="10">
        <f t="shared" si="1"/>
        <v>23.955026290749306</v>
      </c>
      <c r="Y17" s="10">
        <f t="shared" si="1"/>
        <v>23.454695285050558</v>
      </c>
      <c r="Z17" s="10">
        <f t="shared" si="1"/>
        <v>22.249835493893432</v>
      </c>
      <c r="AA17" s="10">
        <f t="shared" si="1"/>
        <v>22.297026252580512</v>
      </c>
      <c r="AB17" s="10">
        <f t="shared" si="1"/>
        <v>22.344217011267581</v>
      </c>
      <c r="AC17" s="10">
        <f t="shared" si="1"/>
        <v>22.391407769954647</v>
      </c>
      <c r="AD17" s="10">
        <f t="shared" si="1"/>
        <v>22.438598528641723</v>
      </c>
      <c r="AE17" s="10">
        <f t="shared" si="1"/>
        <v>22.485789287328785</v>
      </c>
      <c r="AF17" s="10">
        <f t="shared" si="1"/>
        <v>21.478721063245537</v>
      </c>
      <c r="AG17" s="10">
        <f t="shared" si="1"/>
        <v>20.471652839162257</v>
      </c>
      <c r="AH17" s="126"/>
      <c r="AI17" s="126"/>
      <c r="AJ17" s="126"/>
      <c r="AK17" s="126"/>
      <c r="AL17" s="126"/>
      <c r="AM17" s="126"/>
      <c r="AO17" s="4">
        <f t="shared" si="4"/>
        <v>11</v>
      </c>
    </row>
    <row r="18" spans="1:41" s="185" customFormat="1">
      <c r="A18" s="134" t="s">
        <v>524</v>
      </c>
      <c r="B18" s="185">
        <f t="shared" si="3"/>
        <v>12</v>
      </c>
      <c r="C18" s="331">
        <v>17.781500762507015</v>
      </c>
      <c r="D18" s="331">
        <v>18.231000000000002</v>
      </c>
      <c r="E18" s="331">
        <v>18.620999999999999</v>
      </c>
      <c r="F18" s="331">
        <v>18.835000000000001</v>
      </c>
      <c r="G18" s="331">
        <v>19.187000000000001</v>
      </c>
      <c r="H18" s="331">
        <v>19.315000000000001</v>
      </c>
      <c r="I18" s="331">
        <v>19.638999999999999</v>
      </c>
      <c r="J18" s="331">
        <v>19.626000000000001</v>
      </c>
      <c r="K18" s="331">
        <v>18.239999999999998</v>
      </c>
      <c r="L18" s="10">
        <f t="shared" si="2"/>
        <v>18.693484827153338</v>
      </c>
      <c r="M18" s="10">
        <f t="shared" si="1"/>
        <v>19.149837532194638</v>
      </c>
      <c r="N18" s="10">
        <f t="shared" si="1"/>
        <v>19.657661470314377</v>
      </c>
      <c r="O18" s="10">
        <f t="shared" si="1"/>
        <v>20.193443528988396</v>
      </c>
      <c r="P18" s="10">
        <f t="shared" si="1"/>
        <v>20.731792266643591</v>
      </c>
      <c r="Q18" s="10">
        <f t="shared" si="1"/>
        <v>21.357440437664884</v>
      </c>
      <c r="R18" s="10">
        <f t="shared" si="1"/>
        <v>21.962345388394901</v>
      </c>
      <c r="S18" s="10">
        <f t="shared" si="1"/>
        <v>22.589786702619744</v>
      </c>
      <c r="T18" s="10">
        <f t="shared" si="1"/>
        <v>23.242801804378885</v>
      </c>
      <c r="U18" s="10">
        <f t="shared" si="1"/>
        <v>23.813447856027945</v>
      </c>
      <c r="V18" s="10">
        <f t="shared" si="1"/>
        <v>24.492816141773368</v>
      </c>
      <c r="W18" s="10">
        <f t="shared" si="1"/>
        <v>25.183509983468465</v>
      </c>
      <c r="X18" s="10">
        <f t="shared" si="1"/>
        <v>25.866263399800989</v>
      </c>
      <c r="Y18" s="10">
        <f t="shared" si="1"/>
        <v>26.533759468340733</v>
      </c>
      <c r="Z18" s="10">
        <f t="shared" si="1"/>
        <v>27.156982136361467</v>
      </c>
      <c r="AA18" s="10">
        <f t="shared" si="1"/>
        <v>27.860161953993131</v>
      </c>
      <c r="AB18" s="10">
        <f t="shared" si="1"/>
        <v>28.590286255208085</v>
      </c>
      <c r="AC18" s="10">
        <f t="shared" si="1"/>
        <v>29.309674537050952</v>
      </c>
      <c r="AD18" s="10">
        <f t="shared" si="1"/>
        <v>30.057342863301074</v>
      </c>
      <c r="AE18" s="10">
        <f t="shared" si="1"/>
        <v>30.851469239553378</v>
      </c>
      <c r="AF18" s="10">
        <f t="shared" si="1"/>
        <v>35.255029053924076</v>
      </c>
      <c r="AG18" s="10">
        <f t="shared" si="1"/>
        <v>40.176957246367792</v>
      </c>
      <c r="AH18" s="126"/>
      <c r="AI18" s="126"/>
      <c r="AJ18" s="126"/>
      <c r="AK18" s="126"/>
      <c r="AL18" s="126"/>
      <c r="AM18" s="126"/>
      <c r="AO18" s="185">
        <f t="shared" si="4"/>
        <v>12</v>
      </c>
    </row>
    <row r="19" spans="1:41" s="185" customFormat="1">
      <c r="A19" s="134" t="s">
        <v>595</v>
      </c>
      <c r="B19" s="185">
        <f t="shared" si="3"/>
        <v>13</v>
      </c>
      <c r="C19" s="331">
        <v>11.263564724197627</v>
      </c>
      <c r="D19" s="331">
        <v>11.61</v>
      </c>
      <c r="E19" s="331">
        <v>12.005000000000001</v>
      </c>
      <c r="F19" s="331">
        <v>12.26</v>
      </c>
      <c r="G19" s="331">
        <v>12.374000000000001</v>
      </c>
      <c r="H19" s="331">
        <v>12.574</v>
      </c>
      <c r="I19" s="331">
        <v>12.871</v>
      </c>
      <c r="J19" s="331">
        <v>13.003</v>
      </c>
      <c r="K19" s="331">
        <v>12.263</v>
      </c>
      <c r="L19" s="10">
        <f t="shared" si="2"/>
        <v>12.585632231501476</v>
      </c>
      <c r="M19" s="10">
        <f t="shared" si="1"/>
        <v>12.859224505971152</v>
      </c>
      <c r="N19" s="10">
        <f t="shared" si="1"/>
        <v>13.106570467247582</v>
      </c>
      <c r="O19" s="10">
        <f t="shared" si="1"/>
        <v>13.358077305871371</v>
      </c>
      <c r="P19" s="10">
        <f t="shared" ref="P19:P24" si="5">P54/O54*O19</f>
        <v>13.592843202900971</v>
      </c>
      <c r="Q19" s="10">
        <f t="shared" ref="Q19:Q24" si="6">Q54/P54*P19</f>
        <v>13.850710327396458</v>
      </c>
      <c r="R19" s="10">
        <f t="shared" ref="R19:R24" si="7">R54/Q54*Q19</f>
        <v>14.095842996278892</v>
      </c>
      <c r="S19" s="10">
        <f t="shared" ref="S19:S24" si="8">S54/R54*R19</f>
        <v>14.342678521598438</v>
      </c>
      <c r="T19" s="10">
        <f t="shared" ref="T19:T24" si="9">T54/S54*S19</f>
        <v>14.592318663123065</v>
      </c>
      <c r="U19" s="10">
        <f t="shared" ref="U19:U24" si="10">U54/T54*T19</f>
        <v>14.8808043423612</v>
      </c>
      <c r="V19" s="10">
        <f t="shared" ref="V19:V24" si="11">V54/U54*U19</f>
        <v>15.270914183123375</v>
      </c>
      <c r="W19" s="10">
        <f t="shared" ref="W19:W24" si="12">W54/V54*V19</f>
        <v>15.602191355287911</v>
      </c>
      <c r="X19" s="10">
        <f t="shared" ref="X19:X24" si="13">X54/W54*W19</f>
        <v>15.925469243659515</v>
      </c>
      <c r="Y19" s="10">
        <f t="shared" ref="Y19:Y24" si="14">Y54/X54*X19</f>
        <v>16.204590613173707</v>
      </c>
      <c r="Z19" s="10">
        <f t="shared" ref="Z19:Z24" si="15">Z54/Y54*Y19</f>
        <v>16.487974104248813</v>
      </c>
      <c r="AA19" s="10">
        <f t="shared" ref="AA19:AA24" si="16">AA54/Z54*Z19</f>
        <v>16.811992711220775</v>
      </c>
      <c r="AB19" s="10">
        <f t="shared" ref="AB19:AB24" si="17">AB54/AA54*AA19</f>
        <v>17.129848691493713</v>
      </c>
      <c r="AC19" s="10">
        <f t="shared" ref="AC19:AC24" si="18">AC54/AB54*AB19</f>
        <v>17.443904365930422</v>
      </c>
      <c r="AD19" s="10">
        <f t="shared" ref="AD19:AD24" si="19">AD54/AC54*AC19</f>
        <v>17.765289635992794</v>
      </c>
      <c r="AE19" s="10">
        <f t="shared" ref="AE19:AE24" si="20">AE54/AD54*AD19</f>
        <v>18.109718272206603</v>
      </c>
      <c r="AF19" s="10">
        <f t="shared" ref="AF19:AF24" si="21">AF54/AE54*AE19</f>
        <v>19.992594595773131</v>
      </c>
      <c r="AG19" s="10">
        <f t="shared" ref="AG19:AG24" si="22">AG54/AF54*AF19</f>
        <v>21.791704231460464</v>
      </c>
      <c r="AH19" s="126"/>
      <c r="AI19" s="126"/>
      <c r="AJ19" s="126"/>
      <c r="AK19" s="126"/>
      <c r="AL19" s="126"/>
      <c r="AM19" s="126"/>
      <c r="AO19" s="185">
        <f t="shared" si="4"/>
        <v>13</v>
      </c>
    </row>
    <row r="20" spans="1:41" s="185" customFormat="1">
      <c r="A20" s="134" t="s">
        <v>594</v>
      </c>
      <c r="B20" s="185">
        <f t="shared" si="3"/>
        <v>14</v>
      </c>
      <c r="C20" s="331">
        <v>135.95535691221758</v>
      </c>
      <c r="D20" s="331">
        <v>140.071</v>
      </c>
      <c r="E20" s="331">
        <v>143.4</v>
      </c>
      <c r="F20" s="331">
        <v>145.137</v>
      </c>
      <c r="G20" s="331">
        <v>146.333</v>
      </c>
      <c r="H20" s="331">
        <v>148.477</v>
      </c>
      <c r="I20" s="331">
        <v>150.38999999999999</v>
      </c>
      <c r="J20" s="331">
        <v>150.78899999999999</v>
      </c>
      <c r="K20" s="331">
        <v>140.006</v>
      </c>
      <c r="L20" s="10">
        <f t="shared" si="2"/>
        <v>142.92774302092894</v>
      </c>
      <c r="M20" s="10">
        <f t="shared" ref="M20:M24" si="23">M55/L55*L20</f>
        <v>146.03935803269715</v>
      </c>
      <c r="N20" s="10">
        <f t="shared" ref="N20:N24" si="24">N55/M55*M20</f>
        <v>149.45382341196731</v>
      </c>
      <c r="O20" s="10">
        <f t="shared" ref="O20:O24" si="25">O55/N55*N20</f>
        <v>153.1432346113952</v>
      </c>
      <c r="P20" s="10">
        <f t="shared" si="5"/>
        <v>156.7740821198027</v>
      </c>
      <c r="Q20" s="10">
        <f t="shared" si="6"/>
        <v>160.86383947401453</v>
      </c>
      <c r="R20" s="10">
        <f t="shared" si="7"/>
        <v>165.046149452387</v>
      </c>
      <c r="S20" s="10">
        <f t="shared" si="8"/>
        <v>169.49111744486393</v>
      </c>
      <c r="T20" s="10">
        <f t="shared" si="9"/>
        <v>173.89840572555008</v>
      </c>
      <c r="U20" s="10">
        <f t="shared" si="10"/>
        <v>177.61047399301378</v>
      </c>
      <c r="V20" s="10">
        <f t="shared" si="11"/>
        <v>182.14466149275009</v>
      </c>
      <c r="W20" s="10">
        <f t="shared" si="12"/>
        <v>186.72530614673556</v>
      </c>
      <c r="X20" s="10">
        <f t="shared" si="13"/>
        <v>191.43771176646214</v>
      </c>
      <c r="Y20" s="10">
        <f t="shared" si="14"/>
        <v>195.88421653342735</v>
      </c>
      <c r="Z20" s="10">
        <f t="shared" si="15"/>
        <v>200.56969932279216</v>
      </c>
      <c r="AA20" s="10">
        <f t="shared" si="16"/>
        <v>205.50064093537662</v>
      </c>
      <c r="AB20" s="10">
        <f t="shared" si="17"/>
        <v>210.62487220475845</v>
      </c>
      <c r="AC20" s="10">
        <f t="shared" si="18"/>
        <v>215.66814875070142</v>
      </c>
      <c r="AD20" s="10">
        <f t="shared" si="19"/>
        <v>220.90352799485123</v>
      </c>
      <c r="AE20" s="10">
        <f t="shared" si="20"/>
        <v>226.46955752177888</v>
      </c>
      <c r="AF20" s="10">
        <f t="shared" si="21"/>
        <v>258.3906526605864</v>
      </c>
      <c r="AG20" s="10">
        <f t="shared" si="22"/>
        <v>294.49053369302624</v>
      </c>
      <c r="AH20" s="126"/>
      <c r="AI20" s="126"/>
      <c r="AJ20" s="126"/>
      <c r="AK20" s="126"/>
      <c r="AL20" s="126"/>
      <c r="AM20" s="126"/>
      <c r="AO20" s="185">
        <f t="shared" si="4"/>
        <v>14</v>
      </c>
    </row>
    <row r="21" spans="1:41" s="185" customFormat="1">
      <c r="A21" s="134" t="s">
        <v>593</v>
      </c>
      <c r="B21" s="185">
        <f t="shared" si="3"/>
        <v>15</v>
      </c>
      <c r="C21" s="331">
        <v>21.151207305916397</v>
      </c>
      <c r="D21" s="331">
        <v>22.475000000000001</v>
      </c>
      <c r="E21" s="331">
        <v>24.135000000000002</v>
      </c>
      <c r="F21" s="331">
        <v>25.321000000000002</v>
      </c>
      <c r="G21" s="331">
        <v>26.111999999999998</v>
      </c>
      <c r="H21" s="331">
        <v>27.977</v>
      </c>
      <c r="I21" s="331">
        <v>29.995999999999999</v>
      </c>
      <c r="J21" s="331">
        <v>31.335000000000001</v>
      </c>
      <c r="K21" s="331">
        <v>30.035</v>
      </c>
      <c r="L21" s="10">
        <f t="shared" si="2"/>
        <v>31.247742876990657</v>
      </c>
      <c r="M21" s="10">
        <f t="shared" si="23"/>
        <v>32.614150165959799</v>
      </c>
      <c r="N21" s="10">
        <f t="shared" si="24"/>
        <v>34.14813380672782</v>
      </c>
      <c r="O21" s="10">
        <f t="shared" si="25"/>
        <v>35.854190270816716</v>
      </c>
      <c r="P21" s="10">
        <f t="shared" si="5"/>
        <v>37.641122123527168</v>
      </c>
      <c r="Q21" s="10">
        <f t="shared" si="6"/>
        <v>39.649474484552442</v>
      </c>
      <c r="R21" s="10">
        <f t="shared" si="7"/>
        <v>41.728113806724387</v>
      </c>
      <c r="S21" s="10">
        <f t="shared" si="8"/>
        <v>43.971642523304439</v>
      </c>
      <c r="T21" s="10">
        <f t="shared" si="9"/>
        <v>46.365793569637965</v>
      </c>
      <c r="U21" s="10">
        <f t="shared" si="10"/>
        <v>48.608804511687516</v>
      </c>
      <c r="V21" s="10">
        <f t="shared" si="11"/>
        <v>51.361187517144494</v>
      </c>
      <c r="W21" s="10">
        <f t="shared" si="12"/>
        <v>54.264528826300769</v>
      </c>
      <c r="X21" s="10">
        <f t="shared" si="13"/>
        <v>57.270989264609398</v>
      </c>
      <c r="Y21" s="10">
        <f t="shared" si="14"/>
        <v>60.263984263470967</v>
      </c>
      <c r="Z21" s="10">
        <f t="shared" si="15"/>
        <v>63.789227654744131</v>
      </c>
      <c r="AA21" s="10">
        <f t="shared" si="16"/>
        <v>67.402015526792113</v>
      </c>
      <c r="AB21" s="10">
        <f t="shared" si="17"/>
        <v>71.151813424586464</v>
      </c>
      <c r="AC21" s="10">
        <f t="shared" si="18"/>
        <v>74.89263127237794</v>
      </c>
      <c r="AD21" s="10">
        <f t="shared" si="19"/>
        <v>78.80068285337822</v>
      </c>
      <c r="AE21" s="10">
        <f t="shared" si="20"/>
        <v>82.926395922005128</v>
      </c>
      <c r="AF21" s="10">
        <f t="shared" si="21"/>
        <v>107.56997041655607</v>
      </c>
      <c r="AG21" s="10">
        <f t="shared" si="22"/>
        <v>135.66962952115685</v>
      </c>
      <c r="AH21" s="126"/>
      <c r="AI21" s="126"/>
      <c r="AJ21" s="126"/>
      <c r="AK21" s="126"/>
      <c r="AL21" s="126"/>
      <c r="AM21" s="126"/>
      <c r="AO21" s="185">
        <f t="shared" si="4"/>
        <v>15</v>
      </c>
    </row>
    <row r="22" spans="1:41" s="185" customFormat="1">
      <c r="A22" s="134" t="s">
        <v>596</v>
      </c>
      <c r="B22" s="185">
        <f t="shared" si="3"/>
        <v>16</v>
      </c>
      <c r="C22" s="331">
        <v>1.1351531206547518</v>
      </c>
      <c r="D22" s="331">
        <v>1.153</v>
      </c>
      <c r="E22" s="331">
        <v>1.1359999999999999</v>
      </c>
      <c r="F22" s="331">
        <v>1.123</v>
      </c>
      <c r="G22" s="331">
        <v>1.133</v>
      </c>
      <c r="H22" s="331">
        <v>1.141</v>
      </c>
      <c r="I22" s="331">
        <v>1.1100000000000001</v>
      </c>
      <c r="J22" s="331">
        <v>1.085</v>
      </c>
      <c r="K22" s="331">
        <v>0.97599999999999998</v>
      </c>
      <c r="L22" s="10">
        <f t="shared" si="2"/>
        <v>0.97698555779560181</v>
      </c>
      <c r="M22" s="10">
        <f t="shared" si="23"/>
        <v>0.99593626231545884</v>
      </c>
      <c r="N22" s="10">
        <f t="shared" si="24"/>
        <v>1.0267094230000762</v>
      </c>
      <c r="O22" s="10">
        <f t="shared" si="25"/>
        <v>1.0631782273972157</v>
      </c>
      <c r="P22" s="10">
        <f t="shared" si="5"/>
        <v>1.1021749733041881</v>
      </c>
      <c r="Q22" s="10">
        <f t="shared" si="6"/>
        <v>1.1469919053997937</v>
      </c>
      <c r="R22" s="10">
        <f t="shared" si="7"/>
        <v>1.1970054618927357</v>
      </c>
      <c r="S22" s="10">
        <f t="shared" si="8"/>
        <v>1.2535520492270593</v>
      </c>
      <c r="T22" s="10">
        <f t="shared" si="9"/>
        <v>1.312873912328913</v>
      </c>
      <c r="U22" s="10">
        <f t="shared" si="10"/>
        <v>1.3466390583332413</v>
      </c>
      <c r="V22" s="10">
        <f t="shared" si="11"/>
        <v>1.3762147388040458</v>
      </c>
      <c r="W22" s="10">
        <f t="shared" si="12"/>
        <v>1.4228102342508748</v>
      </c>
      <c r="X22" s="10">
        <f t="shared" si="13"/>
        <v>1.4758316732428616</v>
      </c>
      <c r="Y22" s="10">
        <f t="shared" si="14"/>
        <v>1.5331460043256</v>
      </c>
      <c r="Z22" s="10">
        <f t="shared" si="15"/>
        <v>1.596157792781506</v>
      </c>
      <c r="AA22" s="10">
        <f t="shared" si="16"/>
        <v>1.6567059625365965</v>
      </c>
      <c r="AB22" s="10">
        <f t="shared" si="17"/>
        <v>1.7244232128099415</v>
      </c>
      <c r="AC22" s="10">
        <f t="shared" si="18"/>
        <v>1.7910472904411052</v>
      </c>
      <c r="AD22" s="10">
        <f t="shared" si="19"/>
        <v>1.8611655229751287</v>
      </c>
      <c r="AE22" s="10">
        <f t="shared" si="20"/>
        <v>1.9345288177400692</v>
      </c>
      <c r="AF22" s="10">
        <f t="shared" si="21"/>
        <v>2.3680778173524297</v>
      </c>
      <c r="AG22" s="10">
        <f t="shared" si="22"/>
        <v>2.950642647220036</v>
      </c>
      <c r="AH22" s="126"/>
      <c r="AI22" s="126"/>
      <c r="AJ22" s="126"/>
      <c r="AK22" s="126"/>
      <c r="AL22" s="126"/>
      <c r="AM22" s="126"/>
      <c r="AO22" s="185">
        <f t="shared" si="4"/>
        <v>16</v>
      </c>
    </row>
    <row r="23" spans="1:41" s="185" customFormat="1">
      <c r="A23" s="134" t="s">
        <v>600</v>
      </c>
      <c r="B23" s="185">
        <f t="shared" si="3"/>
        <v>17</v>
      </c>
      <c r="C23" s="331">
        <v>66.42036548153871</v>
      </c>
      <c r="D23" s="331">
        <v>67.322999999999993</v>
      </c>
      <c r="E23" s="331">
        <v>64.224999999999994</v>
      </c>
      <c r="F23" s="331">
        <v>61.13</v>
      </c>
      <c r="G23" s="331">
        <v>61.030999999999999</v>
      </c>
      <c r="H23" s="331">
        <v>60.957000000000001</v>
      </c>
      <c r="I23" s="331">
        <v>60.158000000000001</v>
      </c>
      <c r="J23" s="331">
        <v>59.899000000000001</v>
      </c>
      <c r="K23" s="331">
        <v>58.298999999999999</v>
      </c>
      <c r="L23" s="10">
        <f t="shared" si="2"/>
        <v>58.039090328459025</v>
      </c>
      <c r="M23" s="10">
        <f t="shared" si="23"/>
        <v>57.829363946365184</v>
      </c>
      <c r="N23" s="10">
        <f t="shared" si="24"/>
        <v>58.053250507867631</v>
      </c>
      <c r="O23" s="10">
        <f t="shared" si="25"/>
        <v>58.417791186466332</v>
      </c>
      <c r="P23" s="10">
        <f t="shared" si="5"/>
        <v>59.36601422290429</v>
      </c>
      <c r="Q23" s="10">
        <f t="shared" si="6"/>
        <v>59.186675889626599</v>
      </c>
      <c r="R23" s="10">
        <f t="shared" si="7"/>
        <v>59.120556793769367</v>
      </c>
      <c r="S23" s="10">
        <f t="shared" si="8"/>
        <v>59.415612191239397</v>
      </c>
      <c r="T23" s="10">
        <f t="shared" si="9"/>
        <v>59.579397162834596</v>
      </c>
      <c r="U23" s="10">
        <f t="shared" si="10"/>
        <v>60.181848974133658</v>
      </c>
      <c r="V23" s="10">
        <f t="shared" si="11"/>
        <v>59.703392365782705</v>
      </c>
      <c r="W23" s="10">
        <f t="shared" si="12"/>
        <v>59.473418849907823</v>
      </c>
      <c r="X23" s="10">
        <f t="shared" si="13"/>
        <v>59.245357084260405</v>
      </c>
      <c r="Y23" s="10">
        <f t="shared" si="14"/>
        <v>58.936737290021874</v>
      </c>
      <c r="Z23" s="10">
        <f t="shared" si="15"/>
        <v>57.951838562491574</v>
      </c>
      <c r="AA23" s="10">
        <f t="shared" si="16"/>
        <v>56.978997656981058</v>
      </c>
      <c r="AB23" s="10">
        <f t="shared" si="17"/>
        <v>56.006156751470485</v>
      </c>
      <c r="AC23" s="10">
        <f t="shared" si="18"/>
        <v>55.03331584595994</v>
      </c>
      <c r="AD23" s="10">
        <f t="shared" si="19"/>
        <v>54.060474940449375</v>
      </c>
      <c r="AE23" s="10">
        <f t="shared" si="20"/>
        <v>53.087634034938802</v>
      </c>
      <c r="AF23" s="10">
        <f t="shared" si="21"/>
        <v>50.297035188043814</v>
      </c>
      <c r="AG23" s="10">
        <f t="shared" si="22"/>
        <v>47.506436341148778</v>
      </c>
      <c r="AH23" s="126"/>
      <c r="AI23" s="126"/>
      <c r="AJ23" s="126"/>
      <c r="AK23" s="126"/>
      <c r="AL23" s="126"/>
      <c r="AM23" s="126"/>
    </row>
    <row r="24" spans="1:41" s="185" customFormat="1">
      <c r="A24" s="134" t="s">
        <v>528</v>
      </c>
      <c r="B24" s="185">
        <f t="shared" si="3"/>
        <v>18</v>
      </c>
      <c r="C24" s="331">
        <v>84.250557323845101</v>
      </c>
      <c r="D24" s="331">
        <v>82.983999999999995</v>
      </c>
      <c r="E24" s="331">
        <v>81.257999999999996</v>
      </c>
      <c r="F24" s="331">
        <v>79.501999999999995</v>
      </c>
      <c r="G24" s="331">
        <v>77.766999999999996</v>
      </c>
      <c r="H24" s="331">
        <v>77.397000000000006</v>
      </c>
      <c r="I24" s="331">
        <v>78.260000000000005</v>
      </c>
      <c r="J24" s="331">
        <v>77.688999999999993</v>
      </c>
      <c r="K24" s="331">
        <v>72.408000000000001</v>
      </c>
      <c r="L24" s="10">
        <f t="shared" si="2"/>
        <v>75.049081972969645</v>
      </c>
      <c r="M24" s="10">
        <f t="shared" si="23"/>
        <v>75.172779830642142</v>
      </c>
      <c r="N24" s="10">
        <f t="shared" si="24"/>
        <v>76.25623978701428</v>
      </c>
      <c r="O24" s="10">
        <f t="shared" si="25"/>
        <v>76.289161987022126</v>
      </c>
      <c r="P24" s="10">
        <f t="shared" si="5"/>
        <v>74.897244307823811</v>
      </c>
      <c r="Q24" s="10">
        <f t="shared" si="6"/>
        <v>76.527889194592447</v>
      </c>
      <c r="R24" s="10">
        <f t="shared" si="7"/>
        <v>79.009101820284585</v>
      </c>
      <c r="S24" s="10">
        <f t="shared" si="8"/>
        <v>79.925491842349103</v>
      </c>
      <c r="T24" s="10">
        <f t="shared" si="9"/>
        <v>81.184818027275014</v>
      </c>
      <c r="U24" s="10">
        <f t="shared" si="10"/>
        <v>79.56065853804995</v>
      </c>
      <c r="V24" s="10">
        <f t="shared" si="11"/>
        <v>82.141040133181377</v>
      </c>
      <c r="W24" s="10">
        <f t="shared" si="12"/>
        <v>83.798180025682782</v>
      </c>
      <c r="X24" s="10">
        <f t="shared" si="13"/>
        <v>85.368284429595448</v>
      </c>
      <c r="Y24" s="10">
        <f t="shared" si="14"/>
        <v>86.33081108811551</v>
      </c>
      <c r="Z24" s="10">
        <f t="shared" si="15"/>
        <v>86.558519084704713</v>
      </c>
      <c r="AA24" s="10">
        <f t="shared" si="16"/>
        <v>89.025418185816463</v>
      </c>
      <c r="AB24" s="10">
        <f t="shared" si="17"/>
        <v>91.199592521436088</v>
      </c>
      <c r="AC24" s="10">
        <f t="shared" si="18"/>
        <v>93.385270753865797</v>
      </c>
      <c r="AD24" s="10">
        <f t="shared" si="19"/>
        <v>95.555847062026331</v>
      </c>
      <c r="AE24" s="10">
        <f t="shared" si="20"/>
        <v>97.759838114681614</v>
      </c>
      <c r="AF24" s="10">
        <f t="shared" si="21"/>
        <v>105.25084664256372</v>
      </c>
      <c r="AG24" s="10">
        <f t="shared" si="22"/>
        <v>112.47831513741569</v>
      </c>
      <c r="AH24" s="126"/>
      <c r="AI24" s="126"/>
      <c r="AJ24" s="126"/>
      <c r="AK24" s="126"/>
      <c r="AL24" s="126"/>
      <c r="AM24" s="126"/>
    </row>
    <row r="25" spans="1:41">
      <c r="A25" s="5" t="s">
        <v>5</v>
      </c>
      <c r="B25" s="185">
        <f t="shared" si="3"/>
        <v>19</v>
      </c>
      <c r="C25" s="339">
        <v>2893.5650000000564</v>
      </c>
      <c r="D25" s="340">
        <v>2970.0601000000001</v>
      </c>
      <c r="E25" s="340">
        <v>3029.9541000000004</v>
      </c>
      <c r="F25" s="340">
        <v>3072.6080999999999</v>
      </c>
      <c r="G25" s="340">
        <v>3100.0580999999997</v>
      </c>
      <c r="H25" s="340">
        <v>3146.024100000001</v>
      </c>
      <c r="I25" s="340">
        <v>3186.0821000000001</v>
      </c>
      <c r="J25" s="340">
        <v>3209.1911000000009</v>
      </c>
      <c r="K25" s="340">
        <v>2976.6450999999997</v>
      </c>
      <c r="L25" s="127">
        <f t="shared" ref="L25:AG25" si="26">SUM(L7:L24)</f>
        <v>3042.4396861364671</v>
      </c>
      <c r="M25" s="127">
        <f t="shared" si="26"/>
        <v>3108.6568527680492</v>
      </c>
      <c r="N25" s="127">
        <f t="shared" si="26"/>
        <v>3181.1882297078205</v>
      </c>
      <c r="O25" s="127">
        <f t="shared" si="26"/>
        <v>3258.2127809039962</v>
      </c>
      <c r="P25" s="127">
        <f t="shared" si="26"/>
        <v>3334.4459974925308</v>
      </c>
      <c r="Q25" s="127">
        <f t="shared" si="26"/>
        <v>3421.1783651352966</v>
      </c>
      <c r="R25" s="127">
        <f t="shared" si="26"/>
        <v>3510.8828425313436</v>
      </c>
      <c r="S25" s="127">
        <f t="shared" si="26"/>
        <v>3605.2262515322959</v>
      </c>
      <c r="T25" s="127">
        <f t="shared" si="26"/>
        <v>3702.7679916971069</v>
      </c>
      <c r="U25" s="127">
        <f t="shared" si="26"/>
        <v>3786.4933867854561</v>
      </c>
      <c r="V25" s="127">
        <f t="shared" si="26"/>
        <v>3890.3319473071138</v>
      </c>
      <c r="W25" s="127">
        <f t="shared" si="26"/>
        <v>3996.5511798907137</v>
      </c>
      <c r="X25" s="127">
        <f t="shared" si="26"/>
        <v>4105.5407858176577</v>
      </c>
      <c r="Y25" s="127">
        <f t="shared" si="26"/>
        <v>4210.6497320796816</v>
      </c>
      <c r="Z25" s="127">
        <f t="shared" si="26"/>
        <v>4321.8643596331667</v>
      </c>
      <c r="AA25" s="127">
        <f t="shared" si="26"/>
        <v>4438.4181779767623</v>
      </c>
      <c r="AB25" s="127">
        <f t="shared" si="26"/>
        <v>4558.8610179762081</v>
      </c>
      <c r="AC25" s="127">
        <f t="shared" si="26"/>
        <v>4678.1430100716843</v>
      </c>
      <c r="AD25" s="127">
        <f t="shared" si="26"/>
        <v>4801.4017439372947</v>
      </c>
      <c r="AE25" s="127">
        <f t="shared" si="26"/>
        <v>4931.7600032127602</v>
      </c>
      <c r="AF25" s="127">
        <f t="shared" si="26"/>
        <v>5666.939362211413</v>
      </c>
      <c r="AG25" s="127">
        <f t="shared" si="26"/>
        <v>6496.0662091516688</v>
      </c>
      <c r="AH25" s="127"/>
      <c r="AI25" s="127"/>
      <c r="AJ25" s="127"/>
      <c r="AK25" s="127"/>
      <c r="AL25" s="127"/>
      <c r="AM25" s="127"/>
    </row>
    <row r="26" spans="1:41" s="33" customFormat="1">
      <c r="A26" s="248" t="s">
        <v>279</v>
      </c>
      <c r="B26" s="185">
        <f t="shared" si="3"/>
        <v>20</v>
      </c>
      <c r="C26" s="333"/>
      <c r="D26" s="249">
        <v>2.6436281887547874E-2</v>
      </c>
      <c r="E26" s="249">
        <v>2.0165921894981231E-2</v>
      </c>
      <c r="F26" s="249">
        <v>1.407744097509589E-2</v>
      </c>
      <c r="G26" s="249">
        <v>8.9337784405372211E-3</v>
      </c>
      <c r="H26" s="249">
        <v>1.4827464040109817E-2</v>
      </c>
      <c r="I26" s="249">
        <v>1.2732896737821964E-2</v>
      </c>
      <c r="J26" s="249">
        <v>7.2531087632679014E-3</v>
      </c>
      <c r="K26" s="249">
        <v>-7.2462496857853442E-2</v>
      </c>
      <c r="L26" s="249">
        <f t="shared" ref="L26:AE26" si="27">L25/K25-1</f>
        <v>2.2103604536687138E-2</v>
      </c>
      <c r="M26" s="249">
        <f t="shared" si="27"/>
        <v>2.1764496082967488E-2</v>
      </c>
      <c r="N26" s="249">
        <f t="shared" si="27"/>
        <v>2.3332062808793852E-2</v>
      </c>
      <c r="O26" s="249">
        <f t="shared" si="27"/>
        <v>2.4212509802744364E-2</v>
      </c>
      <c r="P26" s="249">
        <f t="shared" si="27"/>
        <v>2.3397249263562125E-2</v>
      </c>
      <c r="Q26" s="249">
        <f t="shared" si="27"/>
        <v>2.6011027831306155E-2</v>
      </c>
      <c r="R26" s="249">
        <f t="shared" si="27"/>
        <v>2.6220345103959319E-2</v>
      </c>
      <c r="S26" s="249">
        <f t="shared" si="27"/>
        <v>2.6871705275397506E-2</v>
      </c>
      <c r="T26" s="249">
        <f t="shared" si="27"/>
        <v>2.7055650147713717E-2</v>
      </c>
      <c r="U26" s="249">
        <f t="shared" si="27"/>
        <v>2.261156931141528E-2</v>
      </c>
      <c r="V26" s="249">
        <f t="shared" si="27"/>
        <v>2.74234099771693E-2</v>
      </c>
      <c r="W26" s="249">
        <f t="shared" si="27"/>
        <v>2.7303385423736115E-2</v>
      </c>
      <c r="X26" s="249">
        <f t="shared" si="27"/>
        <v>2.7270914601404961E-2</v>
      </c>
      <c r="Y26" s="249">
        <f t="shared" si="27"/>
        <v>2.5601729892713809E-2</v>
      </c>
      <c r="Z26" s="249">
        <f t="shared" si="27"/>
        <v>2.6412699851563026E-2</v>
      </c>
      <c r="AA26" s="249">
        <f t="shared" si="27"/>
        <v>2.6968411927089875E-2</v>
      </c>
      <c r="AB26" s="249">
        <f t="shared" si="27"/>
        <v>2.7136433560289053E-2</v>
      </c>
      <c r="AC26" s="249">
        <f t="shared" si="27"/>
        <v>2.6164866975573853E-2</v>
      </c>
      <c r="AD26" s="249">
        <f t="shared" si="27"/>
        <v>2.6347790907683688E-2</v>
      </c>
      <c r="AE26" s="249">
        <f t="shared" si="27"/>
        <v>2.7150042055961832E-2</v>
      </c>
      <c r="AF26" s="249">
        <f>(AF25/AE25)^(1/5)-1</f>
        <v>2.8180413142735006E-2</v>
      </c>
      <c r="AG26" s="249">
        <f>(AG25/AF25)^(1/5)-1</f>
        <v>2.7685846589436958E-2</v>
      </c>
      <c r="AH26" s="248"/>
      <c r="AI26" s="248"/>
      <c r="AJ26" s="248"/>
      <c r="AK26" s="248"/>
      <c r="AL26" s="248"/>
      <c r="AM26" s="248"/>
    </row>
    <row r="27" spans="1:41">
      <c r="A27" s="4" t="s">
        <v>611</v>
      </c>
      <c r="B27" s="185">
        <f t="shared" si="3"/>
        <v>21</v>
      </c>
      <c r="C27" s="332">
        <v>52.325432882070082</v>
      </c>
      <c r="D27" s="331">
        <v>53.104386458423342</v>
      </c>
      <c r="E27" s="331">
        <v>53.912365691429272</v>
      </c>
      <c r="F27" s="331">
        <v>54.750491457321111</v>
      </c>
      <c r="G27" s="331">
        <v>55.619940469824826</v>
      </c>
      <c r="H27" s="331">
        <v>56.521948041648095</v>
      </c>
      <c r="I27" s="331">
        <v>57.436000617299655</v>
      </c>
      <c r="J27" s="331">
        <v>58.364834921819444</v>
      </c>
      <c r="K27" s="331">
        <v>59.308690000000006</v>
      </c>
      <c r="L27" s="126">
        <f>INDEX(DriversGams!$A$43:$AN$43,1,MATCH(Drivers!L$3,DriversGams!$A$42:$AN$42,0))/1000</f>
        <v>60.097873988486953</v>
      </c>
      <c r="M27" s="126">
        <f>INDEX(DriversGams!$A$43:$AN$43,1,MATCH(Drivers!M$3,DriversGams!$A$42:$AN$42,0))/1000</f>
        <v>60.841582286809363</v>
      </c>
      <c r="N27" s="126">
        <f>INDEX(DriversGams!$A$43:$AN$43,1,MATCH(Drivers!N$3,DriversGams!$A$42:$AN$42,0))/1000</f>
        <v>61.537824355929828</v>
      </c>
      <c r="O27" s="126">
        <f>INDEX(DriversGams!$A$43:$AN$43,1,MATCH(Drivers!O$3,DriversGams!$A$42:$AN$42,0))/1000</f>
        <v>62.221509701386374</v>
      </c>
      <c r="P27" s="126">
        <f>INDEX(DriversGams!$A$43:$AN$43,1,MATCH(Drivers!P$3,DriversGams!$A$42:$AN$42,0))/1000</f>
        <v>62.892038582526091</v>
      </c>
      <c r="Q27" s="126">
        <f>INDEX(DriversGams!$A$43:$AN$43,1,MATCH(Drivers!Q$3,DriversGams!$A$42:$AN$42,0))/1000</f>
        <v>63.548817559440096</v>
      </c>
      <c r="R27" s="126">
        <f>INDEX(DriversGams!$A$43:$AN$43,1,MATCH(Drivers!R$3,DriversGams!$A$42:$AN$42,0))/1000</f>
        <v>64.191260356766122</v>
      </c>
      <c r="S27" s="126">
        <f>INDEX(DriversGams!$A$43:$AN$43,1,MATCH(Drivers!S$3,DriversGams!$A$42:$AN$42,0))/1000</f>
        <v>64.818788725428234</v>
      </c>
      <c r="T27" s="126">
        <f>INDEX(DriversGams!$A$43:$AN$43,1,MATCH(Drivers!T$3,DriversGams!$A$42:$AN$42,0))/1000</f>
        <v>65.435442210930105</v>
      </c>
      <c r="U27" s="126">
        <f>INDEX(DriversGams!$A$43:$AN$43,1,MATCH(Drivers!U$3,DriversGams!$A$42:$AN$42,0))/1000</f>
        <v>66.040790860694059</v>
      </c>
      <c r="V27" s="126">
        <f>INDEX(DriversGams!$A$43:$AN$43,1,MATCH(Drivers!V$3,DriversGams!$A$42:$AN$42,0))/1000</f>
        <v>66.6344094187031</v>
      </c>
      <c r="W27" s="126">
        <f>INDEX(DriversGams!$A$43:$AN$43,1,MATCH(Drivers!W$3,DriversGams!$A$42:$AN$42,0))/1000</f>
        <v>67.215877817791679</v>
      </c>
      <c r="X27" s="126">
        <f>INDEX(DriversGams!$A$43:$AN$43,1,MATCH(Drivers!X$3,DriversGams!$A$42:$AN$42,0))/1000</f>
        <v>67.784781669940756</v>
      </c>
      <c r="Y27" s="126">
        <f>INDEX(DriversGams!$A$43:$AN$43,1,MATCH(Drivers!Y$3,DriversGams!$A$42:$AN$42,0))/1000</f>
        <v>68.342055626742408</v>
      </c>
      <c r="Z27" s="126">
        <f>INDEX(DriversGams!$A$43:$AN$43,1,MATCH(Drivers!Z$3,DriversGams!$A$42:$AN$42,0))/1000</f>
        <v>68.88733085860035</v>
      </c>
      <c r="AA27" s="126">
        <f>INDEX(DriversGams!$A$43:$AN$43,1,MATCH(Drivers!AA$3,DriversGams!$A$42:$AN$42,0))/1000</f>
        <v>69.420244147098416</v>
      </c>
      <c r="AB27" s="126">
        <f>INDEX(DriversGams!$A$43:$AN$43,1,MATCH(Drivers!AB$3,DriversGams!$A$42:$AN$42,0))/1000</f>
        <v>69.940438284968707</v>
      </c>
      <c r="AC27" s="126">
        <f>INDEX(DriversGams!$A$43:$AN$43,1,MATCH(Drivers!AC$3,DriversGams!$A$42:$AN$42,0))/1000</f>
        <v>70.447562472153166</v>
      </c>
      <c r="AD27" s="126">
        <f>INDEX(DriversGams!$A$43:$AN$43,1,MATCH(Drivers!AD$3,DriversGams!$A$42:$AN$42,0))/1000</f>
        <v>70.942722252264574</v>
      </c>
      <c r="AE27" s="126">
        <f>INDEX(DriversGams!$A$43:$AN$43,1,MATCH(Drivers!AE$3,DriversGams!$A$42:$AN$42,0))/1000</f>
        <v>71.425610993241406</v>
      </c>
      <c r="AF27" s="126">
        <f>INDEX(DriversGams!$A$43:$AN$43,1,MATCH(Drivers!AF$3,DriversGams!$A$42:$AN$42,0))/1000</f>
        <v>73.645872502840064</v>
      </c>
      <c r="AG27" s="126">
        <f>INDEX(DriversGams!$A$43:$AN$43,1,MATCH(Drivers!AG$3,DriversGams!$A$42:$AN$42,0))/1000</f>
        <v>75.517908954390194</v>
      </c>
      <c r="AH27" s="126"/>
      <c r="AI27" s="126"/>
      <c r="AJ27" s="126"/>
      <c r="AK27" s="126"/>
      <c r="AL27" s="126"/>
      <c r="AM27" s="126"/>
    </row>
    <row r="28" spans="1:41">
      <c r="A28" t="s">
        <v>396</v>
      </c>
      <c r="B28" s="185">
        <f t="shared" si="3"/>
        <v>22</v>
      </c>
      <c r="C28" s="334">
        <v>0.5</v>
      </c>
      <c r="D28" s="331">
        <v>0.49195171026156947</v>
      </c>
      <c r="E28" s="331">
        <v>0.47874493927125505</v>
      </c>
      <c r="F28" s="331">
        <v>0.46897253306205494</v>
      </c>
      <c r="G28" s="331">
        <v>0.46311475409836067</v>
      </c>
      <c r="H28" s="331">
        <v>0.4556701030927835</v>
      </c>
      <c r="I28" s="331">
        <v>0.44755970924195226</v>
      </c>
      <c r="J28" s="331">
        <v>0.44456066945606693</v>
      </c>
      <c r="K28" s="331">
        <v>0.45521601685985247</v>
      </c>
      <c r="L28" s="24">
        <f>L75/SUM(L$75:L$77)</f>
        <v>0.48732388801995502</v>
      </c>
      <c r="M28" s="24">
        <f t="shared" ref="M28:AG30" si="28">M75/SUM(M$75:M$77)</f>
        <v>0.4806336783675747</v>
      </c>
      <c r="N28" s="24">
        <f t="shared" si="28"/>
        <v>0.47320376831348165</v>
      </c>
      <c r="O28" s="24">
        <f t="shared" si="28"/>
        <v>0.46470942189265946</v>
      </c>
      <c r="P28" s="24">
        <f t="shared" si="28"/>
        <v>0.45639566756578948</v>
      </c>
      <c r="Q28" s="24">
        <f t="shared" si="28"/>
        <v>0.44741743784093702</v>
      </c>
      <c r="R28" s="24">
        <f t="shared" si="28"/>
        <v>0.43764884606310167</v>
      </c>
      <c r="S28" s="24">
        <f t="shared" si="28"/>
        <v>0.42813380891281816</v>
      </c>
      <c r="T28" s="24">
        <f t="shared" si="28"/>
        <v>0.41943651815446503</v>
      </c>
      <c r="U28" s="24">
        <f t="shared" si="28"/>
        <v>0.41289903844098291</v>
      </c>
      <c r="V28" s="24">
        <f t="shared" si="28"/>
        <v>0.40596732726088508</v>
      </c>
      <c r="W28" s="24">
        <f t="shared" si="28"/>
        <v>0.39782586559738248</v>
      </c>
      <c r="X28" s="24">
        <f t="shared" si="28"/>
        <v>0.38999699038281199</v>
      </c>
      <c r="Y28" s="24">
        <f t="shared" si="28"/>
        <v>0.3828699303563719</v>
      </c>
      <c r="Z28" s="24">
        <f t="shared" si="28"/>
        <v>0.37624658203570721</v>
      </c>
      <c r="AA28" s="24">
        <f t="shared" si="28"/>
        <v>0.36912238822521765</v>
      </c>
      <c r="AB28" s="24">
        <f t="shared" si="28"/>
        <v>0.3616518341342233</v>
      </c>
      <c r="AC28" s="24">
        <f t="shared" si="28"/>
        <v>0.35463803799792404</v>
      </c>
      <c r="AD28" s="24">
        <f t="shared" si="28"/>
        <v>0.34790483762948882</v>
      </c>
      <c r="AE28" s="24">
        <f t="shared" si="28"/>
        <v>0.34110512401710891</v>
      </c>
      <c r="AF28" s="24">
        <f t="shared" si="28"/>
        <v>0.30512943232536383</v>
      </c>
      <c r="AG28" s="24">
        <f t="shared" si="28"/>
        <v>0.27425428773559168</v>
      </c>
      <c r="AH28" s="126"/>
      <c r="AI28" s="126"/>
      <c r="AJ28" s="126"/>
      <c r="AK28" s="126"/>
      <c r="AL28" s="126"/>
      <c r="AM28" s="126"/>
    </row>
    <row r="29" spans="1:41">
      <c r="A29" s="4" t="s">
        <v>397</v>
      </c>
      <c r="B29" s="185">
        <f t="shared" si="3"/>
        <v>23</v>
      </c>
      <c r="C29" s="334">
        <v>0.3</v>
      </c>
      <c r="D29" s="331">
        <v>0.29577464788732394</v>
      </c>
      <c r="E29" s="331">
        <v>0.30060728744939269</v>
      </c>
      <c r="F29" s="331">
        <v>0.3041709053916582</v>
      </c>
      <c r="G29" s="331">
        <v>0.30737704918032788</v>
      </c>
      <c r="H29" s="331">
        <v>0.30824742268041239</v>
      </c>
      <c r="I29" s="331">
        <v>0.3115264797507788</v>
      </c>
      <c r="J29" s="331">
        <v>0.31485355648535562</v>
      </c>
      <c r="K29" s="331">
        <v>0.32560590094836672</v>
      </c>
      <c r="L29" s="24">
        <f t="shared" ref="K29:AA30" si="29">L76/SUM(L$75:L$77)</f>
        <v>0.30740703070262287</v>
      </c>
      <c r="M29" s="24">
        <f t="shared" si="29"/>
        <v>0.30933350014750377</v>
      </c>
      <c r="N29" s="24">
        <f t="shared" si="29"/>
        <v>0.31099732263246049</v>
      </c>
      <c r="O29" s="24">
        <f t="shared" si="29"/>
        <v>0.31303598244965641</v>
      </c>
      <c r="P29" s="24">
        <f t="shared" si="29"/>
        <v>0.31545143573751711</v>
      </c>
      <c r="Q29" s="24">
        <f t="shared" si="29"/>
        <v>0.31699370755480732</v>
      </c>
      <c r="R29" s="24">
        <f t="shared" si="29"/>
        <v>0.31948164193454032</v>
      </c>
      <c r="S29" s="24">
        <f t="shared" si="29"/>
        <v>0.32188920702949747</v>
      </c>
      <c r="T29" s="24">
        <f t="shared" si="29"/>
        <v>0.3243632284405325</v>
      </c>
      <c r="U29" s="24">
        <f t="shared" si="29"/>
        <v>0.32718887480934794</v>
      </c>
      <c r="V29" s="24">
        <f t="shared" si="29"/>
        <v>0.327985939149748</v>
      </c>
      <c r="W29" s="24">
        <f t="shared" si="29"/>
        <v>0.33026619146267716</v>
      </c>
      <c r="X29" s="24">
        <f t="shared" si="29"/>
        <v>0.33226453399280276</v>
      </c>
      <c r="Y29" s="24">
        <f t="shared" si="29"/>
        <v>0.3344865767077726</v>
      </c>
      <c r="Z29" s="24">
        <f t="shared" si="29"/>
        <v>0.33633953136315359</v>
      </c>
      <c r="AA29" s="24">
        <f t="shared" si="29"/>
        <v>0.33782105411099433</v>
      </c>
      <c r="AB29" s="24">
        <f t="shared" si="28"/>
        <v>0.33970143617821708</v>
      </c>
      <c r="AC29" s="24">
        <f t="shared" si="28"/>
        <v>0.34164041107728643</v>
      </c>
      <c r="AD29" s="24">
        <f t="shared" si="28"/>
        <v>0.34333426698414604</v>
      </c>
      <c r="AE29" s="24">
        <f t="shared" si="28"/>
        <v>0.34493306571680671</v>
      </c>
      <c r="AF29" s="24">
        <f t="shared" si="28"/>
        <v>0.35286453118063577</v>
      </c>
      <c r="AG29" s="24">
        <f t="shared" si="28"/>
        <v>0.35992957639801931</v>
      </c>
      <c r="AH29" s="126"/>
      <c r="AI29" s="126"/>
      <c r="AJ29" s="126"/>
      <c r="AK29" s="126"/>
      <c r="AL29" s="126"/>
      <c r="AM29" s="126"/>
    </row>
    <row r="30" spans="1:41">
      <c r="A30" s="4" t="s">
        <v>398</v>
      </c>
      <c r="B30" s="185">
        <f t="shared" si="3"/>
        <v>24</v>
      </c>
      <c r="C30" s="334">
        <v>0.19999999999999996</v>
      </c>
      <c r="D30" s="331">
        <v>0.21227364185110653</v>
      </c>
      <c r="E30" s="331">
        <v>0.22064777327935226</v>
      </c>
      <c r="F30" s="331">
        <v>0.22685656154628692</v>
      </c>
      <c r="G30" s="331">
        <v>0.22950819672131151</v>
      </c>
      <c r="H30" s="331">
        <v>0.23608247422680412</v>
      </c>
      <c r="I30" s="331">
        <v>0.24091381100726889</v>
      </c>
      <c r="J30" s="334">
        <v>0.24058577405857745</v>
      </c>
      <c r="K30" s="24">
        <f t="shared" si="29"/>
        <v>0.20269150776104425</v>
      </c>
      <c r="L30" s="24">
        <f t="shared" si="29"/>
        <v>0.20526908127742213</v>
      </c>
      <c r="M30" s="24">
        <f t="shared" si="28"/>
        <v>0.21003282148492158</v>
      </c>
      <c r="N30" s="24">
        <f t="shared" si="28"/>
        <v>0.21579890905405788</v>
      </c>
      <c r="O30" s="24">
        <f t="shared" si="28"/>
        <v>0.22225459565768413</v>
      </c>
      <c r="P30" s="24">
        <f t="shared" si="28"/>
        <v>0.2281528966966935</v>
      </c>
      <c r="Q30" s="24">
        <f t="shared" si="28"/>
        <v>0.23558885460425563</v>
      </c>
      <c r="R30" s="24">
        <f t="shared" si="28"/>
        <v>0.24286951200235812</v>
      </c>
      <c r="S30" s="24">
        <f t="shared" si="28"/>
        <v>0.24997698405768431</v>
      </c>
      <c r="T30" s="24">
        <f t="shared" si="28"/>
        <v>0.25620025340500246</v>
      </c>
      <c r="U30" s="24">
        <f t="shared" si="28"/>
        <v>0.25991208674966915</v>
      </c>
      <c r="V30" s="24">
        <f t="shared" si="28"/>
        <v>0.26604673358936698</v>
      </c>
      <c r="W30" s="24">
        <f t="shared" si="28"/>
        <v>0.27190794293994025</v>
      </c>
      <c r="X30" s="24">
        <f t="shared" si="28"/>
        <v>0.27773847562438531</v>
      </c>
      <c r="Y30" s="24">
        <f t="shared" si="28"/>
        <v>0.28264349293585556</v>
      </c>
      <c r="Z30" s="24">
        <f t="shared" si="28"/>
        <v>0.28741388660113931</v>
      </c>
      <c r="AA30" s="24">
        <f t="shared" si="28"/>
        <v>0.29305655766378785</v>
      </c>
      <c r="AB30" s="24">
        <f t="shared" si="28"/>
        <v>0.29864672968755968</v>
      </c>
      <c r="AC30" s="24">
        <f t="shared" si="28"/>
        <v>0.30372155092478953</v>
      </c>
      <c r="AD30" s="24">
        <f t="shared" si="28"/>
        <v>0.30876089538636509</v>
      </c>
      <c r="AE30" s="24">
        <f t="shared" si="28"/>
        <v>0.31396181026608438</v>
      </c>
      <c r="AF30" s="24">
        <f t="shared" si="28"/>
        <v>0.34200603649400052</v>
      </c>
      <c r="AG30" s="24">
        <f t="shared" si="28"/>
        <v>0.36581613586638906</v>
      </c>
      <c r="AH30" s="126"/>
      <c r="AI30" s="126"/>
      <c r="AJ30" s="126"/>
      <c r="AK30" s="126"/>
      <c r="AL30" s="126"/>
      <c r="AM30" s="126"/>
    </row>
    <row r="31" spans="1:41">
      <c r="A31" t="s">
        <v>399</v>
      </c>
      <c r="B31" s="185">
        <f t="shared" si="3"/>
        <v>25</v>
      </c>
      <c r="C31" s="331">
        <v>26.162716441035041</v>
      </c>
      <c r="D31" s="331">
        <v>26.124793740612695</v>
      </c>
      <c r="E31" s="331">
        <v>25.810272238913001</v>
      </c>
      <c r="F31" s="331">
        <v>25.676476665132281</v>
      </c>
      <c r="G31" s="331">
        <v>25.758415053648385</v>
      </c>
      <c r="H31" s="331">
        <v>25.755361891142741</v>
      </c>
      <c r="I31" s="331">
        <v>25.706039736299225</v>
      </c>
      <c r="J31" s="331">
        <v>25.946710085536886</v>
      </c>
      <c r="K31" s="331">
        <v>26.998265626975765</v>
      </c>
      <c r="L31" s="10">
        <f t="shared" ref="L31:AG31" si="30">L28*L$27</f>
        <v>29.287129613802783</v>
      </c>
      <c r="M31" s="10">
        <f t="shared" si="30"/>
        <v>29.242513492212662</v>
      </c>
      <c r="N31" s="10">
        <f t="shared" si="30"/>
        <v>29.119930379039147</v>
      </c>
      <c r="O31" s="10">
        <f t="shared" si="30"/>
        <v>28.914921802619762</v>
      </c>
      <c r="P31" s="10">
        <f t="shared" si="30"/>
        <v>28.703653933445384</v>
      </c>
      <c r="Q31" s="10">
        <f t="shared" si="30"/>
        <v>28.432849130265836</v>
      </c>
      <c r="R31" s="10">
        <f t="shared" si="30"/>
        <v>28.093231022474818</v>
      </c>
      <c r="S31" s="10">
        <f t="shared" si="30"/>
        <v>27.751114906132823</v>
      </c>
      <c r="T31" s="10">
        <f t="shared" si="30"/>
        <v>27.446014044850234</v>
      </c>
      <c r="U31" s="10">
        <f t="shared" si="30"/>
        <v>27.268179044262631</v>
      </c>
      <c r="V31" s="10">
        <f t="shared" si="30"/>
        <v>27.051393095318446</v>
      </c>
      <c r="W31" s="10">
        <f t="shared" si="30"/>
        <v>26.740214774750875</v>
      </c>
      <c r="X31" s="10">
        <f t="shared" si="30"/>
        <v>26.435860845032895</v>
      </c>
      <c r="Y31" s="10">
        <f t="shared" si="30"/>
        <v>26.166118078222159</v>
      </c>
      <c r="Z31" s="10">
        <f t="shared" si="30"/>
        <v>25.918622781111281</v>
      </c>
      <c r="AA31" s="10">
        <f t="shared" si="30"/>
        <v>25.624566310754656</v>
      </c>
      <c r="AB31" s="10">
        <f t="shared" si="30"/>
        <v>25.294087785910385</v>
      </c>
      <c r="AC31" s="10">
        <f t="shared" si="30"/>
        <v>24.983385336860582</v>
      </c>
      <c r="AD31" s="10">
        <f t="shared" si="30"/>
        <v>24.681316266168029</v>
      </c>
      <c r="AE31" s="10">
        <f t="shared" si="30"/>
        <v>24.363641895847387</v>
      </c>
      <c r="AF31" s="10">
        <f t="shared" si="30"/>
        <v>22.471523269897709</v>
      </c>
      <c r="AG31" s="10">
        <f t="shared" si="30"/>
        <v>20.711110331567543</v>
      </c>
      <c r="AH31" s="10"/>
      <c r="AI31" s="10"/>
      <c r="AJ31" s="10"/>
      <c r="AK31" s="10"/>
      <c r="AL31" s="10"/>
      <c r="AM31" s="10"/>
    </row>
    <row r="32" spans="1:41">
      <c r="A32" s="4" t="s">
        <v>400</v>
      </c>
      <c r="B32" s="185">
        <f t="shared" si="3"/>
        <v>26</v>
      </c>
      <c r="C32" s="331">
        <v>15.697629864621025</v>
      </c>
      <c r="D32" s="331">
        <v>15.706931206012538</v>
      </c>
      <c r="E32" s="331">
        <v>16.206450010480257</v>
      </c>
      <c r="F32" s="331">
        <v>16.65350655721161</v>
      </c>
      <c r="G32" s="331">
        <v>17.096293177200256</v>
      </c>
      <c r="H32" s="331">
        <v>17.422744808714206</v>
      </c>
      <c r="I32" s="331">
        <v>17.892835083270921</v>
      </c>
      <c r="J32" s="331">
        <v>18.376375848815535</v>
      </c>
      <c r="K32" s="331">
        <v>19.311259441517389</v>
      </c>
      <c r="L32" s="10">
        <f t="shared" ref="L32:AG32" si="31">L29*L$27</f>
        <v>18.474508994341168</v>
      </c>
      <c r="M32" s="10">
        <f t="shared" si="31"/>
        <v>18.820339603291107</v>
      </c>
      <c r="N32" s="10">
        <f t="shared" si="31"/>
        <v>19.138098615320793</v>
      </c>
      <c r="O32" s="10">
        <f t="shared" si="31"/>
        <v>19.477571418874312</v>
      </c>
      <c r="P32" s="10">
        <f t="shared" si="31"/>
        <v>19.839383867317174</v>
      </c>
      <c r="Q32" s="10">
        <f t="shared" si="31"/>
        <v>20.144575288890959</v>
      </c>
      <c r="R32" s="10">
        <f t="shared" si="31"/>
        <v>20.507929256627207</v>
      </c>
      <c r="S32" s="10">
        <f t="shared" si="31"/>
        <v>20.864468503440627</v>
      </c>
      <c r="T32" s="10">
        <f t="shared" si="31"/>
        <v>21.224851289971184</v>
      </c>
      <c r="U32" s="10">
        <f t="shared" si="31"/>
        <v>21.60781205322996</v>
      </c>
      <c r="V32" s="10">
        <f t="shared" si="31"/>
        <v>21.855149352882151</v>
      </c>
      <c r="W32" s="10">
        <f t="shared" si="31"/>
        <v>22.199131972702702</v>
      </c>
      <c r="X32" s="10">
        <f t="shared" si="31"/>
        <v>22.522478893366742</v>
      </c>
      <c r="Y32" s="10">
        <f t="shared" si="31"/>
        <v>22.859500231761235</v>
      </c>
      <c r="Z32" s="10">
        <f t="shared" si="31"/>
        <v>23.169532577840151</v>
      </c>
      <c r="AA32" s="10">
        <f t="shared" si="31"/>
        <v>23.451620054415372</v>
      </c>
      <c r="AB32" s="10">
        <f t="shared" si="31"/>
        <v>23.758867332337829</v>
      </c>
      <c r="AC32" s="10">
        <f t="shared" si="31"/>
        <v>24.067734202379224</v>
      </c>
      <c r="AD32" s="10">
        <f t="shared" si="31"/>
        <v>24.357067542341124</v>
      </c>
      <c r="AE32" s="10">
        <f t="shared" si="31"/>
        <v>24.637054970594811</v>
      </c>
      <c r="AF32" s="10">
        <f t="shared" si="31"/>
        <v>25.987016274103535</v>
      </c>
      <c r="AG32" s="10">
        <f t="shared" si="31"/>
        <v>27.181128980417853</v>
      </c>
      <c r="AH32" s="10"/>
      <c r="AI32" s="10"/>
      <c r="AJ32" s="10"/>
      <c r="AK32" s="10"/>
      <c r="AL32" s="10"/>
      <c r="AM32" s="10"/>
    </row>
    <row r="33" spans="1:41">
      <c r="A33" s="4" t="s">
        <v>401</v>
      </c>
      <c r="B33" s="185">
        <f t="shared" si="3"/>
        <v>27</v>
      </c>
      <c r="C33" s="331">
        <v>10.465086576414015</v>
      </c>
      <c r="D33" s="331">
        <v>11.272661511798107</v>
      </c>
      <c r="E33" s="331">
        <v>11.895643442036015</v>
      </c>
      <c r="F33" s="331">
        <v>12.420508234977223</v>
      </c>
      <c r="G33" s="331">
        <v>12.765232238976191</v>
      </c>
      <c r="H33" s="331">
        <v>13.343841341791148</v>
      </c>
      <c r="I33" s="331">
        <v>13.837125797729508</v>
      </c>
      <c r="J33" s="331">
        <v>14.041748987467024</v>
      </c>
      <c r="K33" s="186">
        <f t="shared" ref="K33:AG33" si="32">K30*K$27</f>
        <v>12.021367799432369</v>
      </c>
      <c r="L33" s="10">
        <f t="shared" si="32"/>
        <v>12.336235380343002</v>
      </c>
      <c r="M33" s="10">
        <f t="shared" si="32"/>
        <v>12.778729191305597</v>
      </c>
      <c r="N33" s="10">
        <f t="shared" si="32"/>
        <v>13.279795361569889</v>
      </c>
      <c r="O33" s="10">
        <f t="shared" si="32"/>
        <v>13.829016479892299</v>
      </c>
      <c r="P33" s="10">
        <f t="shared" si="32"/>
        <v>14.349000781763538</v>
      </c>
      <c r="Q33" s="10">
        <f t="shared" si="32"/>
        <v>14.9713931402833</v>
      </c>
      <c r="R33" s="10">
        <f t="shared" si="32"/>
        <v>15.590100077664104</v>
      </c>
      <c r="S33" s="10">
        <f t="shared" si="32"/>
        <v>16.203205315854781</v>
      </c>
      <c r="T33" s="10">
        <f t="shared" si="32"/>
        <v>16.764576876108688</v>
      </c>
      <c r="U33" s="10">
        <f t="shared" si="32"/>
        <v>17.164799763201472</v>
      </c>
      <c r="V33" s="10">
        <f t="shared" si="32"/>
        <v>17.727866970502511</v>
      </c>
      <c r="W33" s="10">
        <f t="shared" si="32"/>
        <v>18.276531070338095</v>
      </c>
      <c r="X33" s="10">
        <f t="shared" si="32"/>
        <v>18.826441931541119</v>
      </c>
      <c r="Y33" s="10">
        <f t="shared" si="32"/>
        <v>19.316437316759014</v>
      </c>
      <c r="Z33" s="10">
        <f t="shared" si="32"/>
        <v>19.799175499648925</v>
      </c>
      <c r="AA33" s="10">
        <f t="shared" si="32"/>
        <v>20.344057781928377</v>
      </c>
      <c r="AB33" s="10">
        <f t="shared" si="32"/>
        <v>20.8874831667205</v>
      </c>
      <c r="AC33" s="10">
        <f t="shared" si="32"/>
        <v>21.396442932913359</v>
      </c>
      <c r="AD33" s="10">
        <f t="shared" si="32"/>
        <v>21.904338443755417</v>
      </c>
      <c r="AE33" s="10">
        <f t="shared" si="32"/>
        <v>22.424914126799209</v>
      </c>
      <c r="AF33" s="10">
        <f t="shared" si="32"/>
        <v>25.187332958838827</v>
      </c>
      <c r="AG33" s="10">
        <f t="shared" si="32"/>
        <v>27.625669642404802</v>
      </c>
      <c r="AH33" s="10"/>
      <c r="AI33" s="10"/>
      <c r="AJ33" s="10"/>
      <c r="AK33" s="10"/>
      <c r="AL33" s="10"/>
      <c r="AM33" s="10"/>
    </row>
    <row r="34" spans="1:41">
      <c r="A34" t="s">
        <v>402</v>
      </c>
      <c r="B34" s="185">
        <f t="shared" si="3"/>
        <v>28</v>
      </c>
      <c r="C34" s="335">
        <v>0.30163969294990939</v>
      </c>
      <c r="D34" s="334">
        <v>0.31040000000000001</v>
      </c>
      <c r="E34" s="334">
        <v>0.31530000000000002</v>
      </c>
      <c r="F34" s="334">
        <v>0.31869999999999998</v>
      </c>
      <c r="G34" s="334">
        <v>0.31979999999999997</v>
      </c>
      <c r="H34" s="334">
        <v>0.3246</v>
      </c>
      <c r="I34" s="334">
        <v>0.3276</v>
      </c>
      <c r="J34" s="334">
        <v>0.32619999999999999</v>
      </c>
      <c r="K34" s="334">
        <v>0.2994</v>
      </c>
      <c r="L34" s="24">
        <f t="shared" ref="L34:AG34" si="33">L69/K69*K34</f>
        <v>0.30641721884556328</v>
      </c>
      <c r="M34" s="24">
        <f t="shared" si="33"/>
        <v>0.31040812150584196</v>
      </c>
      <c r="N34" s="186">
        <f t="shared" si="33"/>
        <v>0.3153015711535343</v>
      </c>
      <c r="O34" s="186">
        <f t="shared" si="33"/>
        <v>0.32075426222588566</v>
      </c>
      <c r="P34" s="186">
        <f t="shared" si="33"/>
        <v>0.32575958412123451</v>
      </c>
      <c r="Q34" s="186">
        <f t="shared" si="33"/>
        <v>0.33255537470241664</v>
      </c>
      <c r="R34" s="186">
        <f t="shared" si="33"/>
        <v>0.3392278907003996</v>
      </c>
      <c r="S34" s="186">
        <f t="shared" si="33"/>
        <v>0.34599086099442306</v>
      </c>
      <c r="T34" s="186">
        <f t="shared" si="33"/>
        <v>0.3520595495964825</v>
      </c>
      <c r="U34" s="186">
        <f t="shared" si="33"/>
        <v>0.35546951825441209</v>
      </c>
      <c r="V34" s="186">
        <f t="shared" si="33"/>
        <v>0.3623040424204278</v>
      </c>
      <c r="W34" s="186">
        <f t="shared" si="33"/>
        <v>0.36855290176761452</v>
      </c>
      <c r="X34" s="186">
        <f t="shared" si="33"/>
        <v>0.3750673193293953</v>
      </c>
      <c r="Y34" s="186">
        <f t="shared" si="33"/>
        <v>0.38060172023637007</v>
      </c>
      <c r="Z34" s="186">
        <f t="shared" si="33"/>
        <v>0.38614263324905479</v>
      </c>
      <c r="AA34" s="186">
        <f t="shared" si="33"/>
        <v>0.39313298676627284</v>
      </c>
      <c r="AB34" s="186">
        <f t="shared" si="33"/>
        <v>0.4001483093822692</v>
      </c>
      <c r="AC34" s="186">
        <f t="shared" si="33"/>
        <v>0.44353523801735478</v>
      </c>
      <c r="AD34" s="186">
        <f t="shared" si="33"/>
        <v>0.45099473889064606</v>
      </c>
      <c r="AE34" s="186">
        <f t="shared" si="33"/>
        <v>0.45902188050485748</v>
      </c>
      <c r="AF34" s="186">
        <f t="shared" si="33"/>
        <v>0.50809608924922722</v>
      </c>
      <c r="AG34" s="186">
        <f t="shared" si="33"/>
        <v>0.55888026002187474</v>
      </c>
      <c r="AH34" s="126"/>
      <c r="AI34" s="126"/>
      <c r="AJ34" s="126"/>
      <c r="AK34" s="126"/>
      <c r="AL34" s="126"/>
      <c r="AM34" s="126"/>
    </row>
    <row r="35" spans="1:41">
      <c r="A35" s="4" t="s">
        <v>279</v>
      </c>
      <c r="B35" s="4"/>
      <c r="C35" s="109"/>
      <c r="D35" s="341">
        <f>(D34/C34)^(1/(D$5-C$5))-1</f>
        <v>2.9042288713459818E-2</v>
      </c>
      <c r="E35" s="341">
        <f t="shared" ref="E35:L35" si="34">(E34/D34)^(1/(E$5-D$5))-1</f>
        <v>1.5786082474226859E-2</v>
      </c>
      <c r="F35" s="341">
        <f t="shared" si="34"/>
        <v>1.0783380907072537E-2</v>
      </c>
      <c r="G35" s="341">
        <f t="shared" si="34"/>
        <v>3.4515218073423171E-3</v>
      </c>
      <c r="H35" s="341">
        <f t="shared" si="34"/>
        <v>1.5009380863039379E-2</v>
      </c>
      <c r="I35" s="341">
        <f t="shared" si="34"/>
        <v>9.2421441774492852E-3</v>
      </c>
      <c r="J35" s="341">
        <f t="shared" si="34"/>
        <v>-4.2735042735042583E-3</v>
      </c>
      <c r="K35" s="341">
        <f t="shared" si="34"/>
        <v>-8.2158185162476971E-2</v>
      </c>
      <c r="L35" s="109">
        <f t="shared" si="34"/>
        <v>2.34376046946001E-2</v>
      </c>
      <c r="M35" s="109">
        <f t="shared" ref="M35" si="35">(M34/L34)^(1/(M$5-L$5))-1</f>
        <v>1.3024407294454754E-2</v>
      </c>
      <c r="N35" s="109">
        <f t="shared" ref="N35" si="36">(N34/M34)^(1/(N$5-M$5))-1</f>
        <v>1.5764567060788881E-2</v>
      </c>
      <c r="O35" s="109">
        <f t="shared" ref="O35" si="37">(O34/N34)^(1/(O$5-N$5))-1</f>
        <v>1.7293574061184147E-2</v>
      </c>
      <c r="P35" s="109">
        <f t="shared" ref="P35" si="38">(P34/O34)^(1/(P$5-O$5))-1</f>
        <v>1.5604849209529537E-2</v>
      </c>
      <c r="Q35" s="109">
        <f t="shared" ref="Q35" si="39">(Q34/P34)^(1/(Q$5-P$5))-1</f>
        <v>2.0861368053113116E-2</v>
      </c>
      <c r="R35" s="109">
        <f t="shared" ref="R35" si="40">(R34/Q34)^(1/(R$5-Q$5))-1</f>
        <v>2.0064375756830843E-2</v>
      </c>
      <c r="S35" s="109">
        <f t="shared" ref="S35" si="41">(S34/R34)^(1/(S$5-R$5))-1</f>
        <v>1.9936362779782169E-2</v>
      </c>
      <c r="T35" s="109">
        <f t="shared" ref="T35" si="42">(T34/S34)^(1/(T$5-S$5))-1</f>
        <v>1.7540025723850716E-2</v>
      </c>
      <c r="U35" s="109">
        <f t="shared" ref="U35" si="43">(U34/T34)^(1/(U$5-T$5))-1</f>
        <v>9.6857723695833453E-3</v>
      </c>
      <c r="V35" s="109">
        <f t="shared" ref="V35" si="44">(V34/U34)^(1/(V$5-U$5))-1</f>
        <v>1.92267517045559E-2</v>
      </c>
      <c r="W35" s="109">
        <f t="shared" ref="W35" si="45">(W34/V34)^(1/(W$5-V$5))-1</f>
        <v>1.7247556238788375E-2</v>
      </c>
      <c r="X35" s="109">
        <f t="shared" ref="X35" si="46">(X34/W34)^(1/(X$5-W$5))-1</f>
        <v>1.7675664824607251E-2</v>
      </c>
      <c r="Y35" s="109">
        <f t="shared" ref="Y35" si="47">(Y34/X34)^(1/(Y$5-X$5))-1</f>
        <v>1.4755753492119883E-2</v>
      </c>
      <c r="Z35" s="109">
        <f t="shared" ref="Z35" si="48">(Z34/Y34)^(1/(Z$5-Y$5))-1</f>
        <v>1.4558297343594706E-2</v>
      </c>
      <c r="AA35" s="109">
        <f t="shared" ref="AA35" si="49">(AA34/Z34)^(1/(AA$5-Z$5))-1</f>
        <v>1.8103034773446991E-2</v>
      </c>
      <c r="AB35" s="109">
        <f t="shared" ref="AB35" si="50">(AB34/AA34)^(1/(AB$5-AA$5))-1</f>
        <v>1.7844655249362518E-2</v>
      </c>
      <c r="AC35" s="109">
        <f t="shared" ref="AC35" si="51">(AC34/AB34)^(1/(AC$5-AB$5))-1</f>
        <v>0.10842711968985785</v>
      </c>
      <c r="AD35" s="109">
        <f t="shared" ref="AD35" si="52">(AD34/AC34)^(1/(AD$5-AC$5))-1</f>
        <v>1.6818282368354698E-2</v>
      </c>
      <c r="AE35" s="109">
        <f t="shared" ref="AE35" si="53">(AE34/AD34)^(1/(AE$5-AD$5))-1</f>
        <v>1.7798747794611769E-2</v>
      </c>
      <c r="AF35" s="109">
        <f t="shared" ref="AF35" si="54">(AF34/AE34)^(1/(AF$5-AE$5))-1</f>
        <v>2.052228521787014E-2</v>
      </c>
      <c r="AG35" s="109">
        <f t="shared" ref="AG35" si="55">(AG34/AF34)^(1/(AG$5-AF$5))-1</f>
        <v>1.9235598297119738E-2</v>
      </c>
      <c r="AH35" s="109"/>
      <c r="AI35" s="109"/>
      <c r="AJ35" s="109"/>
      <c r="AK35" s="109"/>
      <c r="AL35" s="109"/>
      <c r="AM35" s="109"/>
    </row>
    <row r="36" spans="1:41">
      <c r="L36" s="10"/>
      <c r="Y36" s="109"/>
      <c r="Z36" s="109"/>
      <c r="AA36" s="109"/>
    </row>
    <row r="37" spans="1:41">
      <c r="A37" s="214" t="s">
        <v>660</v>
      </c>
    </row>
    <row r="38" spans="1:41" s="338" customFormat="1">
      <c r="C38" s="35" t="s">
        <v>553</v>
      </c>
      <c r="D38" s="35" t="s">
        <v>562</v>
      </c>
      <c r="E38" s="35" t="s">
        <v>563</v>
      </c>
      <c r="F38" s="35" t="s">
        <v>554</v>
      </c>
      <c r="G38" s="35" t="s">
        <v>564</v>
      </c>
      <c r="H38" s="35" t="s">
        <v>565</v>
      </c>
      <c r="I38" s="35" t="s">
        <v>566</v>
      </c>
      <c r="J38" s="35" t="s">
        <v>567</v>
      </c>
      <c r="K38" s="35" t="s">
        <v>555</v>
      </c>
      <c r="L38" s="35" t="s">
        <v>568</v>
      </c>
      <c r="M38" s="35" t="s">
        <v>569</v>
      </c>
      <c r="N38" s="35" t="s">
        <v>570</v>
      </c>
      <c r="O38" s="35" t="s">
        <v>571</v>
      </c>
      <c r="P38" s="35" t="s">
        <v>556</v>
      </c>
      <c r="Q38" s="35" t="s">
        <v>572</v>
      </c>
      <c r="R38" s="35" t="s">
        <v>573</v>
      </c>
      <c r="S38" s="35" t="s">
        <v>574</v>
      </c>
      <c r="T38" s="35" t="s">
        <v>575</v>
      </c>
      <c r="U38" s="35" t="s">
        <v>557</v>
      </c>
      <c r="V38" s="35" t="s">
        <v>576</v>
      </c>
      <c r="W38" s="35" t="s">
        <v>577</v>
      </c>
      <c r="X38" s="35" t="s">
        <v>578</v>
      </c>
      <c r="Y38" s="35" t="s">
        <v>579</v>
      </c>
      <c r="Z38" s="35" t="s">
        <v>558</v>
      </c>
      <c r="AA38" s="35" t="s">
        <v>580</v>
      </c>
      <c r="AB38" s="35" t="s">
        <v>581</v>
      </c>
      <c r="AC38" s="35" t="s">
        <v>582</v>
      </c>
      <c r="AD38" s="35" t="s">
        <v>583</v>
      </c>
      <c r="AE38" s="35" t="s">
        <v>559</v>
      </c>
      <c r="AF38" s="35" t="s">
        <v>560</v>
      </c>
      <c r="AG38" s="35" t="s">
        <v>561</v>
      </c>
      <c r="AH38" s="35"/>
      <c r="AI38" s="35"/>
      <c r="AJ38" s="35"/>
      <c r="AK38" s="35"/>
      <c r="AL38" s="35"/>
      <c r="AM38" s="35"/>
      <c r="AN38" s="35"/>
      <c r="AO38" s="35"/>
    </row>
    <row r="39" spans="1:41" s="338" customFormat="1"/>
    <row r="40" spans="1:41" s="338" customFormat="1">
      <c r="A40" s="338" t="s">
        <v>609</v>
      </c>
      <c r="C40" s="338">
        <v>2012</v>
      </c>
      <c r="D40" s="338">
        <v>2013</v>
      </c>
      <c r="E40" s="338">
        <v>2014</v>
      </c>
      <c r="F40" s="338">
        <v>2015</v>
      </c>
      <c r="G40" s="338">
        <v>2016</v>
      </c>
      <c r="H40" s="338">
        <v>2017</v>
      </c>
      <c r="I40" s="338">
        <v>2018</v>
      </c>
      <c r="J40" s="338">
        <v>2019</v>
      </c>
      <c r="K40" s="338">
        <v>2020</v>
      </c>
      <c r="L40" s="338">
        <v>2021</v>
      </c>
      <c r="M40" s="338">
        <v>2022</v>
      </c>
      <c r="N40" s="338">
        <v>2023</v>
      </c>
      <c r="O40" s="338">
        <v>2024</v>
      </c>
      <c r="P40" s="338">
        <v>2025</v>
      </c>
      <c r="Q40" s="338">
        <v>2026</v>
      </c>
      <c r="R40" s="338">
        <v>2027</v>
      </c>
      <c r="S40" s="338">
        <v>2028</v>
      </c>
      <c r="T40" s="338">
        <v>2029</v>
      </c>
      <c r="U40" s="338">
        <v>2030</v>
      </c>
      <c r="V40" s="338">
        <v>2031</v>
      </c>
      <c r="W40" s="338">
        <v>2032</v>
      </c>
      <c r="X40" s="338">
        <v>2033</v>
      </c>
      <c r="Y40" s="338">
        <v>2034</v>
      </c>
      <c r="Z40" s="338">
        <v>2035</v>
      </c>
      <c r="AA40" s="338">
        <v>2036</v>
      </c>
      <c r="AB40" s="338">
        <v>2037</v>
      </c>
      <c r="AC40" s="338">
        <v>2038</v>
      </c>
      <c r="AD40" s="338">
        <v>2039</v>
      </c>
      <c r="AE40" s="338">
        <v>2040</v>
      </c>
      <c r="AF40" s="338">
        <v>2045</v>
      </c>
      <c r="AG40" s="338">
        <v>2050</v>
      </c>
      <c r="AN40" s="5"/>
    </row>
    <row r="41" spans="1:41" s="338" customFormat="1">
      <c r="A41" s="338" t="s">
        <v>610</v>
      </c>
      <c r="C41" s="338">
        <v>0</v>
      </c>
      <c r="D41" s="338">
        <f>C41+1</f>
        <v>1</v>
      </c>
      <c r="E41" s="338">
        <f t="shared" ref="E41" si="56">D41+1</f>
        <v>2</v>
      </c>
      <c r="F41" s="338">
        <f t="shared" ref="F41" si="57">E41+1</f>
        <v>3</v>
      </c>
      <c r="G41" s="338">
        <f t="shared" ref="G41" si="58">F41+1</f>
        <v>4</v>
      </c>
      <c r="H41" s="338">
        <f t="shared" ref="H41" si="59">G41+1</f>
        <v>5</v>
      </c>
      <c r="I41" s="338">
        <f t="shared" ref="I41" si="60">H41+1</f>
        <v>6</v>
      </c>
      <c r="J41" s="338">
        <f t="shared" ref="J41" si="61">I41+1</f>
        <v>7</v>
      </c>
      <c r="K41" s="338">
        <f t="shared" ref="K41" si="62">J41+1</f>
        <v>8</v>
      </c>
      <c r="L41" s="338">
        <f t="shared" ref="L41" si="63">K41+1</f>
        <v>9</v>
      </c>
      <c r="M41" s="338">
        <f t="shared" ref="M41" si="64">L41+1</f>
        <v>10</v>
      </c>
      <c r="N41" s="338">
        <f t="shared" ref="N41" si="65">M41+1</f>
        <v>11</v>
      </c>
      <c r="O41" s="338">
        <f t="shared" ref="O41" si="66">N41+1</f>
        <v>12</v>
      </c>
      <c r="P41" s="338">
        <f t="shared" ref="P41" si="67">O41+1</f>
        <v>13</v>
      </c>
      <c r="Q41" s="338">
        <f t="shared" ref="Q41" si="68">P41+1</f>
        <v>14</v>
      </c>
      <c r="R41" s="338">
        <f t="shared" ref="R41" si="69">Q41+1</f>
        <v>15</v>
      </c>
      <c r="S41" s="338">
        <f t="shared" ref="S41" si="70">R41+1</f>
        <v>16</v>
      </c>
      <c r="T41" s="338">
        <f t="shared" ref="T41" si="71">S41+1</f>
        <v>17</v>
      </c>
      <c r="U41" s="338">
        <f t="shared" ref="U41" si="72">T41+1</f>
        <v>18</v>
      </c>
      <c r="V41" s="338">
        <f t="shared" ref="V41" si="73">U41+1</f>
        <v>19</v>
      </c>
      <c r="W41" s="338">
        <f t="shared" ref="W41" si="74">V41+1</f>
        <v>20</v>
      </c>
      <c r="X41" s="338">
        <f t="shared" ref="X41" si="75">W41+1</f>
        <v>21</v>
      </c>
      <c r="Y41" s="338">
        <f t="shared" ref="Y41" si="76">X41+1</f>
        <v>22</v>
      </c>
      <c r="Z41" s="338">
        <f t="shared" ref="Z41" si="77">Y41+1</f>
        <v>23</v>
      </c>
      <c r="AA41" s="338">
        <f t="shared" ref="AA41" si="78">Z41+1</f>
        <v>24</v>
      </c>
      <c r="AB41" s="338">
        <f t="shared" ref="AB41" si="79">AA41+1</f>
        <v>25</v>
      </c>
      <c r="AC41" s="338">
        <f t="shared" ref="AC41" si="80">AB41+1</f>
        <v>26</v>
      </c>
      <c r="AD41" s="338">
        <f t="shared" ref="AD41" si="81">AC41+1</f>
        <v>27</v>
      </c>
      <c r="AE41" s="338">
        <f t="shared" ref="AE41" si="82">AD41+1</f>
        <v>28</v>
      </c>
      <c r="AF41" s="338">
        <f t="shared" ref="AF41" si="83">AE41+1</f>
        <v>29</v>
      </c>
      <c r="AG41" s="338">
        <f t="shared" ref="AG41" si="84">AF41+1</f>
        <v>30</v>
      </c>
    </row>
    <row r="42" spans="1:41" s="338" customFormat="1">
      <c r="A42" s="134" t="s">
        <v>138</v>
      </c>
      <c r="B42" s="338">
        <v>1</v>
      </c>
      <c r="C42" s="331">
        <v>69.817113338466598</v>
      </c>
      <c r="D42" s="10">
        <f>INDEX(DriversGams!$A$5:$AN$23,MATCH(Drivers!$A42,DriversGams!$A$5:$A$23,0),MATCH(Drivers!D$3,DriversGams!$A$5:$AN$5,0))</f>
        <v>72.819731017164969</v>
      </c>
      <c r="E42" s="10">
        <f>INDEX(DriversGams!$A$5:$AN$23,MATCH(Drivers!$A42,DriversGams!$A$5:$A$23,0),MATCH(Drivers!E$3,DriversGams!$A$5:$AN$5,0))</f>
        <v>75.472008813799022</v>
      </c>
      <c r="F42" s="10">
        <f>INDEX(DriversGams!$A$5:$AN$23,MATCH(Drivers!$A42,DriversGams!$A$5:$A$23,0),MATCH(Drivers!F$3,DriversGams!$A$5:$AN$5,0))</f>
        <v>74.274927600037842</v>
      </c>
      <c r="G42" s="10">
        <f>INDEX(DriversGams!$A$5:$AN$23,MATCH(Drivers!$A42,DriversGams!$A$5:$A$23,0),MATCH(Drivers!G$3,DriversGams!$A$5:$AN$5,0))</f>
        <v>73.26059197587216</v>
      </c>
      <c r="H42" s="10">
        <f>INDEX(DriversGams!$A$5:$AN$23,MATCH(Drivers!$A42,DriversGams!$A$5:$A$23,0),MATCH(Drivers!H$3,DriversGams!$A$5:$AN$5,0))</f>
        <v>75.493823257911487</v>
      </c>
      <c r="I42" s="10">
        <f>INDEX(DriversGams!$A$5:$AN$23,MATCH(Drivers!$A42,DriversGams!$A$5:$A$23,0),MATCH(Drivers!I$3,DriversGams!$A$5:$AN$5,0))</f>
        <v>74.303648694490207</v>
      </c>
      <c r="J42" s="10">
        <f>INDEX(DriversGams!$A$5:$AN$23,MATCH(Drivers!$A42,DriversGams!$A$5:$A$23,0),MATCH(Drivers!J$3,DriversGams!$A$5:$AN$5,0))</f>
        <v>73.1945218840509</v>
      </c>
      <c r="K42" s="10">
        <f>INDEX(DriversGams!$A$5:$AN$23,MATCH(Drivers!$A42,DriversGams!$A$5:$A$23,0),MATCH(Drivers!K$3,DriversGams!$A$5:$AN$5,0))</f>
        <v>70.325700988606158</v>
      </c>
      <c r="L42" s="10">
        <f>INDEX(DriversGams!$A$5:$AN$23,MATCH(Drivers!$A42,DriversGams!$A$5:$A$23,0),MATCH(Drivers!L$3,DriversGams!$A$5:$AN$5,0))</f>
        <v>72.079600677576877</v>
      </c>
      <c r="M42" s="10">
        <f>INDEX(DriversGams!$A$5:$AN$23,MATCH(Drivers!$A42,DriversGams!$A$5:$A$23,0),MATCH(Drivers!M$3,DriversGams!$A$5:$AN$5,0))</f>
        <v>74.097267383773996</v>
      </c>
      <c r="N42" s="10">
        <f>INDEX(DriversGams!$A$5:$AN$23,MATCH(Drivers!$A42,DriversGams!$A$5:$A$23,0),MATCH(Drivers!N$3,DriversGams!$A$5:$AN$5,0))</f>
        <v>75.83751945163533</v>
      </c>
      <c r="O42" s="10">
        <f>INDEX(DriversGams!$A$5:$AN$23,MATCH(Drivers!$A42,DriversGams!$A$5:$A$23,0),MATCH(Drivers!O$3,DriversGams!$A$5:$AN$5,0))</f>
        <v>77.576110521025043</v>
      </c>
      <c r="P42" s="10">
        <f>INDEX(DriversGams!$A$5:$AN$23,MATCH(Drivers!$A42,DriversGams!$A$5:$A$23,0),MATCH(Drivers!P$3,DriversGams!$A$5:$AN$5,0))</f>
        <v>79.396606124967263</v>
      </c>
      <c r="Q42" s="10">
        <f>INDEX(DriversGams!$A$5:$AN$23,MATCH(Drivers!$A42,DriversGams!$A$5:$A$23,0),MATCH(Drivers!Q$3,DriversGams!$A$5:$AN$5,0))</f>
        <v>81.224836721269554</v>
      </c>
      <c r="R42" s="10">
        <f>INDEX(DriversGams!$A$5:$AN$23,MATCH(Drivers!$A42,DriversGams!$A$5:$A$23,0),MATCH(Drivers!R$3,DriversGams!$A$5:$AN$5,0))</f>
        <v>83.015421229038807</v>
      </c>
      <c r="S42" s="10">
        <f>INDEX(DriversGams!$A$5:$AN$23,MATCH(Drivers!$A42,DriversGams!$A$5:$A$23,0),MATCH(Drivers!S$3,DriversGams!$A$5:$AN$5,0))</f>
        <v>84.71879762829046</v>
      </c>
      <c r="T42" s="10">
        <f>INDEX(DriversGams!$A$5:$AN$23,MATCH(Drivers!$A42,DriversGams!$A$5:$A$23,0),MATCH(Drivers!T$3,DriversGams!$A$5:$AN$5,0))</f>
        <v>86.40947079839232</v>
      </c>
      <c r="U42" s="10">
        <f>INDEX(DriversGams!$A$5:$AN$23,MATCH(Drivers!$A42,DriversGams!$A$5:$A$23,0),MATCH(Drivers!U$3,DriversGams!$A$5:$AN$5,0))</f>
        <v>87.917074260425011</v>
      </c>
      <c r="V42" s="10">
        <f>INDEX(DriversGams!$A$5:$AN$23,MATCH(Drivers!$A42,DriversGams!$A$5:$A$23,0),MATCH(Drivers!V$3,DriversGams!$A$5:$AN$5,0))</f>
        <v>89.948274996445477</v>
      </c>
      <c r="W42" s="10">
        <f>INDEX(DriversGams!$A$5:$AN$23,MATCH(Drivers!$A42,DriversGams!$A$5:$A$23,0),MATCH(Drivers!W$3,DriversGams!$A$5:$AN$5,0))</f>
        <v>91.858597961990753</v>
      </c>
      <c r="X42" s="10">
        <f>INDEX(DriversGams!$A$5:$AN$23,MATCH(Drivers!$A42,DriversGams!$A$5:$A$23,0),MATCH(Drivers!X$3,DriversGams!$A$5:$AN$5,0))</f>
        <v>93.636661953392263</v>
      </c>
      <c r="Y42" s="10">
        <f>INDEX(DriversGams!$A$5:$AN$23,MATCH(Drivers!$A42,DriversGams!$A$5:$A$23,0),MATCH(Drivers!Y$3,DriversGams!$A$5:$AN$5,0))</f>
        <v>95.295599787555759</v>
      </c>
      <c r="Z42" s="10">
        <f>INDEX(DriversGams!$A$5:$AN$23,MATCH(Drivers!$A42,DriversGams!$A$5:$A$23,0),MATCH(Drivers!Z$3,DriversGams!$A$5:$AN$5,0))</f>
        <v>97.196418455885137</v>
      </c>
      <c r="AA42" s="10">
        <f>INDEX(DriversGams!$A$5:$AN$23,MATCH(Drivers!$A42,DriversGams!$A$5:$A$23,0),MATCH(Drivers!AA$3,DriversGams!$A$5:$AN$5,0))</f>
        <v>99.048946074573934</v>
      </c>
      <c r="AB42" s="10">
        <f>INDEX(DriversGams!$A$5:$AN$23,MATCH(Drivers!$A42,DriversGams!$A$5:$A$23,0),MATCH(Drivers!AB$3,DriversGams!$A$5:$AN$5,0))</f>
        <v>100.96742638628118</v>
      </c>
      <c r="AC42" s="10">
        <f>INDEX(DriversGams!$A$5:$AN$23,MATCH(Drivers!$A42,DriversGams!$A$5:$A$23,0),MATCH(Drivers!AC$3,DriversGams!$A$5:$AN$5,0))</f>
        <v>102.82399638424677</v>
      </c>
      <c r="AD42" s="10">
        <f>INDEX(DriversGams!$A$5:$AN$23,MATCH(Drivers!$A42,DriversGams!$A$5:$A$23,0),MATCH(Drivers!AD$3,DriversGams!$A$5:$AN$5,0))</f>
        <v>104.72881393465261</v>
      </c>
      <c r="AE42" s="10">
        <f>INDEX(DriversGams!$A$5:$AN$23,MATCH(Drivers!$A42,DriversGams!$A$5:$A$23,0),MATCH(Drivers!AE$3,DriversGams!$A$5:$AN$5,0))</f>
        <v>106.73410403014014</v>
      </c>
      <c r="AF42" s="10">
        <f>INDEX(DriversGams!$A$5:$AN$23,MATCH(Drivers!$A42,DriversGams!$A$5:$A$23,0),MATCH(Drivers!AF$3,DriversGams!$A$5:$AN$5,0))</f>
        <v>117.7224288535422</v>
      </c>
      <c r="AG42" s="10">
        <f>INDEX(DriversGams!$A$5:$AN$23,MATCH(Drivers!$A42,DriversGams!$A$5:$A$23,0),MATCH(Drivers!AG$3,DriversGams!$A$5:$AN$5,0))</f>
        <v>130.07284907210411</v>
      </c>
      <c r="AH42" s="126"/>
      <c r="AI42" s="126"/>
      <c r="AJ42" s="126"/>
      <c r="AK42" s="126"/>
      <c r="AL42" s="126"/>
      <c r="AM42" s="126"/>
      <c r="AO42" s="338">
        <v>1</v>
      </c>
    </row>
    <row r="43" spans="1:41" s="338" customFormat="1">
      <c r="A43" s="134" t="s">
        <v>4</v>
      </c>
      <c r="B43" s="338">
        <f>B42+1</f>
        <v>2</v>
      </c>
      <c r="C43" s="331">
        <v>1833.8485148656705</v>
      </c>
      <c r="D43" s="10">
        <f>INDEX(DriversGams!$A$5:$AN$23,MATCH(Drivers!$A43,DriversGams!$A$5:$A$23,0),MATCH(Drivers!D$3,DriversGams!$A$5:$AN$5,0))</f>
        <v>1886.6121543778552</v>
      </c>
      <c r="E43" s="10">
        <f>INDEX(DriversGams!$A$5:$AN$23,MATCH(Drivers!$A43,DriversGams!$A$5:$A$23,0),MATCH(Drivers!E$3,DriversGams!$A$5:$AN$5,0))</f>
        <v>1929.9088596734236</v>
      </c>
      <c r="F43" s="10">
        <f>INDEX(DriversGams!$A$5:$AN$23,MATCH(Drivers!$A43,DriversGams!$A$5:$A$23,0),MATCH(Drivers!F$3,DriversGams!$A$5:$AN$5,0))</f>
        <v>1960.4923036365474</v>
      </c>
      <c r="G43" s="10">
        <f>INDEX(DriversGams!$A$5:$AN$23,MATCH(Drivers!$A43,DriversGams!$A$5:$A$23,0),MATCH(Drivers!G$3,DriversGams!$A$5:$AN$5,0))</f>
        <v>1983.2547710242566</v>
      </c>
      <c r="H43" s="10">
        <f>INDEX(DriversGams!$A$5:$AN$23,MATCH(Drivers!$A43,DriversGams!$A$5:$A$23,0),MATCH(Drivers!H$3,DriversGams!$A$5:$AN$5,0))</f>
        <v>2006.0789129735178</v>
      </c>
      <c r="I43" s="10">
        <f>INDEX(DriversGams!$A$5:$AN$23,MATCH(Drivers!$A43,DriversGams!$A$5:$A$23,0),MATCH(Drivers!I$3,DriversGams!$A$5:$AN$5,0))</f>
        <v>2036.972183160904</v>
      </c>
      <c r="J43" s="10">
        <f>INDEX(DriversGams!$A$5:$AN$23,MATCH(Drivers!$A43,DriversGams!$A$5:$A$23,0),MATCH(Drivers!J$3,DriversGams!$A$5:$AN$5,0))</f>
        <v>2074.2003059734261</v>
      </c>
      <c r="K43" s="10">
        <f>INDEX(DriversGams!$A$5:$AN$23,MATCH(Drivers!$A43,DriversGams!$A$5:$A$23,0),MATCH(Drivers!K$3,DriversGams!$A$5:$AN$5,0))</f>
        <v>1914.545399528301</v>
      </c>
      <c r="L43" s="10">
        <f>INDEX(DriversGams!$A$5:$AN$23,MATCH(Drivers!$A43,DriversGams!$A$5:$A$23,0),MATCH(Drivers!L$3,DriversGams!$A$5:$AN$5,0))</f>
        <v>1957.2610773816891</v>
      </c>
      <c r="M43" s="10">
        <f>INDEX(DriversGams!$A$5:$AN$23,MATCH(Drivers!$A43,DriversGams!$A$5:$A$23,0),MATCH(Drivers!M$3,DriversGams!$A$5:$AN$5,0))</f>
        <v>2002.2872838168787</v>
      </c>
      <c r="N43" s="10">
        <f>INDEX(DriversGams!$A$5:$AN$23,MATCH(Drivers!$A43,DriversGams!$A$5:$A$23,0),MATCH(Drivers!N$3,DriversGams!$A$5:$AN$5,0))</f>
        <v>2051.2769335000403</v>
      </c>
      <c r="O43" s="10">
        <f>INDEX(DriversGams!$A$5:$AN$23,MATCH(Drivers!$A43,DriversGams!$A$5:$A$23,0),MATCH(Drivers!O$3,DriversGams!$A$5:$AN$5,0))</f>
        <v>2104.0245070320266</v>
      </c>
      <c r="P43" s="10">
        <f>INDEX(DriversGams!$A$5:$AN$23,MATCH(Drivers!$A43,DriversGams!$A$5:$A$23,0),MATCH(Drivers!P$3,DriversGams!$A$5:$AN$5,0))</f>
        <v>2157.2000988773989</v>
      </c>
      <c r="Q43" s="10">
        <f>INDEX(DriversGams!$A$5:$AN$23,MATCH(Drivers!$A43,DriversGams!$A$5:$A$23,0),MATCH(Drivers!Q$3,DriversGams!$A$5:$AN$5,0))</f>
        <v>2216.2386918503116</v>
      </c>
      <c r="R43" s="10">
        <f>INDEX(DriversGams!$A$5:$AN$23,MATCH(Drivers!$A43,DriversGams!$A$5:$A$23,0),MATCH(Drivers!R$3,DriversGams!$A$5:$AN$5,0))</f>
        <v>2277.0866520702075</v>
      </c>
      <c r="S43" s="10">
        <f>INDEX(DriversGams!$A$5:$AN$23,MATCH(Drivers!$A43,DriversGams!$A$5:$A$23,0),MATCH(Drivers!S$3,DriversGams!$A$5:$AN$5,0))</f>
        <v>2342.1075393790215</v>
      </c>
      <c r="T43" s="10">
        <f>INDEX(DriversGams!$A$5:$AN$23,MATCH(Drivers!$A43,DriversGams!$A$5:$A$23,0),MATCH(Drivers!T$3,DriversGams!$A$5:$AN$5,0))</f>
        <v>2408.995487304207</v>
      </c>
      <c r="U43" s="10">
        <f>INDEX(DriversGams!$A$5:$AN$23,MATCH(Drivers!$A43,DriversGams!$A$5:$A$23,0),MATCH(Drivers!U$3,DriversGams!$A$5:$AN$5,0))</f>
        <v>2468.4881674022527</v>
      </c>
      <c r="V43" s="10">
        <f>INDEX(DriversGams!$A$5:$AN$23,MATCH(Drivers!$A43,DriversGams!$A$5:$A$23,0),MATCH(Drivers!V$3,DriversGams!$A$5:$AN$5,0))</f>
        <v>2539.0431946322601</v>
      </c>
      <c r="W43" s="10">
        <f>INDEX(DriversGams!$A$5:$AN$23,MATCH(Drivers!$A43,DriversGams!$A$5:$A$23,0),MATCH(Drivers!W$3,DriversGams!$A$5:$AN$5,0))</f>
        <v>2611.6181489313612</v>
      </c>
      <c r="X43" s="10">
        <f>INDEX(DriversGams!$A$5:$AN$23,MATCH(Drivers!$A43,DriversGams!$A$5:$A$23,0),MATCH(Drivers!X$3,DriversGams!$A$5:$AN$5,0))</f>
        <v>2686.3644340512401</v>
      </c>
      <c r="Y43" s="10">
        <f>INDEX(DriversGams!$A$5:$AN$23,MATCH(Drivers!$A43,DriversGams!$A$5:$A$23,0),MATCH(Drivers!Y$3,DriversGams!$A$5:$AN$5,0))</f>
        <v>2759.0891878804987</v>
      </c>
      <c r="Z43" s="10">
        <f>INDEX(DriversGams!$A$5:$AN$23,MATCH(Drivers!$A43,DriversGams!$A$5:$A$23,0),MATCH(Drivers!Z$3,DriversGams!$A$5:$AN$5,0))</f>
        <v>2835.9490382924259</v>
      </c>
      <c r="AA43" s="10">
        <f>INDEX(DriversGams!$A$5:$AN$23,MATCH(Drivers!$A43,DriversGams!$A$5:$A$23,0),MATCH(Drivers!AA$3,DriversGams!$A$5:$AN$5,0))</f>
        <v>2915.3222561629782</v>
      </c>
      <c r="AB43" s="10">
        <f>INDEX(DriversGams!$A$5:$AN$23,MATCH(Drivers!$A43,DriversGams!$A$5:$A$23,0),MATCH(Drivers!AB$3,DriversGams!$A$5:$AN$5,0))</f>
        <v>2997.7985510673598</v>
      </c>
      <c r="AC43" s="10">
        <f>INDEX(DriversGams!$A$5:$AN$23,MATCH(Drivers!$A43,DriversGams!$A$5:$A$23,0),MATCH(Drivers!AC$3,DriversGams!$A$5:$AN$5,0))</f>
        <v>3079.8807643862083</v>
      </c>
      <c r="AD43" s="10">
        <f>INDEX(DriversGams!$A$5:$AN$23,MATCH(Drivers!$A43,DriversGams!$A$5:$A$23,0),MATCH(Drivers!AD$3,DriversGams!$A$5:$AN$5,0))</f>
        <v>3164.7988750291743</v>
      </c>
      <c r="AE43" s="10">
        <f>INDEX(DriversGams!$A$5:$AN$23,MATCH(Drivers!$A43,DriversGams!$A$5:$A$23,0),MATCH(Drivers!AE$3,DriversGams!$A$5:$AN$5,0))</f>
        <v>3254.7047790794968</v>
      </c>
      <c r="AF43" s="10">
        <f>INDEX(DriversGams!$A$5:$AN$23,MATCH(Drivers!$A43,DriversGams!$A$5:$A$23,0),MATCH(Drivers!AF$3,DriversGams!$A$5:$AN$5,0))</f>
        <v>3767.7621351917451</v>
      </c>
      <c r="AG43" s="10">
        <f>INDEX(DriversGams!$A$5:$AN$23,MATCH(Drivers!$A43,DriversGams!$A$5:$A$23,0),MATCH(Drivers!AG$3,DriversGams!$A$5:$AN$5,0))</f>
        <v>4350.0492909027143</v>
      </c>
      <c r="AH43" s="126"/>
      <c r="AI43" s="126"/>
      <c r="AJ43" s="126"/>
      <c r="AK43" s="126"/>
      <c r="AL43" s="126"/>
      <c r="AM43" s="126"/>
      <c r="AO43" s="338">
        <f>AO42+1</f>
        <v>2</v>
      </c>
    </row>
    <row r="44" spans="1:41" s="338" customFormat="1">
      <c r="A44" s="134" t="s">
        <v>525</v>
      </c>
      <c r="B44" s="338">
        <f t="shared" ref="B44:B69" si="85">B43+1</f>
        <v>3</v>
      </c>
      <c r="C44" s="331">
        <v>52.810230956688748</v>
      </c>
      <c r="D44" s="10">
        <f>INDEX(DriversGams!$A$5:$AN$23,MATCH(Drivers!$A44,DriversGams!$A$5:$A$23,0),MATCH(Drivers!D$3,DriversGams!$A$5:$AN$5,0))</f>
        <v>54.282362311943913</v>
      </c>
      <c r="E44" s="10">
        <f>INDEX(DriversGams!$A$5:$AN$23,MATCH(Drivers!$A44,DriversGams!$A$5:$A$23,0),MATCH(Drivers!E$3,DriversGams!$A$5:$AN$5,0))</f>
        <v>55.219691955007207</v>
      </c>
      <c r="F44" s="10">
        <f>INDEX(DriversGams!$A$5:$AN$23,MATCH(Drivers!$A44,DriversGams!$A$5:$A$23,0),MATCH(Drivers!F$3,DriversGams!$A$5:$AN$5,0))</f>
        <v>55.71177904843772</v>
      </c>
      <c r="G44" s="10">
        <f>INDEX(DriversGams!$A$5:$AN$23,MATCH(Drivers!$A44,DriversGams!$A$5:$A$23,0),MATCH(Drivers!G$3,DriversGams!$A$5:$AN$5,0))</f>
        <v>56.147972175388119</v>
      </c>
      <c r="H44" s="10">
        <f>INDEX(DriversGams!$A$5:$AN$23,MATCH(Drivers!$A44,DriversGams!$A$5:$A$23,0),MATCH(Drivers!H$3,DriversGams!$A$5:$AN$5,0))</f>
        <v>56.388632981353197</v>
      </c>
      <c r="I44" s="10">
        <f>INDEX(DriversGams!$A$5:$AN$23,MATCH(Drivers!$A44,DriversGams!$A$5:$A$23,0),MATCH(Drivers!I$3,DriversGams!$A$5:$AN$5,0))</f>
        <v>56.935742268541119</v>
      </c>
      <c r="J44" s="10">
        <f>INDEX(DriversGams!$A$5:$AN$23,MATCH(Drivers!$A44,DriversGams!$A$5:$A$23,0),MATCH(Drivers!J$3,DriversGams!$A$5:$AN$5,0))</f>
        <v>56.915851520215952</v>
      </c>
      <c r="K44" s="10">
        <f>INDEX(DriversGams!$A$5:$AN$23,MATCH(Drivers!$A44,DriversGams!$A$5:$A$23,0),MATCH(Drivers!K$3,DriversGams!$A$5:$AN$5,0))</f>
        <v>52.222577111314017</v>
      </c>
      <c r="L44" s="10">
        <f>INDEX(DriversGams!$A$5:$AN$23,MATCH(Drivers!$A44,DriversGams!$A$5:$A$23,0),MATCH(Drivers!L$3,DriversGams!$A$5:$AN$5,0))</f>
        <v>53.485625534148674</v>
      </c>
      <c r="M44" s="10">
        <f>INDEX(DriversGams!$A$5:$AN$23,MATCH(Drivers!$A44,DriversGams!$A$5:$A$23,0),MATCH(Drivers!M$3,DriversGams!$A$5:$AN$5,0))</f>
        <v>54.772963618611712</v>
      </c>
      <c r="N44" s="10">
        <f>INDEX(DriversGams!$A$5:$AN$23,MATCH(Drivers!$A44,DriversGams!$A$5:$A$23,0),MATCH(Drivers!N$3,DriversGams!$A$5:$AN$5,0))</f>
        <v>56.124869079913438</v>
      </c>
      <c r="O44" s="10">
        <f>INDEX(DriversGams!$A$5:$AN$23,MATCH(Drivers!$A44,DriversGams!$A$5:$A$23,0),MATCH(Drivers!O$3,DriversGams!$A$5:$AN$5,0))</f>
        <v>57.585957657715895</v>
      </c>
      <c r="P44" s="10">
        <f>INDEX(DriversGams!$A$5:$AN$23,MATCH(Drivers!$A44,DriversGams!$A$5:$A$23,0),MATCH(Drivers!P$3,DriversGams!$A$5:$AN$5,0))</f>
        <v>59.079383283398805</v>
      </c>
      <c r="Q44" s="10">
        <f>INDEX(DriversGams!$A$5:$AN$23,MATCH(Drivers!$A44,DriversGams!$A$5:$A$23,0),MATCH(Drivers!Q$3,DriversGams!$A$5:$AN$5,0))</f>
        <v>60.65927250258617</v>
      </c>
      <c r="R44" s="10">
        <f>INDEX(DriversGams!$A$5:$AN$23,MATCH(Drivers!$A44,DriversGams!$A$5:$A$23,0),MATCH(Drivers!R$3,DriversGams!$A$5:$AN$5,0))</f>
        <v>62.260045747357402</v>
      </c>
      <c r="S44" s="10">
        <f>INDEX(DriversGams!$A$5:$AN$23,MATCH(Drivers!$A44,DriversGams!$A$5:$A$23,0),MATCH(Drivers!S$3,DriversGams!$A$5:$AN$5,0))</f>
        <v>63.990528518902622</v>
      </c>
      <c r="T44" s="10">
        <f>INDEX(DriversGams!$A$5:$AN$23,MATCH(Drivers!$A44,DriversGams!$A$5:$A$23,0),MATCH(Drivers!T$3,DriversGams!$A$5:$AN$5,0))</f>
        <v>65.756685063171986</v>
      </c>
      <c r="U44" s="10">
        <f>INDEX(DriversGams!$A$5:$AN$23,MATCH(Drivers!$A44,DriversGams!$A$5:$A$23,0),MATCH(Drivers!U$3,DriversGams!$A$5:$AN$5,0))</f>
        <v>67.302359421755469</v>
      </c>
      <c r="V44" s="10">
        <f>INDEX(DriversGams!$A$5:$AN$23,MATCH(Drivers!$A44,DriversGams!$A$5:$A$23,0),MATCH(Drivers!V$3,DriversGams!$A$5:$AN$5,0))</f>
        <v>69.094850913797686</v>
      </c>
      <c r="W44" s="10">
        <f>INDEX(DriversGams!$A$5:$AN$23,MATCH(Drivers!$A44,DriversGams!$A$5:$A$23,0),MATCH(Drivers!W$3,DriversGams!$A$5:$AN$5,0))</f>
        <v>70.970000633313632</v>
      </c>
      <c r="X44" s="10">
        <f>INDEX(DriversGams!$A$5:$AN$23,MATCH(Drivers!$A44,DriversGams!$A$5:$A$23,0),MATCH(Drivers!X$3,DriversGams!$A$5:$AN$5,0))</f>
        <v>72.841272605878572</v>
      </c>
      <c r="Y44" s="10">
        <f>INDEX(DriversGams!$A$5:$AN$23,MATCH(Drivers!$A44,DriversGams!$A$5:$A$23,0),MATCH(Drivers!Y$3,DriversGams!$A$5:$AN$5,0))</f>
        <v>74.680009801299036</v>
      </c>
      <c r="Z44" s="10">
        <f>INDEX(DriversGams!$A$5:$AN$23,MATCH(Drivers!$A44,DriversGams!$A$5:$A$23,0),MATCH(Drivers!Z$3,DriversGams!$A$5:$AN$5,0))</f>
        <v>76.689487549255745</v>
      </c>
      <c r="AA44" s="10">
        <f>INDEX(DriversGams!$A$5:$AN$23,MATCH(Drivers!$A44,DriversGams!$A$5:$A$23,0),MATCH(Drivers!AA$3,DriversGams!$A$5:$AN$5,0))</f>
        <v>78.645651568328219</v>
      </c>
      <c r="AB44" s="10">
        <f>INDEX(DriversGams!$A$5:$AN$23,MATCH(Drivers!$A44,DriversGams!$A$5:$A$23,0),MATCH(Drivers!AB$3,DriversGams!$A$5:$AN$5,0))</f>
        <v>80.680897902695563</v>
      </c>
      <c r="AC44" s="10">
        <f>INDEX(DriversGams!$A$5:$AN$23,MATCH(Drivers!$A44,DriversGams!$A$5:$A$23,0),MATCH(Drivers!AC$3,DriversGams!$A$5:$AN$5,0))</f>
        <v>82.683267359520102</v>
      </c>
      <c r="AD44" s="10">
        <f>INDEX(DriversGams!$A$5:$AN$23,MATCH(Drivers!$A44,DriversGams!$A$5:$A$23,0),MATCH(Drivers!AD$3,DriversGams!$A$5:$AN$5,0))</f>
        <v>84.755595279062305</v>
      </c>
      <c r="AE44" s="10">
        <f>INDEX(DriversGams!$A$5:$AN$23,MATCH(Drivers!$A44,DriversGams!$A$5:$A$23,0),MATCH(Drivers!AE$3,DriversGams!$A$5:$AN$5,0))</f>
        <v>86.95293734444499</v>
      </c>
      <c r="AF44" s="10">
        <f>INDEX(DriversGams!$A$5:$AN$23,MATCH(Drivers!$A44,DriversGams!$A$5:$A$23,0),MATCH(Drivers!AF$3,DriversGams!$A$5:$AN$5,0))</f>
        <v>99.287066617144006</v>
      </c>
      <c r="AG44" s="10">
        <f>INDEX(DriversGams!$A$5:$AN$23,MATCH(Drivers!$A44,DriversGams!$A$5:$A$23,0),MATCH(Drivers!AG$3,DriversGams!$A$5:$AN$5,0))</f>
        <v>113.25676411935609</v>
      </c>
      <c r="AH44" s="126"/>
      <c r="AI44" s="126"/>
      <c r="AJ44" s="126"/>
      <c r="AK44" s="126"/>
      <c r="AL44" s="126"/>
      <c r="AM44" s="126"/>
      <c r="AO44" s="338">
        <f t="shared" ref="AO44:AO57" si="86">AO43+1</f>
        <v>3</v>
      </c>
    </row>
    <row r="45" spans="1:41" s="338" customFormat="1">
      <c r="A45" s="134" t="s">
        <v>522</v>
      </c>
      <c r="B45" s="338">
        <f t="shared" si="85"/>
        <v>4</v>
      </c>
      <c r="C45" s="331">
        <v>93.09690942833015</v>
      </c>
      <c r="D45" s="10">
        <f>INDEX(DriversGams!$A$5:$AN$23,MATCH(Drivers!$A45,DriversGams!$A$5:$A$23,0),MATCH(Drivers!D$3,DriversGams!$A$5:$AN$5,0))</f>
        <v>95.064855171375669</v>
      </c>
      <c r="E45" s="10">
        <f>INDEX(DriversGams!$A$5:$AN$23,MATCH(Drivers!$A45,DriversGams!$A$5:$A$23,0),MATCH(Drivers!E$3,DriversGams!$A$5:$AN$5,0))</f>
        <v>96.400077661477354</v>
      </c>
      <c r="F45" s="10">
        <f>INDEX(DriversGams!$A$5:$AN$23,MATCH(Drivers!$A45,DriversGams!$A$5:$A$23,0),MATCH(Drivers!F$3,DriversGams!$A$5:$AN$5,0))</f>
        <v>96.617861286112102</v>
      </c>
      <c r="G45" s="10">
        <f>INDEX(DriversGams!$A$5:$AN$23,MATCH(Drivers!$A45,DriversGams!$A$5:$A$23,0),MATCH(Drivers!G$3,DriversGams!$A$5:$AN$5,0))</f>
        <v>97.654818305582012</v>
      </c>
      <c r="H45" s="10">
        <f>INDEX(DriversGams!$A$5:$AN$23,MATCH(Drivers!$A45,DriversGams!$A$5:$A$23,0),MATCH(Drivers!H$3,DriversGams!$A$5:$AN$5,0))</f>
        <v>97.862455274201025</v>
      </c>
      <c r="I45" s="10">
        <f>INDEX(DriversGams!$A$5:$AN$23,MATCH(Drivers!$A45,DriversGams!$A$5:$A$23,0),MATCH(Drivers!I$3,DriversGams!$A$5:$AN$5,0))</f>
        <v>98.609954424293107</v>
      </c>
      <c r="J45" s="10">
        <f>INDEX(DriversGams!$A$5:$AN$23,MATCH(Drivers!$A45,DriversGams!$A$5:$A$23,0),MATCH(Drivers!J$3,DriversGams!$A$5:$AN$5,0))</f>
        <v>97.964584789862243</v>
      </c>
      <c r="K45" s="10">
        <f>INDEX(DriversGams!$A$5:$AN$23,MATCH(Drivers!$A45,DriversGams!$A$5:$A$23,0),MATCH(Drivers!K$3,DriversGams!$A$5:$AN$5,0))</f>
        <v>92.646489203328827</v>
      </c>
      <c r="L45" s="10">
        <f>INDEX(DriversGams!$A$5:$AN$23,MATCH(Drivers!$A45,DriversGams!$A$5:$A$23,0),MATCH(Drivers!L$3,DriversGams!$A$5:$AN$5,0))</f>
        <v>95.03041242813778</v>
      </c>
      <c r="M45" s="10">
        <f>INDEX(DriversGams!$A$5:$AN$23,MATCH(Drivers!$A45,DriversGams!$A$5:$A$23,0),MATCH(Drivers!M$3,DriversGams!$A$5:$AN$5,0))</f>
        <v>97.485838278771098</v>
      </c>
      <c r="N45" s="10">
        <f>INDEX(DriversGams!$A$5:$AN$23,MATCH(Drivers!$A45,DriversGams!$A$5:$A$23,0),MATCH(Drivers!N$3,DriversGams!$A$5:$AN$5,0))</f>
        <v>99.77593398947829</v>
      </c>
      <c r="O45" s="10">
        <f>INDEX(DriversGams!$A$5:$AN$23,MATCH(Drivers!$A45,DriversGams!$A$5:$A$23,0),MATCH(Drivers!O$3,DriversGams!$A$5:$AN$5,0))</f>
        <v>102.1635426368112</v>
      </c>
      <c r="P45" s="10">
        <f>INDEX(DriversGams!$A$5:$AN$23,MATCH(Drivers!$A45,DriversGams!$A$5:$A$23,0),MATCH(Drivers!P$3,DriversGams!$A$5:$AN$5,0))</f>
        <v>104.60035225495045</v>
      </c>
      <c r="Q45" s="10">
        <f>INDEX(DriversGams!$A$5:$AN$23,MATCH(Drivers!$A45,DriversGams!$A$5:$A$23,0),MATCH(Drivers!Q$3,DriversGams!$A$5:$AN$5,0))</f>
        <v>107.07694947006603</v>
      </c>
      <c r="R45" s="10">
        <f>INDEX(DriversGams!$A$5:$AN$23,MATCH(Drivers!$A45,DriversGams!$A$5:$A$23,0),MATCH(Drivers!R$3,DriversGams!$A$5:$AN$5,0))</f>
        <v>109.49041679677798</v>
      </c>
      <c r="S45" s="10">
        <f>INDEX(DriversGams!$A$5:$AN$23,MATCH(Drivers!$A45,DriversGams!$A$5:$A$23,0),MATCH(Drivers!S$3,DriversGams!$A$5:$AN$5,0))</f>
        <v>112.02696547098452</v>
      </c>
      <c r="T45" s="10">
        <f>INDEX(DriversGams!$A$5:$AN$23,MATCH(Drivers!$A45,DriversGams!$A$5:$A$23,0),MATCH(Drivers!T$3,DriversGams!$A$5:$AN$5,0))</f>
        <v>114.5350089727569</v>
      </c>
      <c r="U45" s="10">
        <f>INDEX(DriversGams!$A$5:$AN$23,MATCH(Drivers!$A45,DriversGams!$A$5:$A$23,0),MATCH(Drivers!U$3,DriversGams!$A$5:$AN$5,0))</f>
        <v>116.72534002734352</v>
      </c>
      <c r="V45" s="10">
        <f>INDEX(DriversGams!$A$5:$AN$23,MATCH(Drivers!$A45,DriversGams!$A$5:$A$23,0),MATCH(Drivers!V$3,DriversGams!$A$5:$AN$5,0))</f>
        <v>119.41291133682695</v>
      </c>
      <c r="W45" s="10">
        <f>INDEX(DriversGams!$A$5:$AN$23,MATCH(Drivers!$A45,DriversGams!$A$5:$A$23,0),MATCH(Drivers!W$3,DriversGams!$A$5:$AN$5,0))</f>
        <v>122.13561690535352</v>
      </c>
      <c r="X45" s="10">
        <f>INDEX(DriversGams!$A$5:$AN$23,MATCH(Drivers!$A45,DriversGams!$A$5:$A$23,0),MATCH(Drivers!X$3,DriversGams!$A$5:$AN$5,0))</f>
        <v>124.73806971931842</v>
      </c>
      <c r="Y45" s="10">
        <f>INDEX(DriversGams!$A$5:$AN$23,MATCH(Drivers!$A45,DriversGams!$A$5:$A$23,0),MATCH(Drivers!Y$3,DriversGams!$A$5:$AN$5,0))</f>
        <v>127.26382097220295</v>
      </c>
      <c r="Z45" s="10">
        <f>INDEX(DriversGams!$A$5:$AN$23,MATCH(Drivers!$A45,DriversGams!$A$5:$A$23,0),MATCH(Drivers!Z$3,DriversGams!$A$5:$AN$5,0))</f>
        <v>130.22505419824279</v>
      </c>
      <c r="AA45" s="10">
        <f>INDEX(DriversGams!$A$5:$AN$23,MATCH(Drivers!$A45,DriversGams!$A$5:$A$23,0),MATCH(Drivers!AA$3,DriversGams!$A$5:$AN$5,0))</f>
        <v>132.95638539516673</v>
      </c>
      <c r="AB45" s="10">
        <f>INDEX(DriversGams!$A$5:$AN$23,MATCH(Drivers!$A45,DriversGams!$A$5:$A$23,0),MATCH(Drivers!AB$3,DriversGams!$A$5:$AN$5,0))</f>
        <v>135.74521610666449</v>
      </c>
      <c r="AC45" s="10">
        <f>INDEX(DriversGams!$A$5:$AN$23,MATCH(Drivers!$A45,DriversGams!$A$5:$A$23,0),MATCH(Drivers!AC$3,DriversGams!$A$5:$AN$5,0))</f>
        <v>138.39843779341157</v>
      </c>
      <c r="AD45" s="10">
        <f>INDEX(DriversGams!$A$5:$AN$23,MATCH(Drivers!$A45,DriversGams!$A$5:$A$23,0),MATCH(Drivers!AD$3,DriversGams!$A$5:$AN$5,0))</f>
        <v>141.11496840750539</v>
      </c>
      <c r="AE45" s="10">
        <f>INDEX(DriversGams!$A$5:$AN$23,MATCH(Drivers!$A45,DriversGams!$A$5:$A$23,0),MATCH(Drivers!AE$3,DriversGams!$A$5:$AN$5,0))</f>
        <v>143.96077026055309</v>
      </c>
      <c r="AF45" s="10">
        <f>INDEX(DriversGams!$A$5:$AN$23,MATCH(Drivers!$A45,DriversGams!$A$5:$A$23,0),MATCH(Drivers!AF$3,DriversGams!$A$5:$AN$5,0))</f>
        <v>159.46543030187945</v>
      </c>
      <c r="AG45" s="10">
        <f>INDEX(DriversGams!$A$5:$AN$23,MATCH(Drivers!$A45,DriversGams!$A$5:$A$23,0),MATCH(Drivers!AG$3,DriversGams!$A$5:$AN$5,0))</f>
        <v>176.11001666062612</v>
      </c>
      <c r="AH45" s="126"/>
      <c r="AI45" s="126"/>
      <c r="AJ45" s="126"/>
      <c r="AK45" s="126"/>
      <c r="AL45" s="126"/>
      <c r="AM45" s="126"/>
      <c r="AO45" s="338">
        <f t="shared" si="86"/>
        <v>4</v>
      </c>
    </row>
    <row r="46" spans="1:41" s="338" customFormat="1">
      <c r="A46" s="134" t="s">
        <v>599</v>
      </c>
      <c r="B46" s="338">
        <f t="shared" si="85"/>
        <v>5</v>
      </c>
      <c r="C46" s="331">
        <v>1.2396211872289537E-4</v>
      </c>
      <c r="D46" s="10">
        <f>INDEX(DriversGams!$A$5:$AN$23,MATCH(Drivers!$A46,DriversGams!$A$5:$A$23,0),MATCH(Drivers!D$3,DriversGams!$A$5:$AN$5,0))</f>
        <v>1.3639597438124391E-4</v>
      </c>
      <c r="E46" s="10">
        <f>INDEX(DriversGams!$A$5:$AN$23,MATCH(Drivers!$A46,DriversGams!$A$5:$A$23,0),MATCH(Drivers!E$3,DriversGams!$A$5:$AN$5,0))</f>
        <v>1.4782778941609218E-4</v>
      </c>
      <c r="F46" s="10">
        <f>INDEX(DriversGams!$A$5:$AN$23,MATCH(Drivers!$A46,DriversGams!$A$5:$A$23,0),MATCH(Drivers!F$3,DriversGams!$A$5:$AN$5,0))</f>
        <v>1.433373755900728E-4</v>
      </c>
      <c r="G46" s="10">
        <f>INDEX(DriversGams!$A$5:$AN$23,MATCH(Drivers!$A46,DriversGams!$A$5:$A$23,0),MATCH(Drivers!G$3,DriversGams!$A$5:$AN$5,0))</f>
        <v>1.4102836937202948E-4</v>
      </c>
      <c r="H46" s="10">
        <f>INDEX(DriversGams!$A$5:$AN$23,MATCH(Drivers!$A46,DriversGams!$A$5:$A$23,0),MATCH(Drivers!H$3,DriversGams!$A$5:$AN$5,0))</f>
        <v>1.3573729608291313E-4</v>
      </c>
      <c r="I46" s="10">
        <f>INDEX(DriversGams!$A$5:$AN$23,MATCH(Drivers!$A46,DriversGams!$A$5:$A$23,0),MATCH(Drivers!I$3,DriversGams!$A$5:$AN$5,0))</f>
        <v>1.4250803609018416E-4</v>
      </c>
      <c r="J46" s="10">
        <f>INDEX(DriversGams!$A$5:$AN$23,MATCH(Drivers!$A46,DriversGams!$A$5:$A$23,0),MATCH(Drivers!J$3,DriversGams!$A$5:$AN$5,0))</f>
        <v>1.4349767581431678E-4</v>
      </c>
      <c r="K46" s="10">
        <f>INDEX(DriversGams!$A$5:$AN$23,MATCH(Drivers!$A46,DriversGams!$A$5:$A$23,0),MATCH(Drivers!K$3,DriversGams!$A$5:$AN$5,0))</f>
        <v>1.1077458554618781E-4</v>
      </c>
      <c r="L46" s="10">
        <f>INDEX(DriversGams!$A$5:$AN$23,MATCH(Drivers!$A46,DriversGams!$A$5:$A$23,0),MATCH(Drivers!L$3,DriversGams!$A$5:$AN$5,0))</f>
        <v>1.2272309954097676E-4</v>
      </c>
      <c r="M46" s="10">
        <f>INDEX(DriversGams!$A$5:$AN$23,MATCH(Drivers!$A46,DriversGams!$A$5:$A$23,0),MATCH(Drivers!M$3,DriversGams!$A$5:$AN$5,0))</f>
        <v>1.265790961958254E-4</v>
      </c>
      <c r="N46" s="10">
        <f>INDEX(DriversGams!$A$5:$AN$23,MATCH(Drivers!$A46,DriversGams!$A$5:$A$23,0),MATCH(Drivers!N$3,DriversGams!$A$5:$AN$5,0))</f>
        <v>1.3088259036532032E-4</v>
      </c>
      <c r="O46" s="10">
        <f>INDEX(DriversGams!$A$5:$AN$23,MATCH(Drivers!$A46,DriversGams!$A$5:$A$23,0),MATCH(Drivers!O$3,DriversGams!$A$5:$AN$5,0))</f>
        <v>1.3647595294192876E-4</v>
      </c>
      <c r="P46" s="10">
        <f>INDEX(DriversGams!$A$5:$AN$23,MATCH(Drivers!$A46,DriversGams!$A$5:$A$23,0),MATCH(Drivers!P$3,DriversGams!$A$5:$AN$5,0))</f>
        <v>1.4444262285271943E-4</v>
      </c>
      <c r="Q46" s="10">
        <f>INDEX(DriversGams!$A$5:$AN$23,MATCH(Drivers!$A46,DriversGams!$A$5:$A$23,0),MATCH(Drivers!Q$3,DriversGams!$A$5:$AN$5,0))</f>
        <v>1.4909047543167897E-4</v>
      </c>
      <c r="R46" s="10">
        <f>INDEX(DriversGams!$A$5:$AN$23,MATCH(Drivers!$A46,DriversGams!$A$5:$A$23,0),MATCH(Drivers!R$3,DriversGams!$A$5:$AN$5,0))</f>
        <v>1.5384452910483781E-4</v>
      </c>
      <c r="S46" s="10">
        <f>INDEX(DriversGams!$A$5:$AN$23,MATCH(Drivers!$A46,DriversGams!$A$5:$A$23,0),MATCH(Drivers!S$3,DriversGams!$A$5:$AN$5,0))</f>
        <v>1.5903968594170402E-4</v>
      </c>
      <c r="T46" s="10">
        <f>INDEX(DriversGams!$A$5:$AN$23,MATCH(Drivers!$A46,DriversGams!$A$5:$A$23,0),MATCH(Drivers!T$3,DriversGams!$A$5:$AN$5,0))</f>
        <v>1.2376511719270039E-4</v>
      </c>
      <c r="U46" s="10">
        <f>INDEX(DriversGams!$A$5:$AN$23,MATCH(Drivers!$A46,DriversGams!$A$5:$A$23,0),MATCH(Drivers!U$3,DriversGams!$A$5:$AN$5,0))</f>
        <v>1.2376511719270041E-4</v>
      </c>
      <c r="V46" s="10">
        <f>INDEX(DriversGams!$A$5:$AN$23,MATCH(Drivers!$A46,DriversGams!$A$5:$A$23,0),MATCH(Drivers!V$3,DriversGams!$A$5:$AN$5,0))</f>
        <v>1.2376511719270044E-4</v>
      </c>
      <c r="W46" s="10">
        <f>INDEX(DriversGams!$A$5:$AN$23,MATCH(Drivers!$A46,DriversGams!$A$5:$A$23,0),MATCH(Drivers!W$3,DriversGams!$A$5:$AN$5,0))</f>
        <v>1.2376511719270041E-4</v>
      </c>
      <c r="X46" s="10">
        <f>INDEX(DriversGams!$A$5:$AN$23,MATCH(Drivers!$A46,DriversGams!$A$5:$A$23,0),MATCH(Drivers!X$3,DriversGams!$A$5:$AN$5,0))</f>
        <v>1.2376511719270041E-4</v>
      </c>
      <c r="Y46" s="10">
        <f>INDEX(DriversGams!$A$5:$AN$23,MATCH(Drivers!$A46,DriversGams!$A$5:$A$23,0),MATCH(Drivers!Y$3,DriversGams!$A$5:$AN$5,0))</f>
        <v>1.2376511719270041E-4</v>
      </c>
      <c r="Z46" s="10">
        <f>INDEX(DriversGams!$A$5:$AN$23,MATCH(Drivers!$A46,DriversGams!$A$5:$A$23,0),MATCH(Drivers!Z$3,DriversGams!$A$5:$AN$5,0))</f>
        <v>1.2376511719270041E-4</v>
      </c>
      <c r="AA46" s="10">
        <f>INDEX(DriversGams!$A$5:$AN$23,MATCH(Drivers!$A46,DriversGams!$A$5:$A$23,0),MATCH(Drivers!AA$3,DriversGams!$A$5:$AN$5,0))</f>
        <v>1.2376511719270047E-4</v>
      </c>
      <c r="AB46" s="10">
        <f>INDEX(DriversGams!$A$5:$AN$23,MATCH(Drivers!$A46,DriversGams!$A$5:$A$23,0),MATCH(Drivers!AB$3,DriversGams!$A$5:$AN$5,0))</f>
        <v>1.2376511719270047E-4</v>
      </c>
      <c r="AC46" s="10">
        <f>INDEX(DriversGams!$A$5:$AN$23,MATCH(Drivers!$A46,DriversGams!$A$5:$A$23,0),MATCH(Drivers!AC$3,DriversGams!$A$5:$AN$5,0))</f>
        <v>1.2376511719270041E-4</v>
      </c>
      <c r="AD46" s="10">
        <f>INDEX(DriversGams!$A$5:$AN$23,MATCH(Drivers!$A46,DriversGams!$A$5:$A$23,0),MATCH(Drivers!AD$3,DriversGams!$A$5:$AN$5,0))</f>
        <v>1.2376511719270041E-4</v>
      </c>
      <c r="AE46" s="10">
        <f>INDEX(DriversGams!$A$5:$AN$23,MATCH(Drivers!$A46,DriversGams!$A$5:$A$23,0),MATCH(Drivers!AE$3,DriversGams!$A$5:$AN$5,0))</f>
        <v>1.2376511719270039E-4</v>
      </c>
      <c r="AF46" s="10">
        <f>INDEX(DriversGams!$A$5:$AN$23,MATCH(Drivers!$A46,DriversGams!$A$5:$A$23,0),MATCH(Drivers!AF$3,DriversGams!$A$5:$AN$5,0))</f>
        <v>1.2376511719270058E-4</v>
      </c>
      <c r="AG46" s="10">
        <f>INDEX(DriversGams!$A$5:$AN$23,MATCH(Drivers!$A46,DriversGams!$A$5:$A$23,0),MATCH(Drivers!AG$3,DriversGams!$A$5:$AN$5,0))</f>
        <v>1.2376511719270052E-4</v>
      </c>
      <c r="AH46" s="126"/>
      <c r="AI46" s="126"/>
      <c r="AJ46" s="126"/>
      <c r="AK46" s="126"/>
      <c r="AL46" s="126"/>
      <c r="AM46" s="126"/>
      <c r="AO46" s="338">
        <f t="shared" si="86"/>
        <v>5</v>
      </c>
    </row>
    <row r="47" spans="1:41" s="338" customFormat="1">
      <c r="A47" s="134" t="s">
        <v>388</v>
      </c>
      <c r="B47" s="338">
        <f t="shared" si="85"/>
        <v>6</v>
      </c>
      <c r="C47" s="331">
        <v>13.345629432701433</v>
      </c>
      <c r="D47" s="10">
        <f>INDEX(DriversGams!$A$5:$AN$23,MATCH(Drivers!$A47,DriversGams!$A$5:$A$23,0),MATCH(Drivers!D$3,DriversGams!$A$5:$AN$5,0))</f>
        <v>13.899973861744526</v>
      </c>
      <c r="E47" s="10">
        <f>INDEX(DriversGams!$A$5:$AN$23,MATCH(Drivers!$A47,DriversGams!$A$5:$A$23,0),MATCH(Drivers!E$3,DriversGams!$A$5:$AN$5,0))</f>
        <v>14.241400522629307</v>
      </c>
      <c r="F47" s="10">
        <f>INDEX(DriversGams!$A$5:$AN$23,MATCH(Drivers!$A47,DriversGams!$A$5:$A$23,0),MATCH(Drivers!F$3,DriversGams!$A$5:$AN$5,0))</f>
        <v>14.660228740858253</v>
      </c>
      <c r="G47" s="10">
        <f>INDEX(DriversGams!$A$5:$AN$23,MATCH(Drivers!$A47,DriversGams!$A$5:$A$23,0),MATCH(Drivers!G$3,DriversGams!$A$5:$AN$5,0))</f>
        <v>14.734307821369407</v>
      </c>
      <c r="H47" s="10">
        <f>INDEX(DriversGams!$A$5:$AN$23,MATCH(Drivers!$A47,DriversGams!$A$5:$A$23,0),MATCH(Drivers!H$3,DriversGams!$A$5:$AN$5,0))</f>
        <v>14.820136538356026</v>
      </c>
      <c r="I47" s="10">
        <f>INDEX(DriversGams!$A$5:$AN$23,MATCH(Drivers!$A47,DriversGams!$A$5:$A$23,0),MATCH(Drivers!I$3,DriversGams!$A$5:$AN$5,0))</f>
        <v>14.834474809054743</v>
      </c>
      <c r="J47" s="10">
        <f>INDEX(DriversGams!$A$5:$AN$23,MATCH(Drivers!$A47,DriversGams!$A$5:$A$23,0),MATCH(Drivers!J$3,DriversGams!$A$5:$AN$5,0))</f>
        <v>14.739267553174583</v>
      </c>
      <c r="K47" s="10">
        <f>INDEX(DriversGams!$A$5:$AN$23,MATCH(Drivers!$A47,DriversGams!$A$5:$A$23,0),MATCH(Drivers!K$3,DriversGams!$A$5:$AN$5,0))</f>
        <v>12.850963128301911</v>
      </c>
      <c r="L47" s="10">
        <f>INDEX(DriversGams!$A$5:$AN$23,MATCH(Drivers!$A47,DriversGams!$A$5:$A$23,0),MATCH(Drivers!L$3,DriversGams!$A$5:$AN$5,0))</f>
        <v>13.194214531253461</v>
      </c>
      <c r="M47" s="10">
        <f>INDEX(DriversGams!$A$5:$AN$23,MATCH(Drivers!$A47,DriversGams!$A$5:$A$23,0),MATCH(Drivers!M$3,DriversGams!$A$5:$AN$5,0))</f>
        <v>13.463306784285843</v>
      </c>
      <c r="N47" s="10">
        <f>INDEX(DriversGams!$A$5:$AN$23,MATCH(Drivers!$A47,DriversGams!$A$5:$A$23,0),MATCH(Drivers!N$3,DriversGams!$A$5:$AN$5,0))</f>
        <v>13.76702952833095</v>
      </c>
      <c r="O47" s="10">
        <f>INDEX(DriversGams!$A$5:$AN$23,MATCH(Drivers!$A47,DriversGams!$A$5:$A$23,0),MATCH(Drivers!O$3,DriversGams!$A$5:$AN$5,0))</f>
        <v>14.094770559289131</v>
      </c>
      <c r="P47" s="10">
        <f>INDEX(DriversGams!$A$5:$AN$23,MATCH(Drivers!$A47,DriversGams!$A$5:$A$23,0),MATCH(Drivers!P$3,DriversGams!$A$5:$AN$5,0))</f>
        <v>14.441316908885499</v>
      </c>
      <c r="Q47" s="10">
        <f>INDEX(DriversGams!$A$5:$AN$23,MATCH(Drivers!$A47,DriversGams!$A$5:$A$23,0),MATCH(Drivers!Q$3,DriversGams!$A$5:$AN$5,0))</f>
        <v>14.774137977640024</v>
      </c>
      <c r="R47" s="10">
        <f>INDEX(DriversGams!$A$5:$AN$23,MATCH(Drivers!$A47,DriversGams!$A$5:$A$23,0),MATCH(Drivers!R$3,DriversGams!$A$5:$AN$5,0))</f>
        <v>15.111490993070266</v>
      </c>
      <c r="S47" s="10">
        <f>INDEX(DriversGams!$A$5:$AN$23,MATCH(Drivers!$A47,DriversGams!$A$5:$A$23,0),MATCH(Drivers!S$3,DriversGams!$A$5:$AN$5,0))</f>
        <v>15.48015276320328</v>
      </c>
      <c r="T47" s="10">
        <f>INDEX(DriversGams!$A$5:$AN$23,MATCH(Drivers!$A47,DriversGams!$A$5:$A$23,0),MATCH(Drivers!T$3,DriversGams!$A$5:$AN$5,0))</f>
        <v>15.903436587208263</v>
      </c>
      <c r="U47" s="10">
        <f>INDEX(DriversGams!$A$5:$AN$23,MATCH(Drivers!$A47,DriversGams!$A$5:$A$23,0),MATCH(Drivers!U$3,DriversGams!$A$5:$AN$5,0))</f>
        <v>16.2345529006253</v>
      </c>
      <c r="V47" s="10">
        <f>INDEX(DriversGams!$A$5:$AN$23,MATCH(Drivers!$A47,DriversGams!$A$5:$A$23,0),MATCH(Drivers!V$3,DriversGams!$A$5:$AN$5,0))</f>
        <v>16.68332773177854</v>
      </c>
      <c r="W47" s="10">
        <f>INDEX(DriversGams!$A$5:$AN$23,MATCH(Drivers!$A47,DriversGams!$A$5:$A$23,0),MATCH(Drivers!W$3,DriversGams!$A$5:$AN$5,0))</f>
        <v>17.177801343588126</v>
      </c>
      <c r="X47" s="10">
        <f>INDEX(DriversGams!$A$5:$AN$23,MATCH(Drivers!$A47,DriversGams!$A$5:$A$23,0),MATCH(Drivers!X$3,DriversGams!$A$5:$AN$5,0))</f>
        <v>17.632404747738843</v>
      </c>
      <c r="Y47" s="10">
        <f>INDEX(DriversGams!$A$5:$AN$23,MATCH(Drivers!$A47,DriversGams!$A$5:$A$23,0),MATCH(Drivers!Y$3,DriversGams!$A$5:$AN$5,0))</f>
        <v>18.108047442152905</v>
      </c>
      <c r="Z47" s="10">
        <f>INDEX(DriversGams!$A$5:$AN$23,MATCH(Drivers!$A47,DriversGams!$A$5:$A$23,0),MATCH(Drivers!Z$3,DriversGams!$A$5:$AN$5,0))</f>
        <v>18.687220599592028</v>
      </c>
      <c r="AA47" s="10">
        <f>INDEX(DriversGams!$A$5:$AN$23,MATCH(Drivers!$A47,DriversGams!$A$5:$A$23,0),MATCH(Drivers!AA$3,DriversGams!$A$5:$AN$5,0))</f>
        <v>19.123335619478652</v>
      </c>
      <c r="AB47" s="10">
        <f>INDEX(DriversGams!$A$5:$AN$23,MATCH(Drivers!$A47,DriversGams!$A$5:$A$23,0),MATCH(Drivers!AB$3,DriversGams!$A$5:$AN$5,0))</f>
        <v>19.574212861738804</v>
      </c>
      <c r="AC47" s="10">
        <f>INDEX(DriversGams!$A$5:$AN$23,MATCH(Drivers!$A47,DriversGams!$A$5:$A$23,0),MATCH(Drivers!AC$3,DriversGams!$A$5:$AN$5,0))</f>
        <v>20.016445254151499</v>
      </c>
      <c r="AD47" s="10">
        <f>INDEX(DriversGams!$A$5:$AN$23,MATCH(Drivers!$A47,DriversGams!$A$5:$A$23,0),MATCH(Drivers!AD$3,DriversGams!$A$5:$AN$5,0))</f>
        <v>20.474336821456458</v>
      </c>
      <c r="AE47" s="10">
        <f>INDEX(DriversGams!$A$5:$AN$23,MATCH(Drivers!$A47,DriversGams!$A$5:$A$23,0),MATCH(Drivers!AE$3,DriversGams!$A$5:$AN$5,0))</f>
        <v>20.962217277389243</v>
      </c>
      <c r="AF47" s="10">
        <f>INDEX(DriversGams!$A$5:$AN$23,MATCH(Drivers!$A47,DriversGams!$A$5:$A$23,0),MATCH(Drivers!AF$3,DriversGams!$A$5:$AN$5,0))</f>
        <v>23.667355045881628</v>
      </c>
      <c r="AG47" s="10">
        <f>INDEX(DriversGams!$A$5:$AN$23,MATCH(Drivers!$A47,DriversGams!$A$5:$A$23,0),MATCH(Drivers!AG$3,DriversGams!$A$5:$AN$5,0))</f>
        <v>26.682114624908355</v>
      </c>
      <c r="AH47" s="126"/>
      <c r="AI47" s="126"/>
      <c r="AJ47" s="126"/>
      <c r="AK47" s="126"/>
      <c r="AL47" s="126"/>
      <c r="AM47" s="126"/>
      <c r="AO47" s="338">
        <f t="shared" si="86"/>
        <v>6</v>
      </c>
    </row>
    <row r="48" spans="1:41" s="338" customFormat="1">
      <c r="A48" s="134" t="s">
        <v>387</v>
      </c>
      <c r="B48" s="338">
        <f t="shared" si="85"/>
        <v>7</v>
      </c>
      <c r="C48" s="331">
        <v>205.448728044604</v>
      </c>
      <c r="D48" s="10">
        <f>INDEX(DriversGams!$A$5:$AN$23,MATCH(Drivers!$A48,DriversGams!$A$5:$A$23,0),MATCH(Drivers!D$3,DriversGams!$A$5:$AN$5,0))</f>
        <v>211.2700110992823</v>
      </c>
      <c r="E48" s="10">
        <f>INDEX(DriversGams!$A$5:$AN$23,MATCH(Drivers!$A48,DriversGams!$A$5:$A$23,0),MATCH(Drivers!E$3,DriversGams!$A$5:$AN$5,0))</f>
        <v>212.6655009618502</v>
      </c>
      <c r="F48" s="10">
        <f>INDEX(DriversGams!$A$5:$AN$23,MATCH(Drivers!$A48,DriversGams!$A$5:$A$23,0),MATCH(Drivers!F$3,DriversGams!$A$5:$AN$5,0))</f>
        <v>219.65714422943788</v>
      </c>
      <c r="G48" s="10">
        <f>INDEX(DriversGams!$A$5:$AN$23,MATCH(Drivers!$A48,DriversGams!$A$5:$A$23,0),MATCH(Drivers!G$3,DriversGams!$A$5:$AN$5,0))</f>
        <v>216.49078103790811</v>
      </c>
      <c r="H48" s="10">
        <f>INDEX(DriversGams!$A$5:$AN$23,MATCH(Drivers!$A48,DriversGams!$A$5:$A$23,0),MATCH(Drivers!H$3,DriversGams!$A$5:$AN$5,0))</f>
        <v>222.77267087886864</v>
      </c>
      <c r="I48" s="10">
        <f>INDEX(DriversGams!$A$5:$AN$23,MATCH(Drivers!$A48,DriversGams!$A$5:$A$23,0),MATCH(Drivers!I$3,DriversGams!$A$5:$AN$5,0))</f>
        <v>221.2538387586481</v>
      </c>
      <c r="J48" s="10">
        <f>INDEX(DriversGams!$A$5:$AN$23,MATCH(Drivers!$A48,DriversGams!$A$5:$A$23,0),MATCH(Drivers!J$3,DriversGams!$A$5:$AN$5,0))</f>
        <v>218.49393691475751</v>
      </c>
      <c r="K48" s="10">
        <f>INDEX(DriversGams!$A$5:$AN$23,MATCH(Drivers!$A48,DriversGams!$A$5:$A$23,0),MATCH(Drivers!K$3,DriversGams!$A$5:$AN$5,0))</f>
        <v>200.31349989514737</v>
      </c>
      <c r="L48" s="10">
        <f>INDEX(DriversGams!$A$5:$AN$23,MATCH(Drivers!$A48,DriversGams!$A$5:$A$23,0),MATCH(Drivers!L$3,DriversGams!$A$5:$AN$5,0))</f>
        <v>203.22082571680417</v>
      </c>
      <c r="M48" s="10">
        <f>INDEX(DriversGams!$A$5:$AN$23,MATCH(Drivers!$A48,DriversGams!$A$5:$A$23,0),MATCH(Drivers!M$3,DriversGams!$A$5:$AN$5,0))</f>
        <v>206.04503931752927</v>
      </c>
      <c r="N48" s="10">
        <f>INDEX(DriversGams!$A$5:$AN$23,MATCH(Drivers!$A48,DriversGams!$A$5:$A$23,0),MATCH(Drivers!N$3,DriversGams!$A$5:$AN$5,0))</f>
        <v>209.17533429709937</v>
      </c>
      <c r="O48" s="10">
        <f>INDEX(DriversGams!$A$5:$AN$23,MATCH(Drivers!$A48,DriversGams!$A$5:$A$23,0),MATCH(Drivers!O$3,DriversGams!$A$5:$AN$5,0))</f>
        <v>212.70008965049607</v>
      </c>
      <c r="P48" s="10">
        <f>INDEX(DriversGams!$A$5:$AN$23,MATCH(Drivers!$A48,DriversGams!$A$5:$A$23,0),MATCH(Drivers!P$3,DriversGams!$A$5:$AN$5,0))</f>
        <v>216.19285695376888</v>
      </c>
      <c r="Q48" s="10">
        <f>INDEX(DriversGams!$A$5:$AN$23,MATCH(Drivers!$A48,DriversGams!$A$5:$A$23,0),MATCH(Drivers!Q$3,DriversGams!$A$5:$AN$5,0))</f>
        <v>220.13897245284642</v>
      </c>
      <c r="R48" s="10">
        <f>INDEX(DriversGams!$A$5:$AN$23,MATCH(Drivers!$A48,DriversGams!$A$5:$A$23,0),MATCH(Drivers!R$3,DriversGams!$A$5:$AN$5,0))</f>
        <v>224.09500011180839</v>
      </c>
      <c r="S48" s="10">
        <f>INDEX(DriversGams!$A$5:$AN$23,MATCH(Drivers!$A48,DriversGams!$A$5:$A$23,0),MATCH(Drivers!S$3,DriversGams!$A$5:$AN$5,0))</f>
        <v>228.49727535493759</v>
      </c>
      <c r="T48" s="10">
        <f>INDEX(DriversGams!$A$5:$AN$23,MATCH(Drivers!$A48,DriversGams!$A$5:$A$23,0),MATCH(Drivers!T$3,DriversGams!$A$5:$AN$5,0))</f>
        <v>233.65217893638649</v>
      </c>
      <c r="U48" s="10">
        <f>INDEX(DriversGams!$A$5:$AN$23,MATCH(Drivers!$A48,DriversGams!$A$5:$A$23,0),MATCH(Drivers!U$3,DriversGams!$A$5:$AN$5,0))</f>
        <v>238.16471989379443</v>
      </c>
      <c r="V48" s="10">
        <f>INDEX(DriversGams!$A$5:$AN$23,MATCH(Drivers!$A48,DriversGams!$A$5:$A$23,0),MATCH(Drivers!V$3,DriversGams!$A$5:$AN$5,0))</f>
        <v>244.02805015212999</v>
      </c>
      <c r="W48" s="10">
        <f>INDEX(DriversGams!$A$5:$AN$23,MATCH(Drivers!$A48,DriversGams!$A$5:$A$23,0),MATCH(Drivers!W$3,DriversGams!$A$5:$AN$5,0))</f>
        <v>250.54508009252402</v>
      </c>
      <c r="X48" s="10">
        <f>INDEX(DriversGams!$A$5:$AN$23,MATCH(Drivers!$A48,DriversGams!$A$5:$A$23,0),MATCH(Drivers!X$3,DriversGams!$A$5:$AN$5,0))</f>
        <v>257.12210961450603</v>
      </c>
      <c r="Y48" s="10">
        <f>INDEX(DriversGams!$A$5:$AN$23,MATCH(Drivers!$A48,DriversGams!$A$5:$A$23,0),MATCH(Drivers!Y$3,DriversGams!$A$5:$AN$5,0))</f>
        <v>263.79765227613524</v>
      </c>
      <c r="Z48" s="10">
        <f>INDEX(DriversGams!$A$5:$AN$23,MATCH(Drivers!$A48,DriversGams!$A$5:$A$23,0),MATCH(Drivers!Z$3,DriversGams!$A$5:$AN$5,0))</f>
        <v>272.00142752639778</v>
      </c>
      <c r="AA48" s="10">
        <f>INDEX(DriversGams!$A$5:$AN$23,MATCH(Drivers!$A48,DriversGams!$A$5:$A$23,0),MATCH(Drivers!AA$3,DriversGams!$A$5:$AN$5,0))</f>
        <v>279.41383286232161</v>
      </c>
      <c r="AB48" s="10">
        <f>INDEX(DriversGams!$A$5:$AN$23,MATCH(Drivers!$A48,DriversGams!$A$5:$A$23,0),MATCH(Drivers!AB$3,DriversGams!$A$5:$AN$5,0))</f>
        <v>286.93308960844996</v>
      </c>
      <c r="AC48" s="10">
        <f>INDEX(DriversGams!$A$5:$AN$23,MATCH(Drivers!$A48,DriversGams!$A$5:$A$23,0),MATCH(Drivers!AC$3,DriversGams!$A$5:$AN$5,0))</f>
        <v>294.21123044543191</v>
      </c>
      <c r="AD48" s="10">
        <f>INDEX(DriversGams!$A$5:$AN$23,MATCH(Drivers!$A48,DriversGams!$A$5:$A$23,0),MATCH(Drivers!AD$3,DriversGams!$A$5:$AN$5,0))</f>
        <v>301.65537999466676</v>
      </c>
      <c r="AE48" s="10">
        <f>INDEX(DriversGams!$A$5:$AN$23,MATCH(Drivers!$A48,DriversGams!$A$5:$A$23,0),MATCH(Drivers!AE$3,DriversGams!$A$5:$AN$5,0))</f>
        <v>309.46142024394663</v>
      </c>
      <c r="AF48" s="10">
        <f>INDEX(DriversGams!$A$5:$AN$23,MATCH(Drivers!$A48,DriversGams!$A$5:$A$23,0),MATCH(Drivers!AF$3,DriversGams!$A$5:$AN$5,0))</f>
        <v>350.13524625780695</v>
      </c>
      <c r="AG48" s="10">
        <f>INDEX(DriversGams!$A$5:$AN$23,MATCH(Drivers!$A48,DriversGams!$A$5:$A$23,0),MATCH(Drivers!AG$3,DriversGams!$A$5:$AN$5,0))</f>
        <v>394.20982945516573</v>
      </c>
      <c r="AH48" s="126"/>
      <c r="AI48" s="126"/>
      <c r="AJ48" s="126"/>
      <c r="AK48" s="126"/>
      <c r="AL48" s="126"/>
      <c r="AM48" s="126"/>
      <c r="AO48" s="338">
        <f t="shared" si="86"/>
        <v>7</v>
      </c>
    </row>
    <row r="49" spans="1:41" s="338" customFormat="1">
      <c r="A49" s="134" t="s">
        <v>527</v>
      </c>
      <c r="B49" s="338">
        <f t="shared" si="85"/>
        <v>8</v>
      </c>
      <c r="C49" s="331">
        <v>10.112362730183554</v>
      </c>
      <c r="D49" s="10">
        <f>INDEX(DriversGams!$A$5:$AN$23,MATCH(Drivers!$A49,DriversGams!$A$5:$A$23,0),MATCH(Drivers!D$3,DriversGams!$A$5:$AN$5,0))</f>
        <v>8.5007203734218884</v>
      </c>
      <c r="E49" s="10">
        <f>INDEX(DriversGams!$A$5:$AN$23,MATCH(Drivers!$A49,DriversGams!$A$5:$A$23,0),MATCH(Drivers!E$3,DriversGams!$A$5:$AN$5,0))</f>
        <v>7.7653014266725382</v>
      </c>
      <c r="F49" s="10">
        <f>INDEX(DriversGams!$A$5:$AN$23,MATCH(Drivers!$A49,DriversGams!$A$5:$A$23,0),MATCH(Drivers!F$3,DriversGams!$A$5:$AN$5,0))</f>
        <v>7.8585582183696561</v>
      </c>
      <c r="G49" s="10">
        <f>INDEX(DriversGams!$A$5:$AN$23,MATCH(Drivers!$A49,DriversGams!$A$5:$A$23,0),MATCH(Drivers!G$3,DriversGams!$A$5:$AN$5,0))</f>
        <v>7.6166575811777113</v>
      </c>
      <c r="H49" s="10">
        <f>INDEX(DriversGams!$A$5:$AN$23,MATCH(Drivers!$A49,DriversGams!$A$5:$A$23,0),MATCH(Drivers!H$3,DriversGams!$A$5:$AN$5,0))</f>
        <v>7.2676899905857173</v>
      </c>
      <c r="I49" s="10">
        <f>INDEX(DriversGams!$A$5:$AN$23,MATCH(Drivers!$A49,DriversGams!$A$5:$A$23,0),MATCH(Drivers!I$3,DriversGams!$A$5:$AN$5,0))</f>
        <v>7.0928076077901956</v>
      </c>
      <c r="J49" s="10">
        <f>INDEX(DriversGams!$A$5:$AN$23,MATCH(Drivers!$A49,DriversGams!$A$5:$A$23,0),MATCH(Drivers!J$3,DriversGams!$A$5:$AN$5,0))</f>
        <v>6.7895805384473107</v>
      </c>
      <c r="K49" s="10">
        <f>INDEX(DriversGams!$A$5:$AN$23,MATCH(Drivers!$A49,DriversGams!$A$5:$A$23,0),MATCH(Drivers!K$3,DriversGams!$A$5:$AN$5,0))</f>
        <v>5.5395441341179819</v>
      </c>
      <c r="L49" s="10">
        <f>INDEX(DriversGams!$A$5:$AN$23,MATCH(Drivers!$A49,DriversGams!$A$5:$A$23,0),MATCH(Drivers!L$3,DriversGams!$A$5:$AN$5,0))</f>
        <v>5.6650824418180408</v>
      </c>
      <c r="M49" s="10">
        <f>INDEX(DriversGams!$A$5:$AN$23,MATCH(Drivers!$A49,DriversGams!$A$5:$A$23,0),MATCH(Drivers!M$3,DriversGams!$A$5:$AN$5,0))</f>
        <v>5.7151179539530679</v>
      </c>
      <c r="N49" s="10">
        <f>INDEX(DriversGams!$A$5:$AN$23,MATCH(Drivers!$A49,DriversGams!$A$5:$A$23,0),MATCH(Drivers!N$3,DriversGams!$A$5:$AN$5,0))</f>
        <v>5.7834214959080672</v>
      </c>
      <c r="O49" s="10">
        <f>INDEX(DriversGams!$A$5:$AN$23,MATCH(Drivers!$A49,DriversGams!$A$5:$A$23,0),MATCH(Drivers!O$3,DriversGams!$A$5:$AN$5,0))</f>
        <v>5.891744250290798</v>
      </c>
      <c r="P49" s="10">
        <f>INDEX(DriversGams!$A$5:$AN$23,MATCH(Drivers!$A49,DriversGams!$A$5:$A$23,0),MATCH(Drivers!P$3,DriversGams!$A$5:$AN$5,0))</f>
        <v>6.0386177502028104</v>
      </c>
      <c r="Q49" s="10">
        <f>INDEX(DriversGams!$A$5:$AN$23,MATCH(Drivers!$A49,DriversGams!$A$5:$A$23,0),MATCH(Drivers!Q$3,DriversGams!$A$5:$AN$5,0))</f>
        <v>6.1810468439326582</v>
      </c>
      <c r="R49" s="10">
        <f>INDEX(DriversGams!$A$5:$AN$23,MATCH(Drivers!$A49,DriversGams!$A$5:$A$23,0),MATCH(Drivers!R$3,DriversGams!$A$5:$AN$5,0))</f>
        <v>6.3307968903523228</v>
      </c>
      <c r="S49" s="10">
        <f>INDEX(DriversGams!$A$5:$AN$23,MATCH(Drivers!$A49,DriversGams!$A$5:$A$23,0),MATCH(Drivers!S$3,DriversGams!$A$5:$AN$5,0))</f>
        <v>6.5005469605789363</v>
      </c>
      <c r="T49" s="10">
        <f>INDEX(DriversGams!$A$5:$AN$23,MATCH(Drivers!$A49,DriversGams!$A$5:$A$23,0),MATCH(Drivers!T$3,DriversGams!$A$5:$AN$5,0))</f>
        <v>6.7469701193181173</v>
      </c>
      <c r="U49" s="10">
        <f>INDEX(DriversGams!$A$5:$AN$23,MATCH(Drivers!$A49,DriversGams!$A$5:$A$23,0),MATCH(Drivers!U$3,DriversGams!$A$5:$AN$5,0))</f>
        <v>6.9645438930507204</v>
      </c>
      <c r="V49" s="10">
        <f>INDEX(DriversGams!$A$5:$AN$23,MATCH(Drivers!$A49,DriversGams!$A$5:$A$23,0),MATCH(Drivers!V$3,DriversGams!$A$5:$AN$5,0))</f>
        <v>7.2642905837274876</v>
      </c>
      <c r="W49" s="10">
        <f>INDEX(DriversGams!$A$5:$AN$23,MATCH(Drivers!$A49,DriversGams!$A$5:$A$23,0),MATCH(Drivers!W$3,DriversGams!$A$5:$AN$5,0))</f>
        <v>7.6165217660109006</v>
      </c>
      <c r="X49" s="10">
        <f>INDEX(DriversGams!$A$5:$AN$23,MATCH(Drivers!$A49,DriversGams!$A$5:$A$23,0),MATCH(Drivers!X$3,DriversGams!$A$5:$AN$5,0))</f>
        <v>7.9708467351610119</v>
      </c>
      <c r="Y49" s="10">
        <f>INDEX(DriversGams!$A$5:$AN$23,MATCH(Drivers!$A49,DriversGams!$A$5:$A$23,0),MATCH(Drivers!Y$3,DriversGams!$A$5:$AN$5,0))</f>
        <v>8.3506559498367015</v>
      </c>
      <c r="Z49" s="10">
        <f>INDEX(DriversGams!$A$5:$AN$23,MATCH(Drivers!$A49,DriversGams!$A$5:$A$23,0),MATCH(Drivers!Z$3,DriversGams!$A$5:$AN$5,0))</f>
        <v>8.8308793056775485</v>
      </c>
      <c r="AA49" s="10">
        <f>INDEX(DriversGams!$A$5:$AN$23,MATCH(Drivers!$A49,DriversGams!$A$5:$A$23,0),MATCH(Drivers!AA$3,DriversGams!$A$5:$AN$5,0))</f>
        <v>9.2631119812253129</v>
      </c>
      <c r="AB49" s="10">
        <f>INDEX(DriversGams!$A$5:$AN$23,MATCH(Drivers!$A49,DriversGams!$A$5:$A$23,0),MATCH(Drivers!AB$3,DriversGams!$A$5:$AN$5,0))</f>
        <v>9.7001657965888324</v>
      </c>
      <c r="AC49" s="10">
        <f>INDEX(DriversGams!$A$5:$AN$23,MATCH(Drivers!$A49,DriversGams!$A$5:$A$23,0),MATCH(Drivers!AC$3,DriversGams!$A$5:$AN$5,0))</f>
        <v>10.122199009055521</v>
      </c>
      <c r="AD49" s="10">
        <f>INDEX(DriversGams!$A$5:$AN$23,MATCH(Drivers!$A49,DriversGams!$A$5:$A$23,0),MATCH(Drivers!AD$3,DriversGams!$A$5:$AN$5,0))</f>
        <v>10.548860068139749</v>
      </c>
      <c r="AE49" s="10">
        <f>INDEX(DriversGams!$A$5:$AN$23,MATCH(Drivers!$A49,DriversGams!$A$5:$A$23,0),MATCH(Drivers!AE$3,DriversGams!$A$5:$AN$5,0))</f>
        <v>10.988663855455595</v>
      </c>
      <c r="AF49" s="10">
        <f>INDEX(DriversGams!$A$5:$AN$23,MATCH(Drivers!$A49,DriversGams!$A$5:$A$23,0),MATCH(Drivers!AF$3,DriversGams!$A$5:$AN$5,0))</f>
        <v>13.093477295435996</v>
      </c>
      <c r="AG49" s="10">
        <f>INDEX(DriversGams!$A$5:$AN$23,MATCH(Drivers!$A49,DriversGams!$A$5:$A$23,0),MATCH(Drivers!AG$3,DriversGams!$A$5:$AN$5,0))</f>
        <v>14.97305467762345</v>
      </c>
      <c r="AH49" s="126"/>
      <c r="AI49" s="126"/>
      <c r="AJ49" s="126"/>
      <c r="AK49" s="126"/>
      <c r="AL49" s="126"/>
      <c r="AM49" s="126"/>
      <c r="AO49" s="338">
        <f t="shared" si="86"/>
        <v>8</v>
      </c>
    </row>
    <row r="50" spans="1:41" s="338" customFormat="1">
      <c r="A50" s="134" t="s">
        <v>526</v>
      </c>
      <c r="B50" s="338">
        <f t="shared" si="85"/>
        <v>9</v>
      </c>
      <c r="C50" s="331">
        <v>14.113350558119752</v>
      </c>
      <c r="D50" s="10">
        <f>INDEX(DriversGams!$A$5:$AN$23,MATCH(Drivers!$A50,DriversGams!$A$5:$A$23,0),MATCH(Drivers!D$3,DriversGams!$A$5:$AN$5,0))</f>
        <v>14.548721789119966</v>
      </c>
      <c r="E50" s="10">
        <f>INDEX(DriversGams!$A$5:$AN$23,MATCH(Drivers!$A50,DriversGams!$A$5:$A$23,0),MATCH(Drivers!E$3,DriversGams!$A$5:$AN$5,0))</f>
        <v>14.815418697580203</v>
      </c>
      <c r="F50" s="10">
        <f>INDEX(DriversGams!$A$5:$AN$23,MATCH(Drivers!$A50,DriversGams!$A$5:$A$23,0),MATCH(Drivers!F$3,DriversGams!$A$5:$AN$5,0))</f>
        <v>15.061372702819703</v>
      </c>
      <c r="G50" s="10">
        <f>INDEX(DriversGams!$A$5:$AN$23,MATCH(Drivers!$A50,DriversGams!$A$5:$A$23,0),MATCH(Drivers!G$3,DriversGams!$A$5:$AN$5,0))</f>
        <v>15.235873493159337</v>
      </c>
      <c r="H50" s="10">
        <f>INDEX(DriversGams!$A$5:$AN$23,MATCH(Drivers!$A50,DriversGams!$A$5:$A$23,0),MATCH(Drivers!H$3,DriversGams!$A$5:$AN$5,0))</f>
        <v>15.371374502079824</v>
      </c>
      <c r="I50" s="10">
        <f>INDEX(DriversGams!$A$5:$AN$23,MATCH(Drivers!$A50,DriversGams!$A$5:$A$23,0),MATCH(Drivers!I$3,DriversGams!$A$5:$AN$5,0))</f>
        <v>15.552383515448332</v>
      </c>
      <c r="J50" s="10">
        <f>INDEX(DriversGams!$A$5:$AN$23,MATCH(Drivers!$A50,DriversGams!$A$5:$A$23,0),MATCH(Drivers!J$3,DriversGams!$A$5:$AN$5,0))</f>
        <v>15.609153497571331</v>
      </c>
      <c r="K50" s="10">
        <f>INDEX(DriversGams!$A$5:$AN$23,MATCH(Drivers!$A50,DriversGams!$A$5:$A$23,0),MATCH(Drivers!K$3,DriversGams!$A$5:$AN$5,0))</f>
        <v>14.275724652406321</v>
      </c>
      <c r="L50" s="10">
        <f>INDEX(DriversGams!$A$5:$AN$23,MATCH(Drivers!$A50,DriversGams!$A$5:$A$23,0),MATCH(Drivers!L$3,DriversGams!$A$5:$AN$5,0))</f>
        <v>14.632592738141414</v>
      </c>
      <c r="M50" s="10">
        <f>INDEX(DriversGams!$A$5:$AN$23,MATCH(Drivers!$A50,DriversGams!$A$5:$A$23,0),MATCH(Drivers!M$3,DriversGams!$A$5:$AN$5,0))</f>
        <v>14.998829546275548</v>
      </c>
      <c r="N50" s="10">
        <f>INDEX(DriversGams!$A$5:$AN$23,MATCH(Drivers!$A50,DriversGams!$A$5:$A$23,0),MATCH(Drivers!N$3,DriversGams!$A$5:$AN$5,0))</f>
        <v>15.396795523093482</v>
      </c>
      <c r="O50" s="10">
        <f>INDEX(DriversGams!$A$5:$AN$23,MATCH(Drivers!$A50,DriversGams!$A$5:$A$23,0),MATCH(Drivers!O$3,DriversGams!$A$5:$AN$5,0))</f>
        <v>15.823820610150811</v>
      </c>
      <c r="P50" s="10">
        <f>INDEX(DriversGams!$A$5:$AN$23,MATCH(Drivers!$A50,DriversGams!$A$5:$A$23,0),MATCH(Drivers!P$3,DriversGams!$A$5:$AN$5,0))</f>
        <v>16.253232567458738</v>
      </c>
      <c r="Q50" s="10">
        <f>INDEX(DriversGams!$A$5:$AN$23,MATCH(Drivers!$A50,DriversGams!$A$5:$A$23,0),MATCH(Drivers!Q$3,DriversGams!$A$5:$AN$5,0))</f>
        <v>16.7257349793129</v>
      </c>
      <c r="R50" s="10">
        <f>INDEX(DriversGams!$A$5:$AN$23,MATCH(Drivers!$A50,DriversGams!$A$5:$A$23,0),MATCH(Drivers!R$3,DriversGams!$A$5:$AN$5,0))</f>
        <v>17.201748391427138</v>
      </c>
      <c r="S50" s="10">
        <f>INDEX(DriversGams!$A$5:$AN$23,MATCH(Drivers!$A50,DriversGams!$A$5:$A$23,0),MATCH(Drivers!S$3,DriversGams!$A$5:$AN$5,0))</f>
        <v>17.708895194433161</v>
      </c>
      <c r="T50" s="10">
        <f>INDEX(DriversGams!$A$5:$AN$23,MATCH(Drivers!$A50,DriversGams!$A$5:$A$23,0),MATCH(Drivers!T$3,DriversGams!$A$5:$AN$5,0))</f>
        <v>18.240242131053403</v>
      </c>
      <c r="U50" s="10">
        <f>INDEX(DriversGams!$A$5:$AN$23,MATCH(Drivers!$A50,DriversGams!$A$5:$A$23,0),MATCH(Drivers!U$3,DriversGams!$A$5:$AN$5,0))</f>
        <v>18.673472788437888</v>
      </c>
      <c r="V50" s="10">
        <f>INDEX(DriversGams!$A$5:$AN$23,MATCH(Drivers!$A50,DriversGams!$A$5:$A$23,0),MATCH(Drivers!V$3,DriversGams!$A$5:$AN$5,0))</f>
        <v>19.209896031686849</v>
      </c>
      <c r="W50" s="10">
        <f>INDEX(DriversGams!$A$5:$AN$23,MATCH(Drivers!$A50,DriversGams!$A$5:$A$23,0),MATCH(Drivers!W$3,DriversGams!$A$5:$AN$5,0))</f>
        <v>19.759109345897627</v>
      </c>
      <c r="X50" s="10">
        <f>INDEX(DriversGams!$A$5:$AN$23,MATCH(Drivers!$A50,DriversGams!$A$5:$A$23,0),MATCH(Drivers!X$3,DriversGams!$A$5:$AN$5,0))</f>
        <v>20.315924153008183</v>
      </c>
      <c r="Y50" s="10">
        <f>INDEX(DriversGams!$A$5:$AN$23,MATCH(Drivers!$A50,DriversGams!$A$5:$A$23,0),MATCH(Drivers!Y$3,DriversGams!$A$5:$AN$5,0))</f>
        <v>20.85546661362639</v>
      </c>
      <c r="Z50" s="10">
        <f>INDEX(DriversGams!$A$5:$AN$23,MATCH(Drivers!$A50,DriversGams!$A$5:$A$23,0),MATCH(Drivers!Z$3,DriversGams!$A$5:$AN$5,0))</f>
        <v>21.431818706447395</v>
      </c>
      <c r="AA50" s="10">
        <f>INDEX(DriversGams!$A$5:$AN$23,MATCH(Drivers!$A50,DriversGams!$A$5:$A$23,0),MATCH(Drivers!AA$3,DriversGams!$A$5:$AN$5,0))</f>
        <v>22.024541155299971</v>
      </c>
      <c r="AB50" s="10">
        <f>INDEX(DriversGams!$A$5:$AN$23,MATCH(Drivers!$A50,DriversGams!$A$5:$A$23,0),MATCH(Drivers!AB$3,DriversGams!$A$5:$AN$5,0))</f>
        <v>22.636627065976988</v>
      </c>
      <c r="AC50" s="10">
        <f>INDEX(DriversGams!$A$5:$AN$23,MATCH(Drivers!$A50,DriversGams!$A$5:$A$23,0),MATCH(Drivers!AC$3,DriversGams!$A$5:$AN$5,0))</f>
        <v>23.238211464117626</v>
      </c>
      <c r="AD50" s="10">
        <f>INDEX(DriversGams!$A$5:$AN$23,MATCH(Drivers!$A50,DriversGams!$A$5:$A$23,0),MATCH(Drivers!AD$3,DriversGams!$A$5:$AN$5,0))</f>
        <v>23.860936149160427</v>
      </c>
      <c r="AE50" s="10">
        <f>INDEX(DriversGams!$A$5:$AN$23,MATCH(Drivers!$A50,DriversGams!$A$5:$A$23,0),MATCH(Drivers!AE$3,DriversGams!$A$5:$AN$5,0))</f>
        <v>24.521037099566129</v>
      </c>
      <c r="AF50" s="10">
        <f>INDEX(DriversGams!$A$5:$AN$23,MATCH(Drivers!$A50,DriversGams!$A$5:$A$23,0),MATCH(Drivers!AF$3,DriversGams!$A$5:$AN$5,0))</f>
        <v>28.306253513157241</v>
      </c>
      <c r="AG50" s="10">
        <f>INDEX(DriversGams!$A$5:$AN$23,MATCH(Drivers!$A50,DriversGams!$A$5:$A$23,0),MATCH(Drivers!AG$3,DriversGams!$A$5:$AN$5,0))</f>
        <v>32.582524336641313</v>
      </c>
      <c r="AH50" s="126"/>
      <c r="AI50" s="126"/>
      <c r="AJ50" s="126"/>
      <c r="AK50" s="126"/>
      <c r="AL50" s="126"/>
      <c r="AM50" s="126"/>
      <c r="AO50" s="338">
        <f t="shared" si="86"/>
        <v>9</v>
      </c>
    </row>
    <row r="51" spans="1:41" s="338" customFormat="1">
      <c r="A51" s="134" t="s">
        <v>523</v>
      </c>
      <c r="B51" s="338">
        <f t="shared" si="85"/>
        <v>10</v>
      </c>
      <c r="C51" s="331">
        <v>235.49802282756352</v>
      </c>
      <c r="D51" s="10">
        <f>INDEX(DriversGams!$A$5:$AN$23,MATCH(Drivers!$A51,DriversGams!$A$5:$A$23,0),MATCH(Drivers!D$3,DriversGams!$A$5:$AN$5,0))</f>
        <v>242.13307836562956</v>
      </c>
      <c r="E51" s="10">
        <f>INDEX(DriversGams!$A$5:$AN$23,MATCH(Drivers!$A51,DriversGams!$A$5:$A$23,0),MATCH(Drivers!E$3,DriversGams!$A$5:$AN$5,0))</f>
        <v>246.28265922314233</v>
      </c>
      <c r="F51" s="10">
        <f>INDEX(DriversGams!$A$5:$AN$23,MATCH(Drivers!$A51,DriversGams!$A$5:$A$23,0),MATCH(Drivers!F$3,DriversGams!$A$5:$AN$5,0))</f>
        <v>249.43440425835786</v>
      </c>
      <c r="G51" s="10">
        <f>INDEX(DriversGams!$A$5:$AN$23,MATCH(Drivers!$A51,DriversGams!$A$5:$A$23,0),MATCH(Drivers!G$3,DriversGams!$A$5:$AN$5,0))</f>
        <v>251.65581640876391</v>
      </c>
      <c r="H51" s="10">
        <f>INDEX(DriversGams!$A$5:$AN$23,MATCH(Drivers!$A51,DriversGams!$A$5:$A$23,0),MATCH(Drivers!H$3,DriversGams!$A$5:$AN$5,0))</f>
        <v>252.75021516356861</v>
      </c>
      <c r="I51" s="10">
        <f>INDEX(DriversGams!$A$5:$AN$23,MATCH(Drivers!$A51,DriversGams!$A$5:$A$23,0),MATCH(Drivers!I$3,DriversGams!$A$5:$AN$5,0))</f>
        <v>255.36564207593528</v>
      </c>
      <c r="J51" s="10">
        <f>INDEX(DriversGams!$A$5:$AN$23,MATCH(Drivers!$A51,DriversGams!$A$5:$A$23,0),MATCH(Drivers!J$3,DriversGams!$A$5:$AN$5,0))</f>
        <v>255.83896455730644</v>
      </c>
      <c r="K51" s="10">
        <f>INDEX(DriversGams!$A$5:$AN$23,MATCH(Drivers!$A51,DriversGams!$A$5:$A$23,0),MATCH(Drivers!K$3,DriversGams!$A$5:$AN$5,0))</f>
        <v>231.21220107940408</v>
      </c>
      <c r="L51" s="10">
        <f>INDEX(DriversGams!$A$5:$AN$23,MATCH(Drivers!$A51,DriversGams!$A$5:$A$23,0),MATCH(Drivers!L$3,DriversGams!$A$5:$AN$5,0))</f>
        <v>237.27430963578766</v>
      </c>
      <c r="M51" s="10">
        <f>INDEX(DriversGams!$A$5:$AN$23,MATCH(Drivers!$A51,DriversGams!$A$5:$A$23,0),MATCH(Drivers!M$3,DriversGams!$A$5:$AN$5,0))</f>
        <v>243.43820579760768</v>
      </c>
      <c r="N51" s="10">
        <f>INDEX(DriversGams!$A$5:$AN$23,MATCH(Drivers!$A51,DriversGams!$A$5:$A$23,0),MATCH(Drivers!N$3,DriversGams!$A$5:$AN$5,0))</f>
        <v>250.0252729216615</v>
      </c>
      <c r="O51" s="10">
        <f>INDEX(DriversGams!$A$5:$AN$23,MATCH(Drivers!$A51,DriversGams!$A$5:$A$23,0),MATCH(Drivers!O$3,DriversGams!$A$5:$AN$5,0))</f>
        <v>257.0393389716665</v>
      </c>
      <c r="P51" s="10">
        <f>INDEX(DriversGams!$A$5:$AN$23,MATCH(Drivers!$A51,DriversGams!$A$5:$A$23,0),MATCH(Drivers!P$3,DriversGams!$A$5:$AN$5,0))</f>
        <v>264.01983750733473</v>
      </c>
      <c r="Q51" s="10">
        <f>INDEX(DriversGams!$A$5:$AN$23,MATCH(Drivers!$A51,DriversGams!$A$5:$A$23,0),MATCH(Drivers!Q$3,DriversGams!$A$5:$AN$5,0))</f>
        <v>271.72429020362813</v>
      </c>
      <c r="R51" s="10">
        <f>INDEX(DriversGams!$A$5:$AN$23,MATCH(Drivers!$A51,DriversGams!$A$5:$A$23,0),MATCH(Drivers!R$3,DriversGams!$A$5:$AN$5,0))</f>
        <v>279.56215318997283</v>
      </c>
      <c r="S51" s="10">
        <f>INDEX(DriversGams!$A$5:$AN$23,MATCH(Drivers!$A51,DriversGams!$A$5:$A$23,0),MATCH(Drivers!S$3,DriversGams!$A$5:$AN$5,0))</f>
        <v>287.85104341651504</v>
      </c>
      <c r="T51" s="10">
        <f>INDEX(DriversGams!$A$5:$AN$23,MATCH(Drivers!$A51,DriversGams!$A$5:$A$23,0),MATCH(Drivers!T$3,DriversGams!$A$5:$AN$5,0))</f>
        <v>296.17218841670399</v>
      </c>
      <c r="U51" s="10">
        <f>INDEX(DriversGams!$A$5:$AN$23,MATCH(Drivers!$A51,DriversGams!$A$5:$A$23,0),MATCH(Drivers!U$3,DriversGams!$A$5:$AN$5,0))</f>
        <v>303.16223965681729</v>
      </c>
      <c r="V51" s="10">
        <f>INDEX(DriversGams!$A$5:$AN$23,MATCH(Drivers!$A51,DriversGams!$A$5:$A$23,0),MATCH(Drivers!V$3,DriversGams!$A$5:$AN$5,0))</f>
        <v>311.91377494075573</v>
      </c>
      <c r="W51" s="10">
        <f>INDEX(DriversGams!$A$5:$AN$23,MATCH(Drivers!$A51,DriversGams!$A$5:$A$23,0),MATCH(Drivers!W$3,DriversGams!$A$5:$AN$5,0))</f>
        <v>320.90515779680265</v>
      </c>
      <c r="X51" s="10">
        <f>INDEX(DriversGams!$A$5:$AN$23,MATCH(Drivers!$A51,DriversGams!$A$5:$A$23,0),MATCH(Drivers!X$3,DriversGams!$A$5:$AN$5,0))</f>
        <v>329.99635652965821</v>
      </c>
      <c r="Y51" s="10">
        <f>INDEX(DriversGams!$A$5:$AN$23,MATCH(Drivers!$A51,DriversGams!$A$5:$A$23,0),MATCH(Drivers!Y$3,DriversGams!$A$5:$AN$5,0))</f>
        <v>338.83792660845495</v>
      </c>
      <c r="Z51" s="10">
        <f>INDEX(DriversGams!$A$5:$AN$23,MATCH(Drivers!$A51,DriversGams!$A$5:$A$23,0),MATCH(Drivers!Z$3,DriversGams!$A$5:$AN$5,0))</f>
        <v>348.33269322166962</v>
      </c>
      <c r="AA51" s="10">
        <f>INDEX(DriversGams!$A$5:$AN$23,MATCH(Drivers!$A51,DriversGams!$A$5:$A$23,0),MATCH(Drivers!AA$3,DriversGams!$A$5:$AN$5,0))</f>
        <v>357.99703019358316</v>
      </c>
      <c r="AB51" s="10">
        <f>INDEX(DriversGams!$A$5:$AN$23,MATCH(Drivers!$A51,DriversGams!$A$5:$A$23,0),MATCH(Drivers!AB$3,DriversGams!$A$5:$AN$5,0))</f>
        <v>368.00188053319943</v>
      </c>
      <c r="AC51" s="10">
        <f>INDEX(DriversGams!$A$5:$AN$23,MATCH(Drivers!$A51,DriversGams!$A$5:$A$23,0),MATCH(Drivers!AC$3,DriversGams!$A$5:$AN$5,0))</f>
        <v>377.85666663181792</v>
      </c>
      <c r="AD51" s="10">
        <f>INDEX(DriversGams!$A$5:$AN$23,MATCH(Drivers!$A51,DriversGams!$A$5:$A$23,0),MATCH(Drivers!AD$3,DriversGams!$A$5:$AN$5,0))</f>
        <v>388.05037117851231</v>
      </c>
      <c r="AE51" s="10">
        <f>INDEX(DriversGams!$A$5:$AN$23,MATCH(Drivers!$A51,DriversGams!$A$5:$A$23,0),MATCH(Drivers!AE$3,DriversGams!$A$5:$AN$5,0))</f>
        <v>398.85002792330147</v>
      </c>
      <c r="AF51" s="10">
        <f>INDEX(DriversGams!$A$5:$AN$23,MATCH(Drivers!$A51,DriversGams!$A$5:$A$23,0),MATCH(Drivers!AF$3,DriversGams!$A$5:$AN$5,0))</f>
        <v>460.1203754889417</v>
      </c>
      <c r="AG51" s="10">
        <f>INDEX(DriversGams!$A$5:$AN$23,MATCH(Drivers!$A51,DriversGams!$A$5:$A$23,0),MATCH(Drivers!AG$3,DriversGams!$A$5:$AN$5,0))</f>
        <v>529.36224934657764</v>
      </c>
      <c r="AH51" s="126"/>
      <c r="AI51" s="126"/>
      <c r="AJ51" s="126"/>
      <c r="AK51" s="126"/>
      <c r="AL51" s="126"/>
      <c r="AM51" s="126"/>
      <c r="AO51" s="338">
        <f t="shared" si="86"/>
        <v>10</v>
      </c>
    </row>
    <row r="52" spans="1:41" s="338" customFormat="1">
      <c r="A52" s="134" t="s">
        <v>529</v>
      </c>
      <c r="B52" s="338">
        <f t="shared" si="85"/>
        <v>11</v>
      </c>
      <c r="C52" s="331">
        <v>27.516308224731535</v>
      </c>
      <c r="D52" s="10">
        <f>INDEX(DriversGams!$A$5:$AN$23,MATCH(Drivers!$A52,DriversGams!$A$5:$A$23,0),MATCH(Drivers!D$3,DriversGams!$A$5:$AN$5,0))</f>
        <v>26.933321910754717</v>
      </c>
      <c r="E52" s="10">
        <f>INDEX(DriversGams!$A$5:$AN$23,MATCH(Drivers!$A52,DriversGams!$A$5:$A$23,0),MATCH(Drivers!E$3,DriversGams!$A$5:$AN$5,0))</f>
        <v>26.357240851505608</v>
      </c>
      <c r="F52" s="10">
        <f>INDEX(DriversGams!$A$5:$AN$23,MATCH(Drivers!$A52,DriversGams!$A$5:$A$23,0),MATCH(Drivers!F$3,DriversGams!$A$5:$AN$5,0))</f>
        <v>25.784669574259389</v>
      </c>
      <c r="G52" s="10">
        <f>INDEX(DriversGams!$A$5:$AN$23,MATCH(Drivers!$A52,DriversGams!$A$5:$A$23,0),MATCH(Drivers!G$3,DriversGams!$A$5:$AN$5,0))</f>
        <v>25.784669574259372</v>
      </c>
      <c r="H52" s="10">
        <f>INDEX(DriversGams!$A$5:$AN$23,MATCH(Drivers!$A52,DriversGams!$A$5:$A$23,0),MATCH(Drivers!H$3,DriversGams!$A$5:$AN$5,0))</f>
        <v>25.792154377886234</v>
      </c>
      <c r="I52" s="10">
        <f>INDEX(DriversGams!$A$5:$AN$23,MATCH(Drivers!$A52,DriversGams!$A$5:$A$23,0),MATCH(Drivers!I$3,DriversGams!$A$5:$AN$5,0))</f>
        <v>25.78096221762112</v>
      </c>
      <c r="J52" s="10">
        <f>INDEX(DriversGams!$A$5:$AN$23,MATCH(Drivers!$A52,DriversGams!$A$5:$A$23,0),MATCH(Drivers!J$3,DriversGams!$A$5:$AN$5,0))</f>
        <v>25.777254860982886</v>
      </c>
      <c r="K52" s="10">
        <f>INDEX(DriversGams!$A$5:$AN$23,MATCH(Drivers!$A52,DriversGams!$A$5:$A$23,0),MATCH(Drivers!K$3,DriversGams!$A$5:$AN$5,0))</f>
        <v>25.780962217621408</v>
      </c>
      <c r="L52" s="10">
        <f>INDEX(DriversGams!$A$5:$AN$23,MATCH(Drivers!$A52,DriversGams!$A$5:$A$23,0),MATCH(Drivers!L$3,DriversGams!$A$5:$AN$5,0))</f>
        <v>25.780962217621408</v>
      </c>
      <c r="M52" s="10">
        <f>INDEX(DriversGams!$A$5:$AN$23,MATCH(Drivers!$A52,DriversGams!$A$5:$A$23,0),MATCH(Drivers!M$3,DriversGams!$A$5:$AN$5,0))</f>
        <v>25.780962217621404</v>
      </c>
      <c r="N52" s="10">
        <f>INDEX(DriversGams!$A$5:$AN$23,MATCH(Drivers!$A52,DriversGams!$A$5:$A$23,0),MATCH(Drivers!N$3,DriversGams!$A$5:$AN$5,0))</f>
        <v>25.780962217621397</v>
      </c>
      <c r="O52" s="10">
        <f>INDEX(DriversGams!$A$5:$AN$23,MATCH(Drivers!$A52,DriversGams!$A$5:$A$23,0),MATCH(Drivers!O$3,DriversGams!$A$5:$AN$5,0))</f>
        <v>25.780962217621397</v>
      </c>
      <c r="P52" s="10">
        <f>INDEX(DriversGams!$A$5:$AN$23,MATCH(Drivers!$A52,DriversGams!$A$5:$A$23,0),MATCH(Drivers!P$3,DriversGams!$A$5:$AN$5,0))</f>
        <v>25.221712610799649</v>
      </c>
      <c r="Q52" s="10">
        <f>INDEX(DriversGams!$A$5:$AN$23,MATCH(Drivers!$A52,DriversGams!$A$5:$A$23,0),MATCH(Drivers!Q$3,DriversGams!$A$5:$AN$5,0))</f>
        <v>25.221712610799649</v>
      </c>
      <c r="R52" s="10">
        <f>INDEX(DriversGams!$A$5:$AN$23,MATCH(Drivers!$A52,DriversGams!$A$5:$A$23,0),MATCH(Drivers!R$3,DriversGams!$A$5:$AN$5,0))</f>
        <v>25.198560689428401</v>
      </c>
      <c r="S52" s="10">
        <f>INDEX(DriversGams!$A$5:$AN$23,MATCH(Drivers!$A52,DriversGams!$A$5:$A$23,0),MATCH(Drivers!S$3,DriversGams!$A$5:$AN$5,0))</f>
        <v>25.198154966054339</v>
      </c>
      <c r="T52" s="10">
        <f>INDEX(DriversGams!$A$5:$AN$23,MATCH(Drivers!$A52,DriversGams!$A$5:$A$23,0),MATCH(Drivers!T$3,DriversGams!$A$5:$AN$5,0))</f>
        <v>25.22443266858593</v>
      </c>
      <c r="U52" s="10">
        <f>INDEX(DriversGams!$A$5:$AN$23,MATCH(Drivers!$A52,DriversGams!$A$5:$A$23,0),MATCH(Drivers!U$3,DriversGams!$A$5:$AN$5,0))</f>
        <v>25.198154966054339</v>
      </c>
      <c r="V52" s="10">
        <f>INDEX(DriversGams!$A$5:$AN$23,MATCH(Drivers!$A52,DriversGams!$A$5:$A$23,0),MATCH(Drivers!V$3,DriversGams!$A$5:$AN$5,0))</f>
        <v>24.729363674487423</v>
      </c>
      <c r="W52" s="10">
        <f>INDEX(DriversGams!$A$5:$AN$23,MATCH(Drivers!$A52,DriversGams!$A$5:$A$23,0),MATCH(Drivers!W$3,DriversGams!$A$5:$AN$5,0))</f>
        <v>24.107340422025779</v>
      </c>
      <c r="X52" s="10">
        <f>INDEX(DriversGams!$A$5:$AN$23,MATCH(Drivers!$A52,DriversGams!$A$5:$A$23,0),MATCH(Drivers!X$3,DriversGams!$A$5:$AN$5,0))</f>
        <v>24.068889189911349</v>
      </c>
      <c r="Y52" s="10">
        <f>INDEX(DriversGams!$A$5:$AN$23,MATCH(Drivers!$A52,DriversGams!$A$5:$A$23,0),MATCH(Drivers!Y$3,DriversGams!$A$5:$AN$5,0))</f>
        <v>23.566180013629189</v>
      </c>
      <c r="Z52" s="10">
        <f>INDEX(DriversGams!$A$5:$AN$23,MATCH(Drivers!$A52,DriversGams!$A$5:$A$23,0),MATCH(Drivers!Z$3,DriversGams!$A$5:$AN$5,0))</f>
        <v>22.355593289542004</v>
      </c>
      <c r="AA52" s="10">
        <f>INDEX(DriversGams!$A$5:$AN$23,MATCH(Drivers!$A52,DriversGams!$A$5:$A$23,0),MATCH(Drivers!AA$3,DriversGams!$A$5:$AN$5,0))</f>
        <v>22.403008355083625</v>
      </c>
      <c r="AB52" s="10">
        <f>INDEX(DriversGams!$A$5:$AN$23,MATCH(Drivers!$A52,DriversGams!$A$5:$A$23,0),MATCH(Drivers!AB$3,DriversGams!$A$5:$AN$5,0))</f>
        <v>22.450423420625238</v>
      </c>
      <c r="AC52" s="10">
        <f>INDEX(DriversGams!$A$5:$AN$23,MATCH(Drivers!$A52,DriversGams!$A$5:$A$23,0),MATCH(Drivers!AC$3,DriversGams!$A$5:$AN$5,0))</f>
        <v>22.497838486166845</v>
      </c>
      <c r="AD52" s="10">
        <f>INDEX(DriversGams!$A$5:$AN$23,MATCH(Drivers!$A52,DriversGams!$A$5:$A$23,0),MATCH(Drivers!AD$3,DriversGams!$A$5:$AN$5,0))</f>
        <v>22.545253551708463</v>
      </c>
      <c r="AE52" s="10">
        <f>INDEX(DriversGams!$A$5:$AN$23,MATCH(Drivers!$A52,DriversGams!$A$5:$A$23,0),MATCH(Drivers!AE$3,DriversGams!$A$5:$AN$5,0))</f>
        <v>22.592668617250066</v>
      </c>
      <c r="AF52" s="10">
        <f>INDEX(DriversGams!$A$5:$AN$23,MATCH(Drivers!$A52,DriversGams!$A$5:$A$23,0),MATCH(Drivers!AF$3,DriversGams!$A$5:$AN$5,0))</f>
        <v>21.580813602025103</v>
      </c>
      <c r="AG52" s="10">
        <f>INDEX(DriversGams!$A$5:$AN$23,MATCH(Drivers!$A52,DriversGams!$A$5:$A$23,0),MATCH(Drivers!AG$3,DriversGams!$A$5:$AN$5,0))</f>
        <v>20.568958586800107</v>
      </c>
      <c r="AH52" s="126"/>
      <c r="AI52" s="126"/>
      <c r="AJ52" s="126"/>
      <c r="AK52" s="126"/>
      <c r="AL52" s="126"/>
      <c r="AM52" s="126"/>
      <c r="AO52" s="338">
        <f t="shared" si="86"/>
        <v>11</v>
      </c>
    </row>
    <row r="53" spans="1:41" s="338" customFormat="1">
      <c r="A53" s="134" t="s">
        <v>524</v>
      </c>
      <c r="B53" s="338">
        <f t="shared" si="85"/>
        <v>12</v>
      </c>
      <c r="C53" s="331">
        <v>17.781500762507015</v>
      </c>
      <c r="D53" s="10">
        <f>INDEX(DriversGams!$A$5:$AN$23,MATCH(Drivers!$A53,DriversGams!$A$5:$A$23,0),MATCH(Drivers!D$3,DriversGams!$A$5:$AN$5,0))</f>
        <v>18.21809145789609</v>
      </c>
      <c r="E53" s="10">
        <f>INDEX(DriversGams!$A$5:$AN$23,MATCH(Drivers!$A53,DriversGams!$A$5:$A$23,0),MATCH(Drivers!E$3,DriversGams!$A$5:$AN$5,0))</f>
        <v>18.567420658015568</v>
      </c>
      <c r="F53" s="10">
        <f>INDEX(DriversGams!$A$5:$AN$23,MATCH(Drivers!$A53,DriversGams!$A$5:$A$23,0),MATCH(Drivers!F$3,DriversGams!$A$5:$AN$5,0))</f>
        <v>18.762769995550013</v>
      </c>
      <c r="G53" s="10">
        <f>INDEX(DriversGams!$A$5:$AN$23,MATCH(Drivers!$A53,DriversGams!$A$5:$A$23,0),MATCH(Drivers!G$3,DriversGams!$A$5:$AN$5,0))</f>
        <v>19.037714230270431</v>
      </c>
      <c r="H53" s="10">
        <f>INDEX(DriversGams!$A$5:$AN$23,MATCH(Drivers!$A53,DriversGams!$A$5:$A$23,0),MATCH(Drivers!H$3,DriversGams!$A$5:$AN$5,0))</f>
        <v>19.074701766994909</v>
      </c>
      <c r="I53" s="10">
        <f>INDEX(DriversGams!$A$5:$AN$23,MATCH(Drivers!$A53,DriversGams!$A$5:$A$23,0),MATCH(Drivers!I$3,DriversGams!$A$5:$AN$5,0))</f>
        <v>19.42407343994682</v>
      </c>
      <c r="J53" s="10">
        <f>INDEX(DriversGams!$A$5:$AN$23,MATCH(Drivers!$A53,DriversGams!$A$5:$A$23,0),MATCH(Drivers!J$3,DriversGams!$A$5:$AN$5,0))</f>
        <v>19.472300898786198</v>
      </c>
      <c r="K53" s="10">
        <f>INDEX(DriversGams!$A$5:$AN$23,MATCH(Drivers!$A53,DriversGams!$A$5:$A$23,0),MATCH(Drivers!K$3,DriversGams!$A$5:$AN$5,0))</f>
        <v>17.978595103875868</v>
      </c>
      <c r="L53" s="10">
        <f>INDEX(DriversGams!$A$5:$AN$23,MATCH(Drivers!$A53,DriversGams!$A$5:$A$23,0),MATCH(Drivers!L$3,DriversGams!$A$5:$AN$5,0))</f>
        <v>18.425580854596319</v>
      </c>
      <c r="M53" s="10">
        <f>INDEX(DriversGams!$A$5:$AN$23,MATCH(Drivers!$A53,DriversGams!$A$5:$A$23,0),MATCH(Drivers!M$3,DriversGams!$A$5:$AN$5,0))</f>
        <v>18.875393382474392</v>
      </c>
      <c r="N53" s="10">
        <f>INDEX(DriversGams!$A$5:$AN$23,MATCH(Drivers!$A53,DriversGams!$A$5:$A$23,0),MATCH(Drivers!N$3,DriversGams!$A$5:$AN$5,0))</f>
        <v>19.37593948814931</v>
      </c>
      <c r="O53" s="10">
        <f>INDEX(DriversGams!$A$5:$AN$23,MATCH(Drivers!$A53,DriversGams!$A$5:$A$23,0),MATCH(Drivers!O$3,DriversGams!$A$5:$AN$5,0))</f>
        <v>19.904043035124161</v>
      </c>
      <c r="P53" s="10">
        <f>INDEX(DriversGams!$A$5:$AN$23,MATCH(Drivers!$A53,DriversGams!$A$5:$A$23,0),MATCH(Drivers!P$3,DriversGams!$A$5:$AN$5,0))</f>
        <v>20.434676476954504</v>
      </c>
      <c r="Q53" s="10">
        <f>INDEX(DriversGams!$A$5:$AN$23,MATCH(Drivers!$A53,DriversGams!$A$5:$A$23,0),MATCH(Drivers!Q$3,DriversGams!$A$5:$AN$5,0))</f>
        <v>21.051358228285224</v>
      </c>
      <c r="R53" s="10">
        <f>INDEX(DriversGams!$A$5:$AN$23,MATCH(Drivers!$A53,DriversGams!$A$5:$A$23,0),MATCH(Drivers!R$3,DriversGams!$A$5:$AN$5,0))</f>
        <v>21.647594038894049</v>
      </c>
      <c r="S53" s="10">
        <f>INDEX(DriversGams!$A$5:$AN$23,MATCH(Drivers!$A53,DriversGams!$A$5:$A$23,0),MATCH(Drivers!S$3,DriversGams!$A$5:$AN$5,0))</f>
        <v>22.266043235160069</v>
      </c>
      <c r="T53" s="10">
        <f>INDEX(DriversGams!$A$5:$AN$23,MATCH(Drivers!$A53,DriversGams!$A$5:$A$23,0),MATCH(Drivers!T$3,DriversGams!$A$5:$AN$5,0))</f>
        <v>22.909699710557216</v>
      </c>
      <c r="U53" s="10">
        <f>INDEX(DriversGams!$A$5:$AN$23,MATCH(Drivers!$A53,DriversGams!$A$5:$A$23,0),MATCH(Drivers!U$3,DriversGams!$A$5:$AN$5,0))</f>
        <v>23.472167600372124</v>
      </c>
      <c r="V53" s="10">
        <f>INDEX(DriversGams!$A$5:$AN$23,MATCH(Drivers!$A53,DriversGams!$A$5:$A$23,0),MATCH(Drivers!V$3,DriversGams!$A$5:$AN$5,0))</f>
        <v>24.141799581503221</v>
      </c>
      <c r="W53" s="10">
        <f>INDEX(DriversGams!$A$5:$AN$23,MATCH(Drivers!$A53,DriversGams!$A$5:$A$23,0),MATCH(Drivers!W$3,DriversGams!$A$5:$AN$5,0))</f>
        <v>24.822594807412035</v>
      </c>
      <c r="X53" s="10">
        <f>INDEX(DriversGams!$A$5:$AN$23,MATCH(Drivers!$A53,DriversGams!$A$5:$A$23,0),MATCH(Drivers!X$3,DriversGams!$A$5:$AN$5,0))</f>
        <v>25.49556340544002</v>
      </c>
      <c r="Y53" s="10">
        <f>INDEX(DriversGams!$A$5:$AN$23,MATCH(Drivers!$A53,DriversGams!$A$5:$A$23,0),MATCH(Drivers!Y$3,DriversGams!$A$5:$AN$5,0))</f>
        <v>26.15349331496332</v>
      </c>
      <c r="Z53" s="10">
        <f>INDEX(DriversGams!$A$5:$AN$23,MATCH(Drivers!$A53,DriversGams!$A$5:$A$23,0),MATCH(Drivers!Z$3,DriversGams!$A$5:$AN$5,0))</f>
        <v>26.767784324168478</v>
      </c>
      <c r="AA53" s="10">
        <f>INDEX(DriversGams!$A$5:$AN$23,MATCH(Drivers!$A53,DriversGams!$A$5:$A$23,0),MATCH(Drivers!AA$3,DriversGams!$A$5:$AN$5,0))</f>
        <v>27.460886584388707</v>
      </c>
      <c r="AB53" s="10">
        <f>INDEX(DriversGams!$A$5:$AN$23,MATCH(Drivers!$A53,DriversGams!$A$5:$A$23,0),MATCH(Drivers!AB$3,DriversGams!$A$5:$AN$5,0))</f>
        <v>28.180547175783659</v>
      </c>
      <c r="AC53" s="10">
        <f>INDEX(DriversGams!$A$5:$AN$23,MATCH(Drivers!$A53,DriversGams!$A$5:$A$23,0),MATCH(Drivers!AC$3,DriversGams!$A$5:$AN$5,0))</f>
        <v>28.889625610088803</v>
      </c>
      <c r="AD53" s="10">
        <f>INDEX(DriversGams!$A$5:$AN$23,MATCH(Drivers!$A53,DriversGams!$A$5:$A$23,0),MATCH(Drivers!AD$3,DriversGams!$A$5:$AN$5,0))</f>
        <v>29.626578795924523</v>
      </c>
      <c r="AE53" s="10">
        <f>INDEX(DriversGams!$A$5:$AN$23,MATCH(Drivers!$A53,DriversGams!$A$5:$A$23,0),MATCH(Drivers!AE$3,DriversGams!$A$5:$AN$5,0))</f>
        <v>30.409324222456782</v>
      </c>
      <c r="AF53" s="10">
        <f>INDEX(DriversGams!$A$5:$AN$23,MATCH(Drivers!$A53,DriversGams!$A$5:$A$23,0),MATCH(Drivers!AF$3,DriversGams!$A$5:$AN$5,0))</f>
        <v>34.749774821046124</v>
      </c>
      <c r="AG53" s="10">
        <f>INDEX(DriversGams!$A$5:$AN$23,MATCH(Drivers!$A53,DriversGams!$A$5:$A$23,0),MATCH(Drivers!AG$3,DriversGams!$A$5:$AN$5,0))</f>
        <v>39.601164848584354</v>
      </c>
      <c r="AH53" s="126"/>
      <c r="AI53" s="126"/>
      <c r="AJ53" s="126"/>
      <c r="AK53" s="126"/>
      <c r="AL53" s="126"/>
      <c r="AM53" s="126"/>
      <c r="AO53" s="338">
        <f t="shared" si="86"/>
        <v>12</v>
      </c>
    </row>
    <row r="54" spans="1:41" s="338" customFormat="1">
      <c r="A54" s="134" t="s">
        <v>595</v>
      </c>
      <c r="B54" s="338">
        <f t="shared" si="85"/>
        <v>13</v>
      </c>
      <c r="C54" s="331">
        <v>11.263564724197627</v>
      </c>
      <c r="D54" s="10">
        <f>INDEX(DriversGams!$A$5:$AN$23,MATCH(Drivers!$A54,DriversGams!$A$5:$A$23,0),MATCH(Drivers!D$3,DriversGams!$A$5:$AN$5,0))</f>
        <v>11.573114330999795</v>
      </c>
      <c r="E54" s="10">
        <f>INDEX(DriversGams!$A$5:$AN$23,MATCH(Drivers!$A54,DriversGams!$A$5:$A$23,0),MATCH(Drivers!E$3,DriversGams!$A$5:$AN$5,0))</f>
        <v>11.904421804272397</v>
      </c>
      <c r="F54" s="10">
        <f>INDEX(DriversGams!$A$5:$AN$23,MATCH(Drivers!$A54,DriversGams!$A$5:$A$23,0),MATCH(Drivers!F$3,DriversGams!$A$5:$AN$5,0))</f>
        <v>12.110094606966681</v>
      </c>
      <c r="G54" s="10">
        <f>INDEX(DriversGams!$A$5:$AN$23,MATCH(Drivers!$A54,DriversGams!$A$5:$A$23,0),MATCH(Drivers!G$3,DriversGams!$A$5:$AN$5,0))</f>
        <v>12.166932788027333</v>
      </c>
      <c r="H54" s="10">
        <f>INDEX(DriversGams!$A$5:$AN$23,MATCH(Drivers!$A54,DriversGams!$A$5:$A$23,0),MATCH(Drivers!H$3,DriversGams!$A$5:$AN$5,0))</f>
        <v>12.293711060955006</v>
      </c>
      <c r="I54" s="10">
        <f>INDEX(DriversGams!$A$5:$AN$23,MATCH(Drivers!$A54,DriversGams!$A$5:$A$23,0),MATCH(Drivers!I$3,DriversGams!$A$5:$AN$5,0))</f>
        <v>12.562958323284702</v>
      </c>
      <c r="J54" s="10">
        <f>INDEX(DriversGams!$A$5:$AN$23,MATCH(Drivers!$A54,DriversGams!$A$5:$A$23,0),MATCH(Drivers!J$3,DriversGams!$A$5:$AN$5,0))</f>
        <v>12.711588758003899</v>
      </c>
      <c r="K54" s="10">
        <f>INDEX(DriversGams!$A$5:$AN$23,MATCH(Drivers!$A54,DriversGams!$A$5:$A$23,0),MATCH(Drivers!K$3,DriversGams!$A$5:$AN$5,0))</f>
        <v>11.921653112246329</v>
      </c>
      <c r="L54" s="10">
        <f>INDEX(DriversGams!$A$5:$AN$23,MATCH(Drivers!$A54,DriversGams!$A$5:$A$23,0),MATCH(Drivers!L$3,DriversGams!$A$5:$AN$5,0))</f>
        <v>12.235304710288451</v>
      </c>
      <c r="M54" s="10">
        <f>INDEX(DriversGams!$A$5:$AN$23,MATCH(Drivers!$A54,DriversGams!$A$5:$A$23,0),MATCH(Drivers!M$3,DriversGams!$A$5:$AN$5,0))</f>
        <v>12.501281403627599</v>
      </c>
      <c r="N54" s="10">
        <f>INDEX(DriversGams!$A$5:$AN$23,MATCH(Drivers!$A54,DriversGams!$A$5:$A$23,0),MATCH(Drivers!N$3,DriversGams!$A$5:$AN$5,0))</f>
        <v>12.741742363348116</v>
      </c>
      <c r="O54" s="10">
        <f>INDEX(DriversGams!$A$5:$AN$23,MATCH(Drivers!$A54,DriversGams!$A$5:$A$23,0),MATCH(Drivers!O$3,DriversGams!$A$5:$AN$5,0))</f>
        <v>12.98624838026327</v>
      </c>
      <c r="P54" s="10">
        <f>INDEX(DriversGams!$A$5:$AN$23,MATCH(Drivers!$A54,DriversGams!$A$5:$A$23,0),MATCH(Drivers!P$3,DriversGams!$A$5:$AN$5,0))</f>
        <v>13.214479448270467</v>
      </c>
      <c r="Q54" s="10">
        <f>INDEX(DriversGams!$A$5:$AN$23,MATCH(Drivers!$A54,DriversGams!$A$5:$A$23,0),MATCH(Drivers!Q$3,DriversGams!$A$5:$AN$5,0))</f>
        <v>13.465168709241487</v>
      </c>
      <c r="R54" s="10">
        <f>INDEX(DriversGams!$A$5:$AN$23,MATCH(Drivers!$A54,DriversGams!$A$5:$A$23,0),MATCH(Drivers!R$3,DriversGams!$A$5:$AN$5,0))</f>
        <v>13.703477984695741</v>
      </c>
      <c r="S54" s="10">
        <f>INDEX(DriversGams!$A$5:$AN$23,MATCH(Drivers!$A54,DriversGams!$A$5:$A$23,0),MATCH(Drivers!S$3,DriversGams!$A$5:$AN$5,0))</f>
        <v>13.943442716705752</v>
      </c>
      <c r="T54" s="10">
        <f>INDEX(DriversGams!$A$5:$AN$23,MATCH(Drivers!$A54,DriversGams!$A$5:$A$23,0),MATCH(Drivers!T$3,DriversGams!$A$5:$AN$5,0))</f>
        <v>14.18613399699187</v>
      </c>
      <c r="U54" s="10">
        <f>INDEX(DriversGams!$A$5:$AN$23,MATCH(Drivers!$A54,DriversGams!$A$5:$A$23,0),MATCH(Drivers!U$3,DriversGams!$A$5:$AN$5,0))</f>
        <v>14.466589529547347</v>
      </c>
      <c r="V54" s="10">
        <f>INDEX(DriversGams!$A$5:$AN$23,MATCH(Drivers!$A54,DriversGams!$A$5:$A$23,0),MATCH(Drivers!V$3,DriversGams!$A$5:$AN$5,0))</f>
        <v>14.845840463025313</v>
      </c>
      <c r="W54" s="10">
        <f>INDEX(DriversGams!$A$5:$AN$23,MATCH(Drivers!$A54,DriversGams!$A$5:$A$23,0),MATCH(Drivers!W$3,DriversGams!$A$5:$AN$5,0))</f>
        <v>15.167896365378041</v>
      </c>
      <c r="X54" s="10">
        <f>INDEX(DriversGams!$A$5:$AN$23,MATCH(Drivers!$A54,DriversGams!$A$5:$A$23,0),MATCH(Drivers!X$3,DriversGams!$A$5:$AN$5,0))</f>
        <v>15.482175648100521</v>
      </c>
      <c r="Y54" s="10">
        <f>INDEX(DriversGams!$A$5:$AN$23,MATCH(Drivers!$A54,DriversGams!$A$5:$A$23,0),MATCH(Drivers!Y$3,DriversGams!$A$5:$AN$5,0))</f>
        <v>15.753527531290876</v>
      </c>
      <c r="Z54" s="10">
        <f>INDEX(DriversGams!$A$5:$AN$23,MATCH(Drivers!$A54,DriversGams!$A$5:$A$23,0),MATCH(Drivers!Z$3,DriversGams!$A$5:$AN$5,0))</f>
        <v>16.029022897704866</v>
      </c>
      <c r="AA54" s="10">
        <f>INDEX(DriversGams!$A$5:$AN$23,MATCH(Drivers!$A54,DriversGams!$A$5:$A$23,0),MATCH(Drivers!AA$3,DriversGams!$A$5:$AN$5,0))</f>
        <v>16.344022280745968</v>
      </c>
      <c r="AB54" s="10">
        <f>INDEX(DriversGams!$A$5:$AN$23,MATCH(Drivers!$A54,DriversGams!$A$5:$A$23,0),MATCH(Drivers!AB$3,DriversGams!$A$5:$AN$5,0))</f>
        <v>16.653030576959534</v>
      </c>
      <c r="AC54" s="10">
        <f>INDEX(DriversGams!$A$5:$AN$23,MATCH(Drivers!$A54,DriversGams!$A$5:$A$23,0),MATCH(Drivers!AC$3,DriversGams!$A$5:$AN$5,0))</f>
        <v>16.95834435079685</v>
      </c>
      <c r="AD54" s="10">
        <f>INDEX(DriversGams!$A$5:$AN$23,MATCH(Drivers!$A54,DriversGams!$A$5:$A$23,0),MATCH(Drivers!AD$3,DriversGams!$A$5:$AN$5,0))</f>
        <v>17.270783697210387</v>
      </c>
      <c r="AE54" s="10">
        <f>INDEX(DriversGams!$A$5:$AN$23,MATCH(Drivers!$A54,DriversGams!$A$5:$A$23,0),MATCH(Drivers!AE$3,DriversGams!$A$5:$AN$5,0))</f>
        <v>17.605624985872634</v>
      </c>
      <c r="AF54" s="10">
        <f>INDEX(DriversGams!$A$5:$AN$23,MATCH(Drivers!$A54,DriversGams!$A$5:$A$23,0),MATCH(Drivers!AF$3,DriversGams!$A$5:$AN$5,0))</f>
        <v>19.436090482310849</v>
      </c>
      <c r="AG54" s="10">
        <f>INDEX(DriversGams!$A$5:$AN$23,MATCH(Drivers!$A54,DriversGams!$A$5:$A$23,0),MATCH(Drivers!AG$3,DriversGams!$A$5:$AN$5,0))</f>
        <v>21.18512097954352</v>
      </c>
      <c r="AH54" s="126"/>
      <c r="AI54" s="126"/>
      <c r="AJ54" s="126"/>
      <c r="AK54" s="126"/>
      <c r="AL54" s="126"/>
      <c r="AM54" s="126"/>
      <c r="AO54" s="338">
        <f t="shared" si="86"/>
        <v>13</v>
      </c>
    </row>
    <row r="55" spans="1:41" s="338" customFormat="1">
      <c r="A55" s="134" t="s">
        <v>594</v>
      </c>
      <c r="B55" s="338">
        <f t="shared" si="85"/>
        <v>14</v>
      </c>
      <c r="C55" s="331">
        <v>135.95535691221758</v>
      </c>
      <c r="D55" s="10">
        <f>INDEX(DriversGams!$A$5:$AN$23,MATCH(Drivers!$A55,DriversGams!$A$5:$A$23,0),MATCH(Drivers!D$3,DriversGams!$A$5:$AN$5,0))</f>
        <v>139.80351127853945</v>
      </c>
      <c r="E55" s="10">
        <f>INDEX(DriversGams!$A$5:$AN$23,MATCH(Drivers!$A55,DriversGams!$A$5:$A$23,0),MATCH(Drivers!E$3,DriversGams!$A$5:$AN$5,0))</f>
        <v>142.66409200833968</v>
      </c>
      <c r="F55" s="10">
        <f>INDEX(DriversGams!$A$5:$AN$23,MATCH(Drivers!$A55,DriversGams!$A$5:$A$23,0),MATCH(Drivers!F$3,DriversGams!$A$5:$AN$5,0))</f>
        <v>144.13036048331253</v>
      </c>
      <c r="G55" s="10">
        <f>INDEX(DriversGams!$A$5:$AN$23,MATCH(Drivers!$A55,DriversGams!$A$5:$A$23,0),MATCH(Drivers!G$3,DriversGams!$A$5:$AN$5,0))</f>
        <v>145.0014302833948</v>
      </c>
      <c r="H55" s="10">
        <f>INDEX(DriversGams!$A$5:$AN$23,MATCH(Drivers!$A55,DriversGams!$A$5:$A$23,0),MATCH(Drivers!H$3,DriversGams!$A$5:$AN$5,0))</f>
        <v>146.55585903275639</v>
      </c>
      <c r="I55" s="10">
        <f>INDEX(DriversGams!$A$5:$AN$23,MATCH(Drivers!$A55,DriversGams!$A$5:$A$23,0),MATCH(Drivers!I$3,DriversGams!$A$5:$AN$5,0))</f>
        <v>148.28569594981948</v>
      </c>
      <c r="J55" s="10">
        <f>INDEX(DriversGams!$A$5:$AN$23,MATCH(Drivers!$A55,DriversGams!$A$5:$A$23,0),MATCH(Drivers!J$3,DriversGams!$A$5:$AN$5,0))</f>
        <v>149.06461652943278</v>
      </c>
      <c r="K55" s="10">
        <f>INDEX(DriversGams!$A$5:$AN$23,MATCH(Drivers!$A55,DriversGams!$A$5:$A$23,0),MATCH(Drivers!K$3,DriversGams!$A$5:$AN$5,0))</f>
        <v>137.82766079356369</v>
      </c>
      <c r="L55" s="10">
        <f>INDEX(DriversGams!$A$5:$AN$23,MATCH(Drivers!$A55,DriversGams!$A$5:$A$23,0),MATCH(Drivers!L$3,DriversGams!$A$5:$AN$5,0))</f>
        <v>140.70394471007126</v>
      </c>
      <c r="M55" s="10">
        <f>INDEX(DriversGams!$A$5:$AN$23,MATCH(Drivers!$A55,DriversGams!$A$5:$A$23,0),MATCH(Drivers!M$3,DriversGams!$A$5:$AN$5,0))</f>
        <v>143.76714641829912</v>
      </c>
      <c r="N55" s="10">
        <f>INDEX(DriversGams!$A$5:$AN$23,MATCH(Drivers!$A55,DriversGams!$A$5:$A$23,0),MATCH(Drivers!N$3,DriversGams!$A$5:$AN$5,0))</f>
        <v>147.12848647576391</v>
      </c>
      <c r="O55" s="10">
        <f>INDEX(DriversGams!$A$5:$AN$23,MATCH(Drivers!$A55,DriversGams!$A$5:$A$23,0),MATCH(Drivers!O$3,DriversGams!$A$5:$AN$5,0))</f>
        <v>150.76049449915379</v>
      </c>
      <c r="P55" s="10">
        <f>INDEX(DriversGams!$A$5:$AN$23,MATCH(Drivers!$A55,DriversGams!$A$5:$A$23,0),MATCH(Drivers!P$3,DriversGams!$A$5:$AN$5,0))</f>
        <v>154.33485001807401</v>
      </c>
      <c r="Q55" s="10">
        <f>INDEX(DriversGams!$A$5:$AN$23,MATCH(Drivers!$A55,DriversGams!$A$5:$A$23,0),MATCH(Drivers!Q$3,DriversGams!$A$5:$AN$5,0))</f>
        <v>158.36097525088041</v>
      </c>
      <c r="R55" s="10">
        <f>INDEX(DriversGams!$A$5:$AN$23,MATCH(Drivers!$A55,DriversGams!$A$5:$A$23,0),MATCH(Drivers!R$3,DriversGams!$A$5:$AN$5,0))</f>
        <v>162.47821309092055</v>
      </c>
      <c r="S55" s="10">
        <f>INDEX(DriversGams!$A$5:$AN$23,MATCH(Drivers!$A55,DriversGams!$A$5:$A$23,0),MATCH(Drivers!S$3,DriversGams!$A$5:$AN$5,0))</f>
        <v>166.85402227556517</v>
      </c>
      <c r="T55" s="10">
        <f>INDEX(DriversGams!$A$5:$AN$23,MATCH(Drivers!$A55,DriversGams!$A$5:$A$23,0),MATCH(Drivers!T$3,DriversGams!$A$5:$AN$5,0))</f>
        <v>171.19273800324726</v>
      </c>
      <c r="U55" s="10">
        <f>INDEX(DriversGams!$A$5:$AN$23,MATCH(Drivers!$A55,DriversGams!$A$5:$A$23,0),MATCH(Drivers!U$3,DriversGams!$A$5:$AN$5,0))</f>
        <v>174.84705057564088</v>
      </c>
      <c r="V55" s="10">
        <f>INDEX(DriversGams!$A$5:$AN$23,MATCH(Drivers!$A55,DriversGams!$A$5:$A$23,0),MATCH(Drivers!V$3,DriversGams!$A$5:$AN$5,0))</f>
        <v>179.31069111024703</v>
      </c>
      <c r="W55" s="10">
        <f>INDEX(DriversGams!$A$5:$AN$23,MATCH(Drivers!$A55,DriversGams!$A$5:$A$23,0),MATCH(Drivers!W$3,DriversGams!$A$5:$AN$5,0))</f>
        <v>183.8200659769339</v>
      </c>
      <c r="X55" s="10">
        <f>INDEX(DriversGams!$A$5:$AN$23,MATCH(Drivers!$A55,DriversGams!$A$5:$A$23,0),MATCH(Drivers!X$3,DriversGams!$A$5:$AN$5,0))</f>
        <v>188.45915175381029</v>
      </c>
      <c r="Y55" s="10">
        <f>INDEX(DriversGams!$A$5:$AN$23,MATCH(Drivers!$A55,DriversGams!$A$5:$A$23,0),MATCH(Drivers!Y$3,DriversGams!$A$5:$AN$5,0))</f>
        <v>192.83647380242422</v>
      </c>
      <c r="Z55" s="10">
        <f>INDEX(DriversGams!$A$5:$AN$23,MATCH(Drivers!$A55,DriversGams!$A$5:$A$23,0),MATCH(Drivers!Z$3,DriversGams!$A$5:$AN$5,0))</f>
        <v>197.4490556385359</v>
      </c>
      <c r="AA55" s="10">
        <f>INDEX(DriversGams!$A$5:$AN$23,MATCH(Drivers!$A55,DriversGams!$A$5:$A$23,0),MATCH(Drivers!AA$3,DriversGams!$A$5:$AN$5,0))</f>
        <v>202.3032772288403</v>
      </c>
      <c r="AB55" s="10">
        <f>INDEX(DriversGams!$A$5:$AN$23,MATCH(Drivers!$A55,DriversGams!$A$5:$A$23,0),MATCH(Drivers!AB$3,DriversGams!$A$5:$AN$5,0))</f>
        <v>207.34778110170382</v>
      </c>
      <c r="AC55" s="10">
        <f>INDEX(DriversGams!$A$5:$AN$23,MATCH(Drivers!$A55,DriversGams!$A$5:$A$23,0),MATCH(Drivers!AC$3,DriversGams!$A$5:$AN$5,0))</f>
        <v>212.31258981749002</v>
      </c>
      <c r="AD55" s="10">
        <f>INDEX(DriversGams!$A$5:$AN$23,MATCH(Drivers!$A55,DriversGams!$A$5:$A$23,0),MATCH(Drivers!AD$3,DriversGams!$A$5:$AN$5,0))</f>
        <v>217.46651232501361</v>
      </c>
      <c r="AE55" s="10">
        <f>INDEX(DriversGams!$A$5:$AN$23,MATCH(Drivers!$A55,DriversGams!$A$5:$A$23,0),MATCH(Drivers!AE$3,DriversGams!$A$5:$AN$5,0))</f>
        <v>222.94594056097739</v>
      </c>
      <c r="AF55" s="10">
        <f>INDEX(DriversGams!$A$5:$AN$23,MATCH(Drivers!$A55,DriversGams!$A$5:$A$23,0),MATCH(Drivers!AF$3,DriversGams!$A$5:$AN$5,0))</f>
        <v>254.37037860613714</v>
      </c>
      <c r="AG55" s="10">
        <f>INDEX(DriversGams!$A$5:$AN$23,MATCH(Drivers!$A55,DriversGams!$A$5:$A$23,0),MATCH(Drivers!AG$3,DriversGams!$A$5:$AN$5,0))</f>
        <v>289.90858523747522</v>
      </c>
      <c r="AH55" s="126"/>
      <c r="AI55" s="126"/>
      <c r="AJ55" s="126"/>
      <c r="AK55" s="126"/>
      <c r="AL55" s="126"/>
      <c r="AM55" s="126"/>
      <c r="AO55" s="338">
        <f t="shared" si="86"/>
        <v>14</v>
      </c>
    </row>
    <row r="56" spans="1:41" s="338" customFormat="1">
      <c r="A56" s="134" t="s">
        <v>593</v>
      </c>
      <c r="B56" s="338">
        <f t="shared" si="85"/>
        <v>15</v>
      </c>
      <c r="C56" s="331">
        <v>21.151207305916397</v>
      </c>
      <c r="D56" s="10">
        <f>INDEX(DriversGams!$A$5:$AN$23,MATCH(Drivers!$A56,DriversGams!$A$5:$A$23,0),MATCH(Drivers!D$3,DriversGams!$A$5:$AN$5,0))</f>
        <v>22.521282491755183</v>
      </c>
      <c r="E56" s="10">
        <f>INDEX(DriversGams!$A$5:$AN$23,MATCH(Drivers!$A56,DriversGams!$A$5:$A$23,0),MATCH(Drivers!E$3,DriversGams!$A$5:$AN$5,0))</f>
        <v>24.217986565765905</v>
      </c>
      <c r="F56" s="10">
        <f>INDEX(DriversGams!$A$5:$AN$23,MATCH(Drivers!$A56,DriversGams!$A$5:$A$23,0),MATCH(Drivers!F$3,DriversGams!$A$5:$AN$5,0))</f>
        <v>25.461135067347364</v>
      </c>
      <c r="G56" s="10">
        <f>INDEX(DriversGams!$A$5:$AN$23,MATCH(Drivers!$A56,DriversGams!$A$5:$A$23,0),MATCH(Drivers!G$3,DriversGams!$A$5:$AN$5,0))</f>
        <v>26.297310750693875</v>
      </c>
      <c r="H56" s="10">
        <f>INDEX(DriversGams!$A$5:$AN$23,MATCH(Drivers!$A56,DriversGams!$A$5:$A$23,0),MATCH(Drivers!H$3,DriversGams!$A$5:$AN$5,0))</f>
        <v>28.16300470040489</v>
      </c>
      <c r="I56" s="10">
        <f>INDEX(DriversGams!$A$5:$AN$23,MATCH(Drivers!$A56,DriversGams!$A$5:$A$23,0),MATCH(Drivers!I$3,DriversGams!$A$5:$AN$5,0))</f>
        <v>30.348501189694851</v>
      </c>
      <c r="J56" s="10">
        <f>INDEX(DriversGams!$A$5:$AN$23,MATCH(Drivers!$A56,DriversGams!$A$5:$A$23,0),MATCH(Drivers!J$3,DriversGams!$A$5:$AN$5,0))</f>
        <v>31.793574952699373</v>
      </c>
      <c r="K56" s="10">
        <f>INDEX(DriversGams!$A$5:$AN$23,MATCH(Drivers!$A56,DriversGams!$A$5:$A$23,0),MATCH(Drivers!K$3,DriversGams!$A$5:$AN$5,0))</f>
        <v>30.484415949333048</v>
      </c>
      <c r="L56" s="10">
        <f>INDEX(DriversGams!$A$5:$AN$23,MATCH(Drivers!$A56,DriversGams!$A$5:$A$23,0),MATCH(Drivers!L$3,DriversGams!$A$5:$AN$5,0))</f>
        <v>31.715305188613026</v>
      </c>
      <c r="M56" s="10">
        <f>INDEX(DriversGams!$A$5:$AN$23,MATCH(Drivers!$A56,DriversGams!$A$5:$A$23,0),MATCH(Drivers!M$3,DriversGams!$A$5:$AN$5,0))</f>
        <v>33.102158131950326</v>
      </c>
      <c r="N56" s="10">
        <f>INDEX(DriversGams!$A$5:$AN$23,MATCH(Drivers!$A56,DriversGams!$A$5:$A$23,0),MATCH(Drivers!N$3,DriversGams!$A$5:$AN$5,0))</f>
        <v>34.659094884560439</v>
      </c>
      <c r="O56" s="10">
        <f>INDEX(DriversGams!$A$5:$AN$23,MATCH(Drivers!$A56,DriversGams!$A$5:$A$23,0),MATCH(Drivers!O$3,DriversGams!$A$5:$AN$5,0))</f>
        <v>36.39067919900473</v>
      </c>
      <c r="P56" s="10">
        <f>INDEX(DriversGams!$A$5:$AN$23,MATCH(Drivers!$A56,DriversGams!$A$5:$A$23,0),MATCH(Drivers!P$3,DriversGams!$A$5:$AN$5,0))</f>
        <v>38.204349046553844</v>
      </c>
      <c r="Q56" s="10">
        <f>INDEX(DriversGams!$A$5:$AN$23,MATCH(Drivers!$A56,DriversGams!$A$5:$A$23,0),MATCH(Drivers!Q$3,DriversGams!$A$5:$AN$5,0))</f>
        <v>40.242752534029108</v>
      </c>
      <c r="R56" s="10">
        <f>INDEX(DriversGams!$A$5:$AN$23,MATCH(Drivers!$A56,DriversGams!$A$5:$A$23,0),MATCH(Drivers!R$3,DriversGams!$A$5:$AN$5,0))</f>
        <v>42.352494691702802</v>
      </c>
      <c r="S56" s="10">
        <f>INDEX(DriversGams!$A$5:$AN$23,MATCH(Drivers!$A56,DriversGams!$A$5:$A$23,0),MATCH(Drivers!S$3,DriversGams!$A$5:$AN$5,0))</f>
        <v>44.62959349611431</v>
      </c>
      <c r="T56" s="10">
        <f>INDEX(DriversGams!$A$5:$AN$23,MATCH(Drivers!$A56,DriversGams!$A$5:$A$23,0),MATCH(Drivers!T$3,DriversGams!$A$5:$AN$5,0))</f>
        <v>47.059568403454492</v>
      </c>
      <c r="U56" s="10">
        <f>INDEX(DriversGams!$A$5:$AN$23,MATCH(Drivers!$A56,DriversGams!$A$5:$A$23,0),MATCH(Drivers!U$3,DriversGams!$A$5:$AN$5,0))</f>
        <v>49.336141685836502</v>
      </c>
      <c r="V56" s="10">
        <f>INDEX(DriversGams!$A$5:$AN$23,MATCH(Drivers!$A56,DriversGams!$A$5:$A$23,0),MATCH(Drivers!V$3,DriversGams!$A$5:$AN$5,0))</f>
        <v>52.129708803872987</v>
      </c>
      <c r="W56" s="10">
        <f>INDEX(DriversGams!$A$5:$AN$23,MATCH(Drivers!$A56,DriversGams!$A$5:$A$23,0),MATCH(Drivers!W$3,DriversGams!$A$5:$AN$5,0))</f>
        <v>55.076493025987219</v>
      </c>
      <c r="X56" s="10">
        <f>INDEX(DriversGams!$A$5:$AN$23,MATCH(Drivers!$A56,DriversGams!$A$5:$A$23,0),MATCH(Drivers!X$3,DriversGams!$A$5:$AN$5,0))</f>
        <v>58.127939356488781</v>
      </c>
      <c r="Y56" s="10">
        <f>INDEX(DriversGams!$A$5:$AN$23,MATCH(Drivers!$A56,DriversGams!$A$5:$A$23,0),MATCH(Drivers!Y$3,DriversGams!$A$5:$AN$5,0))</f>
        <v>61.165718763166645</v>
      </c>
      <c r="Z56" s="10">
        <f>INDEX(DriversGams!$A$5:$AN$23,MATCH(Drivers!$A56,DriversGams!$A$5:$A$23,0),MATCH(Drivers!Z$3,DriversGams!$A$5:$AN$5,0))</f>
        <v>64.743710634723442</v>
      </c>
      <c r="AA56" s="10">
        <f>INDEX(DriversGams!$A$5:$AN$23,MATCH(Drivers!$A56,DriversGams!$A$5:$A$23,0),MATCH(Drivers!AA$3,DriversGams!$A$5:$AN$5,0))</f>
        <v>68.410556921662561</v>
      </c>
      <c r="AB56" s="10">
        <f>INDEX(DriversGams!$A$5:$AN$23,MATCH(Drivers!$A56,DriversGams!$A$5:$A$23,0),MATCH(Drivers!AB$3,DriversGams!$A$5:$AN$5,0))</f>
        <v>72.216463325601225</v>
      </c>
      <c r="AC56" s="10">
        <f>INDEX(DriversGams!$A$5:$AN$23,MATCH(Drivers!$A56,DriversGams!$A$5:$A$23,0),MATCH(Drivers!AC$3,DriversGams!$A$5:$AN$5,0))</f>
        <v>76.013255310377787</v>
      </c>
      <c r="AD56" s="10">
        <f>INDEX(DriversGams!$A$5:$AN$23,MATCH(Drivers!$A56,DriversGams!$A$5:$A$23,0),MATCH(Drivers!AD$3,DriversGams!$A$5:$AN$5,0))</f>
        <v>79.97978335920952</v>
      </c>
      <c r="AE56" s="10">
        <f>INDEX(DriversGams!$A$5:$AN$23,MATCH(Drivers!$A56,DriversGams!$A$5:$A$23,0),MATCH(Drivers!AE$3,DriversGams!$A$5:$AN$5,0))</f>
        <v>84.167229780771748</v>
      </c>
      <c r="AF56" s="10">
        <f>INDEX(DriversGams!$A$5:$AN$23,MATCH(Drivers!$A56,DriversGams!$A$5:$A$23,0),MATCH(Drivers!AF$3,DriversGams!$A$5:$AN$5,0))</f>
        <v>109.17954792194922</v>
      </c>
      <c r="AG56" s="10">
        <f>INDEX(DriversGams!$A$5:$AN$23,MATCH(Drivers!$A56,DriversGams!$A$5:$A$23,0),MATCH(Drivers!AG$3,DriversGams!$A$5:$AN$5,0))</f>
        <v>137.69966432544891</v>
      </c>
      <c r="AH56" s="126"/>
      <c r="AI56" s="126"/>
      <c r="AJ56" s="126"/>
      <c r="AK56" s="126"/>
      <c r="AL56" s="126"/>
      <c r="AM56" s="126"/>
      <c r="AO56" s="338">
        <f t="shared" si="86"/>
        <v>15</v>
      </c>
    </row>
    <row r="57" spans="1:41" s="338" customFormat="1">
      <c r="A57" s="134" t="s">
        <v>596</v>
      </c>
      <c r="B57" s="338">
        <f t="shared" si="85"/>
        <v>16</v>
      </c>
      <c r="C57" s="331">
        <v>1.1351531206547518</v>
      </c>
      <c r="D57" s="10">
        <f>INDEX(DriversGams!$A$5:$AN$23,MATCH(Drivers!$A57,DriversGams!$A$5:$A$23,0),MATCH(Drivers!D$3,DriversGams!$A$5:$AN$5,0))</f>
        <v>1.1581435930988344</v>
      </c>
      <c r="E57" s="10">
        <f>INDEX(DriversGams!$A$5:$AN$23,MATCH(Drivers!$A57,DriversGams!$A$5:$A$23,0),MATCH(Drivers!E$3,DriversGams!$A$5:$AN$5,0))</f>
        <v>1.1466897745006903</v>
      </c>
      <c r="F57" s="10">
        <f>INDEX(DriversGams!$A$5:$AN$23,MATCH(Drivers!$A57,DriversGams!$A$5:$A$23,0),MATCH(Drivers!F$3,DriversGams!$A$5:$AN$5,0))</f>
        <v>1.1404041486992398</v>
      </c>
      <c r="G57" s="10">
        <f>INDEX(DriversGams!$A$5:$AN$23,MATCH(Drivers!$A57,DriversGams!$A$5:$A$23,0),MATCH(Drivers!G$3,DriversGams!$A$5:$AN$5,0))</f>
        <v>1.158082223645845</v>
      </c>
      <c r="H57" s="10">
        <f>INDEX(DriversGams!$A$5:$AN$23,MATCH(Drivers!$A57,DriversGams!$A$5:$A$23,0),MATCH(Drivers!H$3,DriversGams!$A$5:$AN$5,0))</f>
        <v>1.1690400702239674</v>
      </c>
      <c r="I57" s="10">
        <f>INDEX(DriversGams!$A$5:$AN$23,MATCH(Drivers!$A57,DriversGams!$A$5:$A$23,0),MATCH(Drivers!I$3,DriversGams!$A$5:$AN$5,0))</f>
        <v>1.1399086849076014</v>
      </c>
      <c r="J57" s="10">
        <f>INDEX(DriversGams!$A$5:$AN$23,MATCH(Drivers!$A57,DriversGams!$A$5:$A$23,0),MATCH(Drivers!J$3,DriversGams!$A$5:$AN$5,0))</f>
        <v>1.1221637155461712</v>
      </c>
      <c r="K57" s="10">
        <f>INDEX(DriversGams!$A$5:$AN$23,MATCH(Drivers!$A57,DriversGams!$A$5:$A$23,0),MATCH(Drivers!K$3,DriversGams!$A$5:$AN$5,0))</f>
        <v>1.0096297710191362</v>
      </c>
      <c r="L57" s="10">
        <f>INDEX(DriversGams!$A$5:$AN$23,MATCH(Drivers!$A57,DriversGams!$A$5:$A$23,0),MATCH(Drivers!L$3,DriversGams!$A$5:$AN$5,0))</f>
        <v>1.0106492879161646</v>
      </c>
      <c r="M57" s="10">
        <f>INDEX(DriversGams!$A$5:$AN$23,MATCH(Drivers!$A57,DriversGams!$A$5:$A$23,0),MATCH(Drivers!M$3,DriversGams!$A$5:$AN$5,0))</f>
        <v>1.0302529717942739</v>
      </c>
      <c r="N57" s="10">
        <f>INDEX(DriversGams!$A$5:$AN$23,MATCH(Drivers!$A57,DriversGams!$A$5:$A$23,0),MATCH(Drivers!N$3,DriversGams!$A$5:$AN$5,0))</f>
        <v>1.0620864750479064</v>
      </c>
      <c r="O57" s="10">
        <f>INDEX(DriversGams!$A$5:$AN$23,MATCH(Drivers!$A57,DriversGams!$A$5:$A$23,0),MATCH(Drivers!O$3,DriversGams!$A$5:$AN$5,0))</f>
        <v>1.0998118752864574</v>
      </c>
      <c r="P57" s="10">
        <f>INDEX(DriversGams!$A$5:$AN$23,MATCH(Drivers!$A57,DriversGams!$A$5:$A$23,0),MATCH(Drivers!P$3,DriversGams!$A$5:$AN$5,0))</f>
        <v>1.1401523216394778</v>
      </c>
      <c r="Q57" s="10">
        <f>INDEX(DriversGams!$A$5:$AN$23,MATCH(Drivers!$A57,DriversGams!$A$5:$A$23,0),MATCH(Drivers!Q$3,DriversGams!$A$5:$AN$5,0))</f>
        <v>1.1865134987803243</v>
      </c>
      <c r="R57" s="10">
        <f>INDEX(DriversGams!$A$5:$AN$23,MATCH(Drivers!$A57,DriversGams!$A$5:$A$23,0),MATCH(Drivers!R$3,DriversGams!$A$5:$AN$5,0))</f>
        <v>1.2382503590157974</v>
      </c>
      <c r="S57" s="10">
        <f>INDEX(DriversGams!$A$5:$AN$23,MATCH(Drivers!$A57,DriversGams!$A$5:$A$23,0),MATCH(Drivers!S$3,DriversGams!$A$5:$AN$5,0))</f>
        <v>1.2967453569894312</v>
      </c>
      <c r="T57" s="10">
        <f>INDEX(DriversGams!$A$5:$AN$23,MATCH(Drivers!$A57,DriversGams!$A$5:$A$23,0),MATCH(Drivers!T$3,DriversGams!$A$5:$AN$5,0))</f>
        <v>1.3581112576656127</v>
      </c>
      <c r="U57" s="10">
        <f>INDEX(DriversGams!$A$5:$AN$23,MATCH(Drivers!$A57,DriversGams!$A$5:$A$23,0),MATCH(Drivers!U$3,DriversGams!$A$5:$AN$5,0))</f>
        <v>1.393039840277065</v>
      </c>
      <c r="V57" s="10">
        <f>INDEX(DriversGams!$A$5:$AN$23,MATCH(Drivers!$A57,DriversGams!$A$5:$A$23,0),MATCH(Drivers!V$3,DriversGams!$A$5:$AN$5,0))</f>
        <v>1.4236346020613615</v>
      </c>
      <c r="W57" s="10">
        <f>INDEX(DriversGams!$A$5:$AN$23,MATCH(Drivers!$A57,DriversGams!$A$5:$A$23,0),MATCH(Drivers!W$3,DriversGams!$A$5:$AN$5,0))</f>
        <v>1.4718356260352397</v>
      </c>
      <c r="X57" s="10">
        <f>INDEX(DriversGams!$A$5:$AN$23,MATCH(Drivers!$A57,DriversGams!$A$5:$A$23,0),MATCH(Drivers!X$3,DriversGams!$A$5:$AN$5,0))</f>
        <v>1.526684010572724</v>
      </c>
      <c r="Y57" s="10">
        <f>INDEX(DriversGams!$A$5:$AN$23,MATCH(Drivers!$A57,DriversGams!$A$5:$A$23,0),MATCH(Drivers!Y$3,DriversGams!$A$5:$AN$5,0))</f>
        <v>1.5859732062358185</v>
      </c>
      <c r="Z57" s="10">
        <f>INDEX(DriversGams!$A$5:$AN$23,MATCH(Drivers!$A57,DriversGams!$A$5:$A$23,0),MATCH(Drivers!Z$3,DriversGams!$A$5:$AN$5,0))</f>
        <v>1.6511561750372967</v>
      </c>
      <c r="AA57" s="10">
        <f>INDEX(DriversGams!$A$5:$AN$23,MATCH(Drivers!$A57,DriversGams!$A$5:$A$23,0),MATCH(Drivers!AA$3,DriversGams!$A$5:$AN$5,0))</f>
        <v>1.7137906368871529</v>
      </c>
      <c r="AB57" s="10">
        <f>INDEX(DriversGams!$A$5:$AN$23,MATCH(Drivers!$A57,DriversGams!$A$5:$A$23,0),MATCH(Drivers!AB$3,DriversGams!$A$5:$AN$5,0))</f>
        <v>1.7838412023456807</v>
      </c>
      <c r="AC57" s="10">
        <f>INDEX(DriversGams!$A$5:$AN$23,MATCH(Drivers!$A57,DriversGams!$A$5:$A$23,0),MATCH(Drivers!AC$3,DriversGams!$A$5:$AN$5,0))</f>
        <v>1.852760928004608</v>
      </c>
      <c r="AD57" s="10">
        <f>INDEX(DriversGams!$A$5:$AN$23,MATCH(Drivers!$A57,DriversGams!$A$5:$A$23,0),MATCH(Drivers!AD$3,DriversGams!$A$5:$AN$5,0))</f>
        <v>1.9252952057275514</v>
      </c>
      <c r="AE57" s="10">
        <f>INDEX(DriversGams!$A$5:$AN$23,MATCH(Drivers!$A57,DriversGams!$A$5:$A$23,0),MATCH(Drivers!AE$3,DriversGams!$A$5:$AN$5,0))</f>
        <v>2.0011863599229782</v>
      </c>
      <c r="AF57" s="10">
        <f>INDEX(DriversGams!$A$5:$AN$23,MATCH(Drivers!$A57,DriversGams!$A$5:$A$23,0),MATCH(Drivers!AF$3,DriversGams!$A$5:$AN$5,0))</f>
        <v>2.4496740414846618</v>
      </c>
      <c r="AG57" s="10">
        <f>INDEX(DriversGams!$A$5:$AN$23,MATCH(Drivers!$A57,DriversGams!$A$5:$A$23,0),MATCH(Drivers!AG$3,DriversGams!$A$5:$AN$5,0))</f>
        <v>3.0523121519180978</v>
      </c>
      <c r="AH57" s="126"/>
      <c r="AI57" s="126"/>
      <c r="AJ57" s="126"/>
      <c r="AK57" s="126"/>
      <c r="AL57" s="126"/>
      <c r="AM57" s="126"/>
      <c r="AO57" s="338">
        <f t="shared" si="86"/>
        <v>16</v>
      </c>
    </row>
    <row r="58" spans="1:41" s="338" customFormat="1">
      <c r="A58" s="134" t="s">
        <v>600</v>
      </c>
      <c r="B58" s="338">
        <f t="shared" si="85"/>
        <v>17</v>
      </c>
      <c r="C58" s="331">
        <v>66.42036548153871</v>
      </c>
      <c r="D58" s="10">
        <f>INDEX(DriversGams!$A$5:$AN$23,MATCH(Drivers!$A58,DriversGams!$A$5:$A$23,0),MATCH(Drivers!D$3,DriversGams!$A$5:$AN$5,0))</f>
        <v>67.405879473318592</v>
      </c>
      <c r="E58" s="10">
        <f>INDEX(DriversGams!$A$5:$AN$23,MATCH(Drivers!$A58,DriversGams!$A$5:$A$23,0),MATCH(Drivers!E$3,DriversGams!$A$5:$AN$5,0))</f>
        <v>64.422201326406551</v>
      </c>
      <c r="F58" s="10">
        <f>INDEX(DriversGams!$A$5:$AN$23,MATCH(Drivers!$A58,DriversGams!$A$5:$A$23,0),MATCH(Drivers!F$3,DriversGams!$A$5:$AN$5,0))</f>
        <v>61.447467786677329</v>
      </c>
      <c r="G58" s="10">
        <f>INDEX(DriversGams!$A$5:$AN$23,MATCH(Drivers!$A58,DriversGams!$A$5:$A$23,0),MATCH(Drivers!G$3,DriversGams!$A$5:$AN$5,0))</f>
        <v>61.142610702865952</v>
      </c>
      <c r="H58" s="10">
        <f>INDEX(DriversGams!$A$5:$AN$23,MATCH(Drivers!$A58,DriversGams!$A$5:$A$23,0),MATCH(Drivers!H$3,DriversGams!$A$5:$AN$5,0))</f>
        <v>61.268075561889901</v>
      </c>
      <c r="I58" s="10">
        <f>INDEX(DriversGams!$A$5:$AN$23,MATCH(Drivers!$A58,DriversGams!$A$5:$A$23,0),MATCH(Drivers!I$3,DriversGams!$A$5:$AN$5,0))</f>
        <v>60.912459713234377</v>
      </c>
      <c r="J58" s="10">
        <f>INDEX(DriversGams!$A$5:$AN$23,MATCH(Drivers!$A58,DriversGams!$A$5:$A$23,0),MATCH(Drivers!J$3,DriversGams!$A$5:$AN$5,0))</f>
        <v>60.468556482084786</v>
      </c>
      <c r="K58" s="10">
        <f>INDEX(DriversGams!$A$5:$AN$23,MATCH(Drivers!$A58,DriversGams!$A$5:$A$23,0),MATCH(Drivers!K$3,DriversGams!$A$5:$AN$5,0))</f>
        <v>58.515171706745178</v>
      </c>
      <c r="L58" s="10">
        <f>INDEX(DriversGams!$A$5:$AN$23,MATCH(Drivers!$A58,DriversGams!$A$5:$A$23,0),MATCH(Drivers!L$3,DriversGams!$A$5:$AN$5,0))</f>
        <v>58.254298294534607</v>
      </c>
      <c r="M58" s="10">
        <f>INDEX(DriversGams!$A$5:$AN$23,MATCH(Drivers!$A58,DriversGams!$A$5:$A$23,0),MATCH(Drivers!M$3,DriversGams!$A$5:$AN$5,0))</f>
        <v>58.043794250560346</v>
      </c>
      <c r="N58" s="10">
        <f>INDEX(DriversGams!$A$5:$AN$23,MATCH(Drivers!$A58,DriversGams!$A$5:$A$23,0),MATCH(Drivers!N$3,DriversGams!$A$5:$AN$5,0))</f>
        <v>58.268510979649157</v>
      </c>
      <c r="O58" s="10">
        <f>INDEX(DriversGams!$A$5:$AN$23,MATCH(Drivers!$A58,DriversGams!$A$5:$A$23,0),MATCH(Drivers!O$3,DriversGams!$A$5:$AN$5,0))</f>
        <v>58.634403368923351</v>
      </c>
      <c r="P58" s="10">
        <f>INDEX(DriversGams!$A$5:$AN$23,MATCH(Drivers!$A58,DriversGams!$A$5:$A$23,0),MATCH(Drivers!P$3,DriversGams!$A$5:$AN$5,0))</f>
        <v>59.586142400355428</v>
      </c>
      <c r="Q58" s="10">
        <f>INDEX(DriversGams!$A$5:$AN$23,MATCH(Drivers!$A58,DriversGams!$A$5:$A$23,0),MATCH(Drivers!Q$3,DriversGams!$A$5:$AN$5,0))</f>
        <v>59.40613908356876</v>
      </c>
      <c r="R58" s="10">
        <f>INDEX(DriversGams!$A$5:$AN$23,MATCH(Drivers!$A58,DriversGams!$A$5:$A$23,0),MATCH(Drivers!R$3,DriversGams!$A$5:$AN$5,0))</f>
        <v>59.339774819221503</v>
      </c>
      <c r="S58" s="10">
        <f>INDEX(DriversGams!$A$5:$AN$23,MATCH(Drivers!$A58,DriversGams!$A$5:$A$23,0),MATCH(Drivers!S$3,DriversGams!$A$5:$AN$5,0))</f>
        <v>59.635924277118903</v>
      </c>
      <c r="T58" s="10">
        <f>INDEX(DriversGams!$A$5:$AN$23,MATCH(Drivers!$A58,DriversGams!$A$5:$A$23,0),MATCH(Drivers!T$3,DriversGams!$A$5:$AN$5,0))</f>
        <v>59.8003165606208</v>
      </c>
      <c r="U58" s="10">
        <f>INDEX(DriversGams!$A$5:$AN$23,MATCH(Drivers!$A58,DriversGams!$A$5:$A$23,0),MATCH(Drivers!U$3,DriversGams!$A$5:$AN$5,0))</f>
        <v>60.405002253054697</v>
      </c>
      <c r="V58" s="10">
        <f>INDEX(DriversGams!$A$5:$AN$23,MATCH(Drivers!$A58,DriversGams!$A$5:$A$23,0),MATCH(Drivers!V$3,DriversGams!$A$5:$AN$5,0))</f>
        <v>59.924771535685913</v>
      </c>
      <c r="W58" s="10">
        <f>INDEX(DriversGams!$A$5:$AN$23,MATCH(Drivers!$A58,DriversGams!$A$5:$A$23,0),MATCH(Drivers!W$3,DriversGams!$A$5:$AN$5,0))</f>
        <v>59.693945281900724</v>
      </c>
      <c r="X58" s="10">
        <f>INDEX(DriversGams!$A$5:$AN$23,MATCH(Drivers!$A58,DriversGams!$A$5:$A$23,0),MATCH(Drivers!X$3,DriversGams!$A$5:$AN$5,0))</f>
        <v>59.46503786708054</v>
      </c>
      <c r="Y58" s="10">
        <f>INDEX(DriversGams!$A$5:$AN$23,MATCH(Drivers!$A58,DriversGams!$A$5:$A$23,0),MATCH(Drivers!Y$3,DriversGams!$A$5:$AN$5,0))</f>
        <v>59.155273715860652</v>
      </c>
      <c r="Z58" s="10">
        <f>INDEX(DriversGams!$A$5:$AN$23,MATCH(Drivers!$A58,DriversGams!$A$5:$A$23,0),MATCH(Drivers!Z$3,DriversGams!$A$5:$AN$5,0))</f>
        <v>58.166723000493484</v>
      </c>
      <c r="AA58" s="10">
        <f>INDEX(DriversGams!$A$5:$AN$23,MATCH(Drivers!$A58,DriversGams!$A$5:$A$23,0),MATCH(Drivers!AA$3,DriversGams!$A$5:$AN$5,0))</f>
        <v>57.190274817346371</v>
      </c>
      <c r="AB58" s="10">
        <f>INDEX(DriversGams!$A$5:$AN$23,MATCH(Drivers!$A58,DriversGams!$A$5:$A$23,0),MATCH(Drivers!AB$3,DriversGams!$A$5:$AN$5,0))</f>
        <v>56.213826634199208</v>
      </c>
      <c r="AC58" s="10">
        <f>INDEX(DriversGams!$A$5:$AN$23,MATCH(Drivers!$A58,DriversGams!$A$5:$A$23,0),MATCH(Drivers!AC$3,DriversGams!$A$5:$AN$5,0))</f>
        <v>55.237378451052074</v>
      </c>
      <c r="AD58" s="10">
        <f>INDEX(DriversGams!$A$5:$AN$23,MATCH(Drivers!$A58,DriversGams!$A$5:$A$23,0),MATCH(Drivers!AD$3,DriversGams!$A$5:$AN$5,0))</f>
        <v>54.260930267904918</v>
      </c>
      <c r="AE58" s="10">
        <f>INDEX(DriversGams!$A$5:$AN$23,MATCH(Drivers!$A58,DriversGams!$A$5:$A$23,0),MATCH(Drivers!AE$3,DriversGams!$A$5:$AN$5,0))</f>
        <v>53.284482084757748</v>
      </c>
      <c r="AF58" s="10">
        <f>INDEX(DriversGams!$A$5:$AN$23,MATCH(Drivers!$A58,DriversGams!$A$5:$A$23,0),MATCH(Drivers!AF$3,DriversGams!$A$5:$AN$5,0))</f>
        <v>50.483535744499683</v>
      </c>
      <c r="AG58" s="10">
        <f>INDEX(DriversGams!$A$5:$AN$23,MATCH(Drivers!$A58,DriversGams!$A$5:$A$23,0),MATCH(Drivers!AG$3,DriversGams!$A$5:$AN$5,0))</f>
        <v>47.682589404241561</v>
      </c>
      <c r="AH58" s="126"/>
      <c r="AI58" s="126"/>
      <c r="AJ58" s="126"/>
      <c r="AK58" s="126"/>
      <c r="AL58" s="126"/>
      <c r="AM58" s="126"/>
    </row>
    <row r="59" spans="1:41" s="338" customFormat="1">
      <c r="A59" s="134" t="s">
        <v>528</v>
      </c>
      <c r="B59" s="338">
        <f t="shared" si="85"/>
        <v>18</v>
      </c>
      <c r="C59" s="331">
        <v>84.250557323845101</v>
      </c>
      <c r="D59" s="10">
        <f>INDEX(DriversGams!$A$5:$AN$23,MATCH(Drivers!$A59,DriversGams!$A$5:$A$23,0),MATCH(Drivers!D$3,DriversGams!$A$5:$AN$5,0))</f>
        <v>82.451215835678212</v>
      </c>
      <c r="E59" s="10">
        <f>INDEX(DriversGams!$A$5:$AN$23,MATCH(Drivers!$A59,DriversGams!$A$5:$A$23,0),MATCH(Drivers!E$3,DriversGams!$A$5:$AN$5,0))</f>
        <v>80.166243478069532</v>
      </c>
      <c r="F59" s="10">
        <f>INDEX(DriversGams!$A$5:$AN$23,MATCH(Drivers!$A59,DriversGams!$A$5:$A$23,0),MATCH(Drivers!F$3,DriversGams!$A$5:$AN$5,0))</f>
        <v>77.626015719858643</v>
      </c>
      <c r="G59" s="10">
        <f>INDEX(DriversGams!$A$5:$AN$23,MATCH(Drivers!$A59,DriversGams!$A$5:$A$23,0),MATCH(Drivers!G$3,DriversGams!$A$5:$AN$5,0))</f>
        <v>76.22541754695969</v>
      </c>
      <c r="H59" s="10">
        <f>INDEX(DriversGams!$A$5:$AN$23,MATCH(Drivers!$A59,DriversGams!$A$5:$A$23,0),MATCH(Drivers!H$3,DriversGams!$A$5:$AN$5,0))</f>
        <v>74.388929903020184</v>
      </c>
      <c r="I59" s="10">
        <f>INDEX(DriversGams!$A$5:$AN$23,MATCH(Drivers!$A59,DriversGams!$A$5:$A$23,0),MATCH(Drivers!I$3,DriversGams!$A$5:$AN$5,0))</f>
        <v>74.661627930767523</v>
      </c>
      <c r="J59" s="10">
        <f>INDEX(DriversGams!$A$5:$AN$23,MATCH(Drivers!$A59,DriversGams!$A$5:$A$23,0),MATCH(Drivers!J$3,DriversGams!$A$5:$AN$5,0))</f>
        <v>74.775428105381266</v>
      </c>
      <c r="K59" s="10">
        <f>INDEX(DriversGams!$A$5:$AN$23,MATCH(Drivers!$A59,DriversGams!$A$5:$A$23,0),MATCH(Drivers!K$3,DriversGams!$A$5:$AN$5,0))</f>
        <v>70.522195251866989</v>
      </c>
      <c r="L59" s="10">
        <f>INDEX(DriversGams!$A$5:$AN$23,MATCH(Drivers!$A59,DriversGams!$A$5:$A$23,0),MATCH(Drivers!L$3,DriversGams!$A$5:$AN$5,0))</f>
        <v>73.094492492143644</v>
      </c>
      <c r="M59" s="10">
        <f>INDEX(DriversGams!$A$5:$AN$23,MATCH(Drivers!$A59,DriversGams!$A$5:$A$23,0),MATCH(Drivers!M$3,DriversGams!$A$5:$AN$5,0))</f>
        <v>73.214968744367397</v>
      </c>
      <c r="N59" s="10">
        <f>INDEX(DriversGams!$A$5:$AN$23,MATCH(Drivers!$A59,DriversGams!$A$5:$A$23,0),MATCH(Drivers!N$3,DriversGams!$A$5:$AN$5,0))</f>
        <v>74.270210908090405</v>
      </c>
      <c r="O59" s="10">
        <f>INDEX(DriversGams!$A$5:$AN$23,MATCH(Drivers!$A59,DriversGams!$A$5:$A$23,0),MATCH(Drivers!O$3,DriversGams!$A$5:$AN$5,0))</f>
        <v>74.302275677412496</v>
      </c>
      <c r="P59" s="10">
        <f>INDEX(DriversGams!$A$5:$AN$23,MATCH(Drivers!$A59,DriversGams!$A$5:$A$23,0),MATCH(Drivers!P$3,DriversGams!$A$5:$AN$5,0))</f>
        <v>72.946609309788073</v>
      </c>
      <c r="Q59" s="10">
        <f>INDEX(DriversGams!$A$5:$AN$23,MATCH(Drivers!$A59,DriversGams!$A$5:$A$23,0),MATCH(Drivers!Q$3,DriversGams!$A$5:$AN$5,0))</f>
        <v>74.534785437994302</v>
      </c>
      <c r="R59" s="10">
        <f>INDEX(DriversGams!$A$5:$AN$23,MATCH(Drivers!$A59,DriversGams!$A$5:$A$23,0),MATCH(Drivers!R$3,DriversGams!$A$5:$AN$5,0))</f>
        <v>76.951376992110681</v>
      </c>
      <c r="S59" s="10">
        <f>INDEX(DriversGams!$A$5:$AN$23,MATCH(Drivers!$A59,DriversGams!$A$5:$A$23,0),MATCH(Drivers!S$3,DriversGams!$A$5:$AN$5,0))</f>
        <v>77.843900415805521</v>
      </c>
      <c r="T59" s="10">
        <f>INDEX(DriversGams!$A$5:$AN$23,MATCH(Drivers!$A59,DriversGams!$A$5:$A$23,0),MATCH(Drivers!T$3,DriversGams!$A$5:$AN$5,0))</f>
        <v>79.070428521803947</v>
      </c>
      <c r="U59" s="10">
        <f>INDEX(DriversGams!$A$5:$AN$23,MATCH(Drivers!$A59,DriversGams!$A$5:$A$23,0),MATCH(Drivers!U$3,DriversGams!$A$5:$AN$5,0))</f>
        <v>77.488568884480685</v>
      </c>
      <c r="V59" s="10">
        <f>INDEX(DriversGams!$A$5:$AN$23,MATCH(Drivers!$A59,DriversGams!$A$5:$A$23,0),MATCH(Drivers!V$3,DriversGams!$A$5:$AN$5,0))</f>
        <v>80.001746636610036</v>
      </c>
      <c r="W59" s="10">
        <f>INDEX(DriversGams!$A$5:$AN$23,MATCH(Drivers!$A59,DriversGams!$A$5:$A$23,0),MATCH(Drivers!W$3,DriversGams!$A$5:$AN$5,0))</f>
        <v>81.615727730669292</v>
      </c>
      <c r="X59" s="10">
        <f>INDEX(DriversGams!$A$5:$AN$23,MATCH(Drivers!$A59,DriversGams!$A$5:$A$23,0),MATCH(Drivers!X$3,DriversGams!$A$5:$AN$5,0))</f>
        <v>83.144940101381721</v>
      </c>
      <c r="Y59" s="10">
        <f>INDEX(DriversGams!$A$5:$AN$23,MATCH(Drivers!$A59,DriversGams!$A$5:$A$23,0),MATCH(Drivers!Y$3,DriversGams!$A$5:$AN$5,0))</f>
        <v>84.082398572093226</v>
      </c>
      <c r="Z59" s="10">
        <f>INDEX(DriversGams!$A$5:$AN$23,MATCH(Drivers!$A59,DriversGams!$A$5:$A$23,0),MATCH(Drivers!Z$3,DriversGams!$A$5:$AN$5,0))</f>
        <v>84.304176107667672</v>
      </c>
      <c r="AA59" s="10">
        <f>INDEX(DriversGams!$A$5:$AN$23,MATCH(Drivers!$A59,DriversGams!$A$5:$A$23,0),MATCH(Drivers!AA$3,DriversGams!$A$5:$AN$5,0))</f>
        <v>86.706826920772002</v>
      </c>
      <c r="AB59" s="10">
        <f>INDEX(DriversGams!$A$5:$AN$23,MATCH(Drivers!$A59,DriversGams!$A$5:$A$23,0),MATCH(Drivers!AB$3,DriversGams!$A$5:$AN$5,0))</f>
        <v>88.824376735822355</v>
      </c>
      <c r="AC59" s="10">
        <f>INDEX(DriversGams!$A$5:$AN$23,MATCH(Drivers!$A59,DriversGams!$A$5:$A$23,0),MATCH(Drivers!AC$3,DriversGams!$A$5:$AN$5,0))</f>
        <v>90.953130838479012</v>
      </c>
      <c r="AD59" s="10">
        <f>INDEX(DriversGams!$A$5:$AN$23,MATCH(Drivers!$A59,DriversGams!$A$5:$A$23,0),MATCH(Drivers!AD$3,DriversGams!$A$5:$AN$5,0))</f>
        <v>93.067176333633881</v>
      </c>
      <c r="AE59" s="10">
        <f>INDEX(DriversGams!$A$5:$AN$23,MATCH(Drivers!$A59,DriversGams!$A$5:$A$23,0),MATCH(Drivers!AE$3,DriversGams!$A$5:$AN$5,0))</f>
        <v>95.21376631469569</v>
      </c>
      <c r="AF59" s="10">
        <f>INDEX(DriversGams!$A$5:$AN$23,MATCH(Drivers!$A59,DriversGams!$A$5:$A$23,0),MATCH(Drivers!AF$3,DriversGams!$A$5:$AN$5,0))</f>
        <v>102.5096778995579</v>
      </c>
      <c r="AG59" s="10">
        <f>INDEX(DriversGams!$A$5:$AN$23,MATCH(Drivers!$A59,DriversGams!$A$5:$A$23,0),MATCH(Drivers!AG$3,DriversGams!$A$5:$AN$5,0))</f>
        <v>109.5489131273044</v>
      </c>
      <c r="AH59" s="126"/>
      <c r="AI59" s="126"/>
      <c r="AJ59" s="126"/>
      <c r="AK59" s="126"/>
      <c r="AL59" s="126"/>
      <c r="AM59" s="126"/>
    </row>
    <row r="60" spans="1:41" s="338" customFormat="1">
      <c r="A60" s="5" t="s">
        <v>5</v>
      </c>
      <c r="B60" s="338">
        <f t="shared" si="85"/>
        <v>19</v>
      </c>
      <c r="C60" s="339">
        <v>2893.5650000000564</v>
      </c>
      <c r="D60" s="127">
        <f t="shared" ref="D60:K60" si="87">SUM(D42:D59)</f>
        <v>2969.1963051355538</v>
      </c>
      <c r="E60" s="127">
        <f t="shared" si="87"/>
        <v>3022.2173632302474</v>
      </c>
      <c r="F60" s="127">
        <f t="shared" si="87"/>
        <v>3060.2316404410253</v>
      </c>
      <c r="G60" s="127">
        <f t="shared" si="87"/>
        <v>3082.8658989519636</v>
      </c>
      <c r="H60" s="127">
        <f t="shared" si="87"/>
        <v>3117.5115237718705</v>
      </c>
      <c r="I60" s="127">
        <f t="shared" si="87"/>
        <v>3154.0370052724184</v>
      </c>
      <c r="J60" s="127">
        <f t="shared" si="87"/>
        <v>3188.9317950294057</v>
      </c>
      <c r="K60" s="127">
        <f t="shared" si="87"/>
        <v>2947.9724944017844</v>
      </c>
      <c r="L60" s="127">
        <f t="shared" ref="L60:AG60" si="88">SUM(L42:L59)</f>
        <v>3013.0644015642411</v>
      </c>
      <c r="M60" s="127">
        <f t="shared" si="88"/>
        <v>3078.619936597479</v>
      </c>
      <c r="N60" s="127">
        <f t="shared" si="88"/>
        <v>3150.4502744619822</v>
      </c>
      <c r="O60" s="127">
        <f t="shared" si="88"/>
        <v>3226.7589366182142</v>
      </c>
      <c r="P60" s="127">
        <f t="shared" si="88"/>
        <v>3302.3054183034251</v>
      </c>
      <c r="Q60" s="127">
        <f t="shared" si="88"/>
        <v>3388.2134874456483</v>
      </c>
      <c r="R60" s="127">
        <f t="shared" si="88"/>
        <v>3477.0636219305306</v>
      </c>
      <c r="S60" s="127">
        <f t="shared" si="88"/>
        <v>3570.5497304660671</v>
      </c>
      <c r="T60" s="127">
        <f t="shared" si="88"/>
        <v>3667.2132212172432</v>
      </c>
      <c r="U60" s="127">
        <f t="shared" si="88"/>
        <v>3750.2393093448832</v>
      </c>
      <c r="V60" s="127">
        <f t="shared" si="88"/>
        <v>3853.1062514920195</v>
      </c>
      <c r="W60" s="127">
        <f t="shared" si="88"/>
        <v>3958.3620577783013</v>
      </c>
      <c r="X60" s="127">
        <f t="shared" si="88"/>
        <v>4066.3885852078047</v>
      </c>
      <c r="Y60" s="127">
        <f t="shared" si="88"/>
        <v>4170.5775300165442</v>
      </c>
      <c r="Z60" s="127">
        <f t="shared" si="88"/>
        <v>4280.811383688585</v>
      </c>
      <c r="AA60" s="127">
        <f t="shared" si="88"/>
        <v>4396.3278585237995</v>
      </c>
      <c r="AB60" s="127">
        <f t="shared" si="88"/>
        <v>4515.7084812671137</v>
      </c>
      <c r="AC60" s="127">
        <f t="shared" si="88"/>
        <v>4633.9462662855349</v>
      </c>
      <c r="AD60" s="127">
        <f t="shared" si="88"/>
        <v>4756.1305741637798</v>
      </c>
      <c r="AE60" s="127">
        <f t="shared" si="88"/>
        <v>4885.3563038061175</v>
      </c>
      <c r="AF60" s="127">
        <f t="shared" si="88"/>
        <v>5614.3193854496612</v>
      </c>
      <c r="AG60" s="127">
        <f t="shared" si="88"/>
        <v>6436.5461256221506</v>
      </c>
      <c r="AH60" s="127"/>
      <c r="AI60" s="127"/>
      <c r="AJ60" s="127"/>
      <c r="AK60" s="127"/>
      <c r="AL60" s="127"/>
      <c r="AM60" s="127"/>
    </row>
    <row r="61" spans="1:41" s="33" customFormat="1">
      <c r="A61" s="248" t="s">
        <v>279</v>
      </c>
      <c r="B61" s="338">
        <f t="shared" si="85"/>
        <v>20</v>
      </c>
      <c r="C61" s="333"/>
      <c r="D61" s="249">
        <v>2.6436281887547874E-2</v>
      </c>
      <c r="E61" s="249">
        <v>2.0165921894981231E-2</v>
      </c>
      <c r="F61" s="249">
        <v>1.407744097509589E-2</v>
      </c>
      <c r="G61" s="249">
        <v>8.9337784405372211E-3</v>
      </c>
      <c r="H61" s="249">
        <v>1.4827464040109817E-2</v>
      </c>
      <c r="I61" s="249">
        <v>1.2732896737821964E-2</v>
      </c>
      <c r="J61" s="249">
        <v>7.2531087632679014E-3</v>
      </c>
      <c r="K61" s="249">
        <v>-7.2462496857853442E-2</v>
      </c>
      <c r="L61" s="249">
        <f t="shared" ref="L61" si="89">L60/K60-1</f>
        <v>2.208022879659377E-2</v>
      </c>
      <c r="M61" s="249">
        <f t="shared" ref="M61" si="90">M60/L60-1</f>
        <v>2.1757097192879327E-2</v>
      </c>
      <c r="N61" s="249">
        <f t="shared" ref="N61" si="91">N60/M60-1</f>
        <v>2.3331992692768422E-2</v>
      </c>
      <c r="O61" s="249">
        <f t="shared" ref="O61" si="92">O60/N60-1</f>
        <v>2.4221509786966466E-2</v>
      </c>
      <c r="P61" s="249">
        <f t="shared" ref="P61" si="93">P60/O60-1</f>
        <v>2.3412496306397967E-2</v>
      </c>
      <c r="Q61" s="249">
        <f t="shared" ref="Q61" si="94">Q60/P60-1</f>
        <v>2.6014574141467239E-2</v>
      </c>
      <c r="R61" s="249">
        <f t="shared" ref="R61" si="95">R60/Q60-1</f>
        <v>2.6223298742567014E-2</v>
      </c>
      <c r="S61" s="249">
        <f t="shared" ref="S61" si="96">S60/R60-1</f>
        <v>2.6886510774752903E-2</v>
      </c>
      <c r="T61" s="249">
        <f t="shared" ref="T61" si="97">T60/S60-1</f>
        <v>2.7072439273534199E-2</v>
      </c>
      <c r="U61" s="249">
        <f t="shared" ref="U61" si="98">U60/T60-1</f>
        <v>2.2640103838871273E-2</v>
      </c>
      <c r="V61" s="249">
        <f t="shared" ref="V61" si="99">V60/U60-1</f>
        <v>2.7429434140592512E-2</v>
      </c>
      <c r="W61" s="249">
        <f t="shared" ref="W61" si="100">W60/V60-1</f>
        <v>2.7317130495823738E-2</v>
      </c>
      <c r="X61" s="249">
        <f t="shared" ref="X61" si="101">X60/W60-1</f>
        <v>2.7290714152139683E-2</v>
      </c>
      <c r="Y61" s="249">
        <f t="shared" ref="Y61" si="102">Y60/X60-1</f>
        <v>2.5621984378901841E-2</v>
      </c>
      <c r="Z61" s="249">
        <f t="shared" ref="Z61" si="103">Z60/Y60-1</f>
        <v>2.6431316257440107E-2</v>
      </c>
      <c r="AA61" s="249">
        <f t="shared" ref="AA61" si="104">AA60/Z60-1</f>
        <v>2.6984714924692454E-2</v>
      </c>
      <c r="AB61" s="249">
        <f t="shared" ref="AB61" si="105">AB60/AA60-1</f>
        <v>2.7154622354166325E-2</v>
      </c>
      <c r="AC61" s="249">
        <f t="shared" ref="AC61" si="106">AC60/AB60-1</f>
        <v>2.6183662100624172E-2</v>
      </c>
      <c r="AD61" s="249">
        <f t="shared" ref="AD61" si="107">AD60/AC60-1</f>
        <v>2.6367225871219535E-2</v>
      </c>
      <c r="AE61" s="249">
        <f t="shared" ref="AE61" si="108">AE60/AD60-1</f>
        <v>2.717034943159824E-2</v>
      </c>
      <c r="AF61" s="249">
        <f>(AF60/AE60)^(1/5)-1</f>
        <v>2.8206095770849871E-2</v>
      </c>
      <c r="AG61" s="249">
        <f>(AG60/AF60)^(1/5)-1</f>
        <v>2.7711353043142095E-2</v>
      </c>
      <c r="AH61" s="248"/>
      <c r="AI61" s="248"/>
      <c r="AJ61" s="248"/>
      <c r="AK61" s="248"/>
      <c r="AL61" s="248"/>
      <c r="AM61" s="248"/>
    </row>
    <row r="62" spans="1:41" s="338" customFormat="1">
      <c r="A62" s="338" t="s">
        <v>611</v>
      </c>
      <c r="B62" s="338">
        <f t="shared" si="85"/>
        <v>21</v>
      </c>
      <c r="C62" s="332">
        <v>52.325432882070082</v>
      </c>
      <c r="D62" s="126">
        <f>INDEX(DriversGams!$A$43:$AN$43,1,MATCH(Drivers!D$3,DriversGams!$A$42:$AN$42,0))/1000</f>
        <v>53.104386458423342</v>
      </c>
      <c r="E62" s="126">
        <f>INDEX(DriversGams!$A$43:$AN$43,1,MATCH(Drivers!E$3,DriversGams!$A$42:$AN$42,0))/1000</f>
        <v>53.912365691429272</v>
      </c>
      <c r="F62" s="126">
        <f>INDEX(DriversGams!$A$43:$AN$43,1,MATCH(Drivers!F$3,DriversGams!$A$42:$AN$42,0))/1000</f>
        <v>54.750491457321111</v>
      </c>
      <c r="G62" s="126">
        <f>INDEX(DriversGams!$A$43:$AN$43,1,MATCH(Drivers!G$3,DriversGams!$A$42:$AN$42,0))/1000</f>
        <v>55.619940469824826</v>
      </c>
      <c r="H62" s="126">
        <f>INDEX(DriversGams!$A$43:$AN$43,1,MATCH(Drivers!H$3,DriversGams!$A$42:$AN$42,0))/1000</f>
        <v>56.521948041648095</v>
      </c>
      <c r="I62" s="126">
        <f>INDEX(DriversGams!$A$43:$AN$43,1,MATCH(Drivers!I$3,DriversGams!$A$42:$AN$42,0))/1000</f>
        <v>57.436000617299655</v>
      </c>
      <c r="J62" s="126">
        <f>INDEX(DriversGams!$A$43:$AN$43,1,MATCH(Drivers!J$3,DriversGams!$A$42:$AN$42,0))/1000</f>
        <v>58.364834921819444</v>
      </c>
      <c r="K62" s="126">
        <f>INDEX(DriversGams!$A$43:$AN$43,1,MATCH(Drivers!K$3,DriversGams!$A$42:$AN$42,0))/1000</f>
        <v>59.308690000000006</v>
      </c>
      <c r="L62" s="126">
        <f>INDEX(DriversGams!$A$43:$AN$43,1,MATCH(Drivers!L$3,DriversGams!$A$42:$AN$42,0))/1000</f>
        <v>60.097873988486953</v>
      </c>
      <c r="M62" s="126">
        <f>INDEX(DriversGams!$A$43:$AN$43,1,MATCH(Drivers!M$3,DriversGams!$A$42:$AN$42,0))/1000</f>
        <v>60.841582286809363</v>
      </c>
      <c r="N62" s="126">
        <f>INDEX(DriversGams!$A$43:$AN$43,1,MATCH(Drivers!N$3,DriversGams!$A$42:$AN$42,0))/1000</f>
        <v>61.537824355929828</v>
      </c>
      <c r="O62" s="126">
        <f>INDEX(DriversGams!$A$43:$AN$43,1,MATCH(Drivers!O$3,DriversGams!$A$42:$AN$42,0))/1000</f>
        <v>62.221509701386374</v>
      </c>
      <c r="P62" s="126">
        <f>INDEX(DriversGams!$A$43:$AN$43,1,MATCH(Drivers!P$3,DriversGams!$A$42:$AN$42,0))/1000</f>
        <v>62.892038582526091</v>
      </c>
      <c r="Q62" s="126">
        <f>INDEX(DriversGams!$A$43:$AN$43,1,MATCH(Drivers!Q$3,DriversGams!$A$42:$AN$42,0))/1000</f>
        <v>63.548817559440096</v>
      </c>
      <c r="R62" s="126">
        <f>INDEX(DriversGams!$A$43:$AN$43,1,MATCH(Drivers!R$3,DriversGams!$A$42:$AN$42,0))/1000</f>
        <v>64.191260356766122</v>
      </c>
      <c r="S62" s="126">
        <f>INDEX(DriversGams!$A$43:$AN$43,1,MATCH(Drivers!S$3,DriversGams!$A$42:$AN$42,0))/1000</f>
        <v>64.818788725428234</v>
      </c>
      <c r="T62" s="126">
        <f>INDEX(DriversGams!$A$43:$AN$43,1,MATCH(Drivers!T$3,DriversGams!$A$42:$AN$42,0))/1000</f>
        <v>65.435442210930105</v>
      </c>
      <c r="U62" s="126">
        <f>INDEX(DriversGams!$A$43:$AN$43,1,MATCH(Drivers!U$3,DriversGams!$A$42:$AN$42,0))/1000</f>
        <v>66.040790860694059</v>
      </c>
      <c r="V62" s="126">
        <f>INDEX(DriversGams!$A$43:$AN$43,1,MATCH(Drivers!V$3,DriversGams!$A$42:$AN$42,0))/1000</f>
        <v>66.6344094187031</v>
      </c>
      <c r="W62" s="126">
        <f>INDEX(DriversGams!$A$43:$AN$43,1,MATCH(Drivers!W$3,DriversGams!$A$42:$AN$42,0))/1000</f>
        <v>67.215877817791679</v>
      </c>
      <c r="X62" s="126">
        <f>INDEX(DriversGams!$A$43:$AN$43,1,MATCH(Drivers!X$3,DriversGams!$A$42:$AN$42,0))/1000</f>
        <v>67.784781669940756</v>
      </c>
      <c r="Y62" s="126">
        <f>INDEX(DriversGams!$A$43:$AN$43,1,MATCH(Drivers!Y$3,DriversGams!$A$42:$AN$42,0))/1000</f>
        <v>68.342055626742408</v>
      </c>
      <c r="Z62" s="126">
        <f>INDEX(DriversGams!$A$43:$AN$43,1,MATCH(Drivers!Z$3,DriversGams!$A$42:$AN$42,0))/1000</f>
        <v>68.88733085860035</v>
      </c>
      <c r="AA62" s="126">
        <f>INDEX(DriversGams!$A$43:$AN$43,1,MATCH(Drivers!AA$3,DriversGams!$A$42:$AN$42,0))/1000</f>
        <v>69.420244147098416</v>
      </c>
      <c r="AB62" s="126">
        <f>INDEX(DriversGams!$A$43:$AN$43,1,MATCH(Drivers!AB$3,DriversGams!$A$42:$AN$42,0))/1000</f>
        <v>69.940438284968707</v>
      </c>
      <c r="AC62" s="126">
        <f>INDEX(DriversGams!$A$43:$AN$43,1,MATCH(Drivers!AC$3,DriversGams!$A$42:$AN$42,0))/1000</f>
        <v>70.447562472153166</v>
      </c>
      <c r="AD62" s="126">
        <f>INDEX(DriversGams!$A$43:$AN$43,1,MATCH(Drivers!AD$3,DriversGams!$A$42:$AN$42,0))/1000</f>
        <v>70.942722252264574</v>
      </c>
      <c r="AE62" s="126">
        <f>INDEX(DriversGams!$A$43:$AN$43,1,MATCH(Drivers!AE$3,DriversGams!$A$42:$AN$42,0))/1000</f>
        <v>71.425610993241406</v>
      </c>
      <c r="AF62" s="126">
        <f>INDEX(DriversGams!$A$43:$AN$43,1,MATCH(Drivers!AF$3,DriversGams!$A$42:$AN$42,0))/1000</f>
        <v>73.645872502840064</v>
      </c>
      <c r="AG62" s="126">
        <f>INDEX(DriversGams!$A$43:$AN$43,1,MATCH(Drivers!AG$3,DriversGams!$A$42:$AN$42,0))/1000</f>
        <v>75.517908954390194</v>
      </c>
      <c r="AH62" s="126"/>
      <c r="AI62" s="126"/>
      <c r="AJ62" s="126"/>
      <c r="AK62" s="126"/>
      <c r="AL62" s="126"/>
      <c r="AM62" s="126"/>
    </row>
    <row r="63" spans="1:41" s="338" customFormat="1">
      <c r="A63" s="338" t="s">
        <v>396</v>
      </c>
      <c r="B63" s="338">
        <f t="shared" si="85"/>
        <v>22</v>
      </c>
      <c r="C63" s="334">
        <v>0.5</v>
      </c>
      <c r="D63" s="24">
        <f>INDEX(DriversGams!$B61:$AN61,1,MATCH(Drivers!D$3,DriversGams!$B$60:$AN$60,0))</f>
        <v>0.49336729527378553</v>
      </c>
      <c r="E63" s="24">
        <f>INDEX(DriversGams!$B61:$AN61,1,MATCH(Drivers!E$3,DriversGams!$B$60:$AN$60,0))</f>
        <v>0.48171060529799387</v>
      </c>
      <c r="F63" s="24">
        <f>INDEX(DriversGams!$B61:$AN61,1,MATCH(Drivers!F$3,DriversGams!$B$60:$AN$60,0))</f>
        <v>0.47177045577230031</v>
      </c>
      <c r="G63" s="24">
        <f>INDEX(DriversGams!$B61:$AN61,1,MATCH(Drivers!G$3,DriversGams!$B$60:$AN$60,0))</f>
        <v>0.46545124966508494</v>
      </c>
      <c r="H63" s="24">
        <f>INDEX(DriversGams!$B61:$AN61,1,MATCH(Drivers!H$3,DriversGams!$B$60:$AN$60,0))</f>
        <v>0.45689360095251991</v>
      </c>
      <c r="I63" s="24">
        <f>INDEX(DriversGams!$B61:$AN61,1,MATCH(Drivers!I$3,DriversGams!$B$60:$AN$60,0))</f>
        <v>0.44754750385756908</v>
      </c>
      <c r="J63" s="24">
        <f>INDEX(DriversGams!$B61:$AN61,1,MATCH(Drivers!J$3,DriversGams!$B$60:$AN$60,0))</f>
        <v>0.44072180868643385</v>
      </c>
      <c r="K63" s="24">
        <f>INDEX(DriversGams!$B61:$AN61,1,MATCH(Drivers!K$3,DriversGams!$B$60:$AN$60,0))</f>
        <v>0.44932093804663059</v>
      </c>
      <c r="L63" s="24">
        <f>INDEX(DriversGams!$B61:$AN61,1,MATCH(Drivers!L$3,DriversGams!$B$60:$AN$60,0))</f>
        <v>0.46169849501877358</v>
      </c>
      <c r="M63" s="24">
        <f>INDEX(DriversGams!$B61:$AN61,1,MATCH(Drivers!M$3,DriversGams!$B$60:$AN$60,0))</f>
        <v>0.45433259997191139</v>
      </c>
      <c r="N63" s="24">
        <f>INDEX(DriversGams!$B61:$AN61,1,MATCH(Drivers!N$3,DriversGams!$B$60:$AN$60,0))</f>
        <v>0.44629995028076702</v>
      </c>
      <c r="O63" s="24">
        <f>INDEX(DriversGams!$B61:$AN61,1,MATCH(Drivers!O$3,DriversGams!$B$60:$AN$60,0))</f>
        <v>0.43729958443530692</v>
      </c>
      <c r="P63" s="24">
        <f>INDEX(DriversGams!$B61:$AN61,1,MATCH(Drivers!P$3,DriversGams!$B$60:$AN$60,0))</f>
        <v>0.4285071202854901</v>
      </c>
      <c r="Q63" s="24">
        <f>INDEX(DriversGams!$B61:$AN61,1,MATCH(Drivers!Q$3,DriversGams!$B$60:$AN$60,0))</f>
        <v>0.41982182143542912</v>
      </c>
      <c r="R63" s="24">
        <f>INDEX(DriversGams!$B61:$AN61,1,MATCH(Drivers!R$3,DriversGams!$B$60:$AN$60,0))</f>
        <v>0.41040577394913741</v>
      </c>
      <c r="S63" s="24">
        <f>INDEX(DriversGams!$B61:$AN61,1,MATCH(Drivers!S$3,DriversGams!$B$60:$AN$60,0))</f>
        <v>0.40123866012746023</v>
      </c>
      <c r="T63" s="24">
        <f>INDEX(DriversGams!$B61:$AN61,1,MATCH(Drivers!T$3,DriversGams!$B$60:$AN$60,0))</f>
        <v>0.3928484634610474</v>
      </c>
      <c r="U63" s="24">
        <f>INDEX(DriversGams!$B61:$AN61,1,MATCH(Drivers!U$3,DriversGams!$B$60:$AN$60,0))</f>
        <v>0.38649000151150309</v>
      </c>
      <c r="V63" s="24">
        <f>INDEX(DriversGams!$B61:$AN61,1,MATCH(Drivers!V$3,DriversGams!$B$60:$AN$60,0))</f>
        <v>0.38026445156883421</v>
      </c>
      <c r="W63" s="24">
        <f>INDEX(DriversGams!$B61:$AN61,1,MATCH(Drivers!W$3,DriversGams!$B$60:$AN$60,0))</f>
        <v>0.37289616395615627</v>
      </c>
      <c r="X63" s="24">
        <f>INDEX(DriversGams!$B61:$AN61,1,MATCH(Drivers!X$3,DriversGams!$B$60:$AN$60,0))</f>
        <v>0.36581070355972556</v>
      </c>
      <c r="Y63" s="24">
        <f>INDEX(DriversGams!$B61:$AN61,1,MATCH(Drivers!Y$3,DriversGams!$B$60:$AN$60,0))</f>
        <v>0.35937401047997142</v>
      </c>
      <c r="Z63" s="24">
        <f>INDEX(DriversGams!$B61:$AN61,1,MATCH(Drivers!Z$3,DriversGams!$B$60:$AN$60,0))</f>
        <v>0.35340136617795931</v>
      </c>
      <c r="AA63" s="24">
        <f>INDEX(DriversGams!$B61:$AN61,1,MATCH(Drivers!AA$3,DriversGams!$B$60:$AN$60,0))</f>
        <v>0.34736735925061146</v>
      </c>
      <c r="AB63" s="24">
        <f>INDEX(DriversGams!$B61:$AN61,1,MATCH(Drivers!AB$3,DriversGams!$B$60:$AN$60,0))</f>
        <v>0.3409826261458041</v>
      </c>
      <c r="AC63" s="24">
        <f>INDEX(DriversGams!$B61:$AN61,1,MATCH(Drivers!AC$3,DriversGams!$B$60:$AN$60,0))</f>
        <v>0.33500389317740054</v>
      </c>
      <c r="AD63" s="24">
        <f>INDEX(DriversGams!$B61:$AN61,1,MATCH(Drivers!AD$3,DriversGams!$B$60:$AN$60,0))</f>
        <v>0.32926681704835342</v>
      </c>
      <c r="AE63" s="24">
        <f>INDEX(DriversGams!$B61:$AN61,1,MATCH(Drivers!AE$3,DriversGams!$B$60:$AN$60,0))</f>
        <v>0.32344370295884878</v>
      </c>
      <c r="AF63" s="24">
        <f>INDEX(DriversGams!$B61:$AN61,1,MATCH(Drivers!AF$3,DriversGams!$B$60:$AN$60,0))</f>
        <v>0.29370002239714332</v>
      </c>
      <c r="AG63" s="24">
        <f>INDEX(DriversGams!$B61:$AN61,1,MATCH(Drivers!AG$3,DriversGams!$B$60:$AN$60,0))</f>
        <v>0.26944557548125397</v>
      </c>
      <c r="AH63" s="126"/>
      <c r="AI63" s="126"/>
      <c r="AJ63" s="126"/>
      <c r="AK63" s="126"/>
      <c r="AL63" s="126"/>
      <c r="AM63" s="126"/>
    </row>
    <row r="64" spans="1:41" s="338" customFormat="1">
      <c r="A64" s="338" t="s">
        <v>397</v>
      </c>
      <c r="B64" s="338">
        <f t="shared" si="85"/>
        <v>23</v>
      </c>
      <c r="C64" s="334">
        <v>0.3</v>
      </c>
      <c r="D64" s="24">
        <f>INDEX(DriversGams!$B62:$AN62,1,MATCH(Drivers!D$3,DriversGams!$B$60:$AN$60,0))</f>
        <v>0.29461251514394299</v>
      </c>
      <c r="E64" s="24">
        <f>INDEX(DriversGams!$B62:$AN62,1,MATCH(Drivers!E$3,DriversGams!$B$60:$AN$60,0))</f>
        <v>0.29662276780814034</v>
      </c>
      <c r="F64" s="24">
        <f>INDEX(DriversGams!$B62:$AN62,1,MATCH(Drivers!F$3,DriversGams!$B$60:$AN$60,0))</f>
        <v>0.2978666344466091</v>
      </c>
      <c r="G64" s="24">
        <f>INDEX(DriversGams!$B62:$AN62,1,MATCH(Drivers!G$3,DriversGams!$B$60:$AN$60,0))</f>
        <v>0.29849598777050546</v>
      </c>
      <c r="H64" s="24">
        <f>INDEX(DriversGams!$B62:$AN62,1,MATCH(Drivers!H$3,DriversGams!$B$60:$AN$60,0))</f>
        <v>0.29718257875521831</v>
      </c>
      <c r="I64" s="24">
        <f>INDEX(DriversGams!$B62:$AN62,1,MATCH(Drivers!I$3,DriversGams!$B$60:$AN$60,0))</f>
        <v>0.29753388727183516</v>
      </c>
      <c r="J64" s="24">
        <f>INDEX(DriversGams!$B62:$AN62,1,MATCH(Drivers!J$3,DriversGams!$B$60:$AN$60,0))</f>
        <v>0.29840116764803021</v>
      </c>
      <c r="K64" s="24">
        <f>INDEX(DriversGams!$B62:$AN62,1,MATCH(Drivers!K$3,DriversGams!$B$60:$AN$60,0))</f>
        <v>0.30777027456338796</v>
      </c>
      <c r="L64" s="24">
        <f>INDEX(DriversGams!$B62:$AN62,1,MATCH(Drivers!L$3,DriversGams!$B$60:$AN$60,0))</f>
        <v>0.29124236862318381</v>
      </c>
      <c r="M64" s="24">
        <f>INDEX(DriversGams!$B62:$AN62,1,MATCH(Drivers!M$3,DriversGams!$B$60:$AN$60,0))</f>
        <v>0.29240625388083158</v>
      </c>
      <c r="N64" s="24">
        <f>INDEX(DriversGams!$B62:$AN62,1,MATCH(Drivers!N$3,DriversGams!$B$60:$AN$60,0))</f>
        <v>0.29331568960873045</v>
      </c>
      <c r="O64" s="24">
        <f>INDEX(DriversGams!$B62:$AN62,1,MATCH(Drivers!O$3,DriversGams!$B$60:$AN$60,0))</f>
        <v>0.29457226083561588</v>
      </c>
      <c r="P64" s="24">
        <f>INDEX(DriversGams!$B62:$AN62,1,MATCH(Drivers!P$3,DriversGams!$B$60:$AN$60,0))</f>
        <v>0.29617543706924332</v>
      </c>
      <c r="Q64" s="24">
        <f>INDEX(DriversGams!$B62:$AN62,1,MATCH(Drivers!Q$3,DriversGams!$B$60:$AN$60,0))</f>
        <v>0.2974423087562828</v>
      </c>
      <c r="R64" s="24">
        <f>INDEX(DriversGams!$B62:$AN62,1,MATCH(Drivers!R$3,DriversGams!$B$60:$AN$60,0))</f>
        <v>0.29959432476552511</v>
      </c>
      <c r="S64" s="24">
        <f>INDEX(DriversGams!$B62:$AN62,1,MATCH(Drivers!S$3,DriversGams!$B$60:$AN$60,0))</f>
        <v>0.30166829026180969</v>
      </c>
      <c r="T64" s="24">
        <f>INDEX(DriversGams!$B62:$AN62,1,MATCH(Drivers!T$3,DriversGams!$B$60:$AN$60,0))</f>
        <v>0.30380186364507517</v>
      </c>
      <c r="U64" s="24">
        <f>INDEX(DriversGams!$B62:$AN62,1,MATCH(Drivers!U$3,DriversGams!$B$60:$AN$60,0))</f>
        <v>0.30626186294131208</v>
      </c>
      <c r="V64" s="24">
        <f>INDEX(DriversGams!$B62:$AN62,1,MATCH(Drivers!V$3,DriversGams!$B$60:$AN$60,0))</f>
        <v>0.30722027340126007</v>
      </c>
      <c r="W64" s="24">
        <f>INDEX(DriversGams!$B62:$AN62,1,MATCH(Drivers!W$3,DriversGams!$B$60:$AN$60,0))</f>
        <v>0.30957010725260409</v>
      </c>
      <c r="X64" s="24">
        <f>INDEX(DriversGams!$B62:$AN62,1,MATCH(Drivers!X$3,DriversGams!$B$60:$AN$60,0))</f>
        <v>0.31165861774611353</v>
      </c>
      <c r="Y64" s="24">
        <f>INDEX(DriversGams!$B62:$AN62,1,MATCH(Drivers!Y$3,DriversGams!$B$60:$AN$60,0))</f>
        <v>0.31395984116930353</v>
      </c>
      <c r="Z64" s="24">
        <f>INDEX(DriversGams!$B62:$AN62,1,MATCH(Drivers!Z$3,DriversGams!$B$60:$AN$60,0))</f>
        <v>0.31591742107071824</v>
      </c>
      <c r="AA64" s="24">
        <f>INDEX(DriversGams!$B62:$AN62,1,MATCH(Drivers!AA$3,DriversGams!$B$60:$AN$60,0))</f>
        <v>0.31791083718876156</v>
      </c>
      <c r="AB64" s="24">
        <f>INDEX(DriversGams!$B62:$AN62,1,MATCH(Drivers!AB$3,DriversGams!$B$60:$AN$60,0))</f>
        <v>0.32028674233284754</v>
      </c>
      <c r="AC64" s="24">
        <f>INDEX(DriversGams!$B62:$AN62,1,MATCH(Drivers!AC$3,DriversGams!$B$60:$AN$60,0))</f>
        <v>0.32272586557195093</v>
      </c>
      <c r="AD64" s="24">
        <f>INDEX(DriversGams!$B62:$AN62,1,MATCH(Drivers!AD$3,DriversGams!$B$60:$AN$60,0))</f>
        <v>0.32494110183628322</v>
      </c>
      <c r="AE64" s="24">
        <f>INDEX(DriversGams!$B62:$AN62,1,MATCH(Drivers!AE$3,DriversGams!$B$60:$AN$60,0))</f>
        <v>0.32707344508491171</v>
      </c>
      <c r="AF64" s="24">
        <f>INDEX(DriversGams!$B62:$AN62,1,MATCH(Drivers!AF$3,DriversGams!$B$60:$AN$60,0))</f>
        <v>0.33964707999850152</v>
      </c>
      <c r="AG64" s="24">
        <f>INDEX(DriversGams!$B62:$AN62,1,MATCH(Drivers!AG$3,DriversGams!$B$60:$AN$60,0))</f>
        <v>0.35361865313401414</v>
      </c>
      <c r="AH64" s="126"/>
      <c r="AI64" s="126"/>
      <c r="AJ64" s="126"/>
      <c r="AK64" s="126"/>
      <c r="AL64" s="126"/>
      <c r="AM64" s="126"/>
    </row>
    <row r="65" spans="1:39" s="338" customFormat="1">
      <c r="A65" s="338" t="s">
        <v>398</v>
      </c>
      <c r="B65" s="338">
        <f t="shared" si="85"/>
        <v>24</v>
      </c>
      <c r="C65" s="334">
        <v>0.19999999999999996</v>
      </c>
      <c r="D65" s="24">
        <f>INDEX(DriversGams!$B63:$AN63,1,MATCH(Drivers!D$3,DriversGams!$B$60:$AN$60,0))</f>
        <v>0.20644820051799312</v>
      </c>
      <c r="E65" s="24">
        <f>INDEX(DriversGams!$B63:$AN63,1,MATCH(Drivers!E$3,DriversGams!$B$60:$AN$60,0))</f>
        <v>0.21023399354719632</v>
      </c>
      <c r="F65" s="24">
        <f>INDEX(DriversGams!$B63:$AN63,1,MATCH(Drivers!F$3,DriversGams!$B$60:$AN$60,0))</f>
        <v>0.21278371680239092</v>
      </c>
      <c r="G65" s="24">
        <f>INDEX(DriversGams!$B63:$AN63,1,MATCH(Drivers!G$3,DriversGams!$B$60:$AN$60,0))</f>
        <v>0.21204411297191461</v>
      </c>
      <c r="H65" s="24">
        <f>INDEX(DriversGams!$B63:$AN63,1,MATCH(Drivers!H$3,DriversGams!$B$60:$AN$60,0))</f>
        <v>0.21520611914246437</v>
      </c>
      <c r="I65" s="24">
        <f>INDEX(DriversGams!$B63:$AN63,1,MATCH(Drivers!I$3,DriversGams!$B$60:$AN$60,0))</f>
        <v>0.21758126820122253</v>
      </c>
      <c r="J65" s="24">
        <f>INDEX(DriversGams!$B63:$AN63,1,MATCH(Drivers!J$3,DriversGams!$B$60:$AN$60,0))</f>
        <v>0.21696525179971546</v>
      </c>
      <c r="K65" s="24">
        <f>INDEX(DriversGams!$B63:$AN63,1,MATCH(Drivers!K$3,DriversGams!$B$60:$AN$60,0))</f>
        <v>0.19246748390404797</v>
      </c>
      <c r="L65" s="24">
        <f>INDEX(DriversGams!$B63:$AN63,1,MATCH(Drivers!L$3,DriversGams!$B$60:$AN$60,0))</f>
        <v>0.19447523142102022</v>
      </c>
      <c r="M65" s="24">
        <f>INDEX(DriversGams!$B63:$AN63,1,MATCH(Drivers!M$3,DriversGams!$B$60:$AN$60,0))</f>
        <v>0.19853947436388894</v>
      </c>
      <c r="N65" s="24">
        <f>INDEX(DriversGams!$B63:$AN63,1,MATCH(Drivers!N$3,DriversGams!$B$60:$AN$60,0))</f>
        <v>0.20352974517664227</v>
      </c>
      <c r="O65" s="24">
        <f>INDEX(DriversGams!$B63:$AN63,1,MATCH(Drivers!O$3,DriversGams!$B$60:$AN$60,0))</f>
        <v>0.20914540945630367</v>
      </c>
      <c r="P65" s="24">
        <f>INDEX(DriversGams!$B63:$AN63,1,MATCH(Drivers!P$3,DriversGams!$B$60:$AN$60,0))</f>
        <v>0.21421136898544324</v>
      </c>
      <c r="Q65" s="24">
        <f>INDEX(DriversGams!$B63:$AN63,1,MATCH(Drivers!Q$3,DriversGams!$B$60:$AN$60,0))</f>
        <v>0.22105830860577064</v>
      </c>
      <c r="R65" s="24">
        <f>INDEX(DriversGams!$B63:$AN63,1,MATCH(Drivers!R$3,DriversGams!$B$60:$AN$60,0))</f>
        <v>0.22775120039412966</v>
      </c>
      <c r="S65" s="24">
        <f>INDEX(DriversGams!$B63:$AN63,1,MATCH(Drivers!S$3,DriversGams!$B$60:$AN$60,0))</f>
        <v>0.23427355667310334</v>
      </c>
      <c r="T65" s="24">
        <f>INDEX(DriversGams!$B63:$AN63,1,MATCH(Drivers!T$3,DriversGams!$B$60:$AN$60,0))</f>
        <v>0.23995973534049977</v>
      </c>
      <c r="U65" s="24">
        <f>INDEX(DriversGams!$B63:$AN63,1,MATCH(Drivers!U$3,DriversGams!$B$60:$AN$60,0))</f>
        <v>0.24328810059724967</v>
      </c>
      <c r="V65" s="24">
        <f>INDEX(DriversGams!$B63:$AN63,1,MATCH(Drivers!V$3,DriversGams!$B$60:$AN$60,0))</f>
        <v>0.24920260436384109</v>
      </c>
      <c r="W65" s="24">
        <f>INDEX(DriversGams!$B63:$AN63,1,MATCH(Drivers!W$3,DriversGams!$B$60:$AN$60,0))</f>
        <v>0.25486887012552317</v>
      </c>
      <c r="X65" s="24">
        <f>INDEX(DriversGams!$B63:$AN63,1,MATCH(Drivers!X$3,DriversGams!$B$60:$AN$60,0))</f>
        <v>0.2605140800549105</v>
      </c>
      <c r="Y65" s="24">
        <f>INDEX(DriversGams!$B63:$AN63,1,MATCH(Drivers!Y$3,DriversGams!$B$60:$AN$60,0))</f>
        <v>0.265298258073913</v>
      </c>
      <c r="Z65" s="24">
        <f>INDEX(DriversGams!$B63:$AN63,1,MATCH(Drivers!Z$3,DriversGams!$B$60:$AN$60,0))</f>
        <v>0.26996247948298979</v>
      </c>
      <c r="AA65" s="24">
        <f>INDEX(DriversGams!$B63:$AN63,1,MATCH(Drivers!AA$3,DriversGams!$B$60:$AN$60,0))</f>
        <v>0.27578463348214166</v>
      </c>
      <c r="AB65" s="24">
        <f>INDEX(DriversGams!$B63:$AN63,1,MATCH(Drivers!AB$3,DriversGams!$B$60:$AN$60,0))</f>
        <v>0.28157840377750087</v>
      </c>
      <c r="AC65" s="24">
        <f>INDEX(DriversGams!$B63:$AN63,1,MATCH(Drivers!AC$3,DriversGams!$B$60:$AN$60,0))</f>
        <v>0.28690634139555593</v>
      </c>
      <c r="AD65" s="24">
        <f>INDEX(DriversGams!$B63:$AN63,1,MATCH(Drivers!AD$3,DriversGams!$B$60:$AN$60,0))</f>
        <v>0.29221990112462515</v>
      </c>
      <c r="AE65" s="24">
        <f>INDEX(DriversGams!$B63:$AN63,1,MATCH(Drivers!AE$3,DriversGams!$B$60:$AN$60,0))</f>
        <v>0.29770579023911803</v>
      </c>
      <c r="AF65" s="24">
        <f>INDEX(DriversGams!$B63:$AN63,1,MATCH(Drivers!AF$3,DriversGams!$B$60:$AN$60,0))</f>
        <v>0.32919531823838566</v>
      </c>
      <c r="AG65" s="24">
        <f>INDEX(DriversGams!$B63:$AN63,1,MATCH(Drivers!AG$3,DriversGams!$B$60:$AN$60,0))</f>
        <v>0.35940199900858649</v>
      </c>
      <c r="AH65" s="126"/>
      <c r="AI65" s="126"/>
      <c r="AJ65" s="126"/>
      <c r="AK65" s="126"/>
      <c r="AL65" s="126"/>
      <c r="AM65" s="126"/>
    </row>
    <row r="66" spans="1:39" s="338" customFormat="1">
      <c r="A66" s="338" t="s">
        <v>399</v>
      </c>
      <c r="B66" s="338">
        <f t="shared" si="85"/>
        <v>25</v>
      </c>
      <c r="C66" s="331">
        <v>26.162716441035041</v>
      </c>
      <c r="D66" s="10">
        <f t="shared" ref="D66:K66" si="109">D63*D$27</f>
        <v>26.199967514166168</v>
      </c>
      <c r="E66" s="10">
        <f t="shared" si="109"/>
        <v>25.970158310265191</v>
      </c>
      <c r="F66" s="10">
        <f t="shared" si="109"/>
        <v>25.829664308577815</v>
      </c>
      <c r="G66" s="10">
        <f t="shared" si="109"/>
        <v>25.888370797977597</v>
      </c>
      <c r="H66" s="10">
        <f t="shared" si="109"/>
        <v>25.824516373599828</v>
      </c>
      <c r="I66" s="10">
        <f t="shared" si="109"/>
        <v>25.705338707834258</v>
      </c>
      <c r="J66" s="10">
        <f t="shared" si="109"/>
        <v>25.722655610429403</v>
      </c>
      <c r="K66" s="10">
        <f t="shared" si="109"/>
        <v>26.648636225116821</v>
      </c>
      <c r="L66" s="10">
        <f t="shared" ref="L66:L68" si="110">L63*L$27</f>
        <v>27.747097974312325</v>
      </c>
      <c r="M66" s="10">
        <f t="shared" ref="M66:AG66" si="111">M63*M$27</f>
        <v>27.642314266771088</v>
      </c>
      <c r="N66" s="10">
        <f t="shared" si="111"/>
        <v>27.464327950438058</v>
      </c>
      <c r="O66" s="10">
        <f t="shared" si="111"/>
        <v>27.20944033535368</v>
      </c>
      <c r="P66" s="10">
        <f t="shared" si="111"/>
        <v>26.949686341882192</v>
      </c>
      <c r="Q66" s="10">
        <f t="shared" si="111"/>
        <v>26.679180337871923</v>
      </c>
      <c r="R66" s="10">
        <f t="shared" si="111"/>
        <v>26.344463887489184</v>
      </c>
      <c r="S66" s="10">
        <f t="shared" si="111"/>
        <v>26.00780393927575</v>
      </c>
      <c r="T66" s="10">
        <f t="shared" si="111"/>
        <v>25.706212928458054</v>
      </c>
      <c r="U66" s="10">
        <f t="shared" si="111"/>
        <v>25.524105359570505</v>
      </c>
      <c r="V66" s="10">
        <f t="shared" si="111"/>
        <v>25.338697153216295</v>
      </c>
      <c r="W66" s="10">
        <f t="shared" si="111"/>
        <v>25.064542995200213</v>
      </c>
      <c r="X66" s="10">
        <f t="shared" si="111"/>
        <v>24.796398673323417</v>
      </c>
      <c r="Y66" s="10">
        <f t="shared" si="111"/>
        <v>24.560358615027717</v>
      </c>
      <c r="Z66" s="10">
        <f t="shared" si="111"/>
        <v>24.344876837782458</v>
      </c>
      <c r="AA66" s="10">
        <f t="shared" si="111"/>
        <v>24.114326887910295</v>
      </c>
      <c r="AB66" s="10">
        <f t="shared" si="111"/>
        <v>23.84847432019717</v>
      </c>
      <c r="AC66" s="10">
        <f t="shared" si="111"/>
        <v>23.60020769302945</v>
      </c>
      <c r="AD66" s="10">
        <f t="shared" si="111"/>
        <v>23.359084348748549</v>
      </c>
      <c r="AE66" s="10">
        <f t="shared" si="111"/>
        <v>23.102164105752259</v>
      </c>
      <c r="AF66" s="10">
        <f t="shared" si="111"/>
        <v>21.62979440354129</v>
      </c>
      <c r="AG66" s="10">
        <f t="shared" si="111"/>
        <v>20.347966437356607</v>
      </c>
      <c r="AH66" s="10"/>
      <c r="AI66" s="10"/>
      <c r="AJ66" s="10"/>
      <c r="AK66" s="10"/>
      <c r="AL66" s="10"/>
      <c r="AM66" s="10"/>
    </row>
    <row r="67" spans="1:39" s="338" customFormat="1">
      <c r="A67" s="338" t="s">
        <v>400</v>
      </c>
      <c r="B67" s="338">
        <f t="shared" si="85"/>
        <v>26</v>
      </c>
      <c r="C67" s="331">
        <v>15.697629864621025</v>
      </c>
      <c r="D67" s="10">
        <f t="shared" ref="D67:K67" si="112">D64*D$27</f>
        <v>15.645216859692047</v>
      </c>
      <c r="E67" s="10">
        <f t="shared" si="112"/>
        <v>15.991635130476377</v>
      </c>
      <c r="F67" s="10">
        <f t="shared" si="112"/>
        <v>16.308344624690061</v>
      </c>
      <c r="G67" s="10">
        <f t="shared" si="112"/>
        <v>16.602329070277072</v>
      </c>
      <c r="H67" s="10">
        <f t="shared" si="112"/>
        <v>16.797338275285441</v>
      </c>
      <c r="I67" s="10">
        <f t="shared" si="112"/>
        <v>17.089156533012691</v>
      </c>
      <c r="J67" s="10">
        <f t="shared" si="112"/>
        <v>17.416134890255453</v>
      </c>
      <c r="K67" s="10">
        <f t="shared" si="112"/>
        <v>18.253451805294862</v>
      </c>
      <c r="L67" s="10">
        <f t="shared" si="110"/>
        <v>17.503047169624566</v>
      </c>
      <c r="M67" s="10">
        <f t="shared" ref="M67:AG67" si="113">M64*M$27</f>
        <v>17.790459156668284</v>
      </c>
      <c r="N67" s="10">
        <f t="shared" si="113"/>
        <v>18.050009387980484</v>
      </c>
      <c r="O67" s="10">
        <f t="shared" si="113"/>
        <v>18.328730785342593</v>
      </c>
      <c r="P67" s="10">
        <f t="shared" si="113"/>
        <v>18.627077015355379</v>
      </c>
      <c r="Q67" s="10">
        <f t="shared" si="113"/>
        <v>18.902107013611666</v>
      </c>
      <c r="R67" s="10">
        <f t="shared" si="113"/>
        <v>19.231337302433367</v>
      </c>
      <c r="S67" s="10">
        <f t="shared" si="113"/>
        <v>19.553773171641403</v>
      </c>
      <c r="T67" s="10">
        <f t="shared" si="113"/>
        <v>19.879409292120183</v>
      </c>
      <c r="U67" s="10">
        <f t="shared" si="113"/>
        <v>20.225775639113738</v>
      </c>
      <c r="V67" s="10">
        <f t="shared" si="113"/>
        <v>20.471441479545465</v>
      </c>
      <c r="W67" s="10">
        <f t="shared" si="113"/>
        <v>20.808026505131703</v>
      </c>
      <c r="X67" s="10">
        <f t="shared" si="113"/>
        <v>21.125711359475829</v>
      </c>
      <c r="Y67" s="10">
        <f t="shared" si="113"/>
        <v>21.456660929755753</v>
      </c>
      <c r="Z67" s="10">
        <f t="shared" si="113"/>
        <v>21.762707909294328</v>
      </c>
      <c r="AA67" s="10">
        <f t="shared" si="113"/>
        <v>22.069447934652281</v>
      </c>
      <c r="AB67" s="10">
        <f t="shared" si="113"/>
        <v>22.400995135624196</v>
      </c>
      <c r="AC67" s="10">
        <f t="shared" si="113"/>
        <v>22.735250576259716</v>
      </c>
      <c r="AD67" s="10">
        <f t="shared" si="113"/>
        <v>23.05220633591626</v>
      </c>
      <c r="AE67" s="10">
        <f t="shared" si="113"/>
        <v>23.361420654854211</v>
      </c>
      <c r="AF67" s="10">
        <f t="shared" si="113"/>
        <v>25.013605549531562</v>
      </c>
      <c r="AG67" s="10">
        <f t="shared" si="113"/>
        <v>26.704541251948566</v>
      </c>
      <c r="AH67" s="10"/>
      <c r="AI67" s="10"/>
      <c r="AJ67" s="10"/>
      <c r="AK67" s="10"/>
      <c r="AL67" s="10"/>
      <c r="AM67" s="10"/>
    </row>
    <row r="68" spans="1:39" s="338" customFormat="1">
      <c r="A68" s="338" t="s">
        <v>401</v>
      </c>
      <c r="B68" s="338">
        <f t="shared" si="85"/>
        <v>27</v>
      </c>
      <c r="C68" s="331">
        <v>10.465086576414015</v>
      </c>
      <c r="D68" s="10">
        <f t="shared" ref="D68:K68" si="114">D65*D$27</f>
        <v>10.963305023953581</v>
      </c>
      <c r="E68" s="10">
        <f t="shared" si="114"/>
        <v>11.33421194088603</v>
      </c>
      <c r="F68" s="10">
        <f t="shared" si="114"/>
        <v>11.650013069046338</v>
      </c>
      <c r="G68" s="10">
        <f t="shared" si="114"/>
        <v>11.7938809404747</v>
      </c>
      <c r="H68" s="10">
        <f t="shared" si="114"/>
        <v>12.163869084415101</v>
      </c>
      <c r="I68" s="10">
        <f t="shared" si="114"/>
        <v>12.496997854718259</v>
      </c>
      <c r="J68" s="10">
        <f t="shared" si="114"/>
        <v>12.663141105061381</v>
      </c>
      <c r="K68" s="10">
        <f t="shared" si="114"/>
        <v>11.414994337945172</v>
      </c>
      <c r="L68" s="10">
        <f t="shared" si="110"/>
        <v>11.687547951822312</v>
      </c>
      <c r="M68" s="10">
        <f t="shared" ref="M68:AG68" si="115">M65*M$27</f>
        <v>12.079455766690426</v>
      </c>
      <c r="N68" s="10">
        <f t="shared" si="115"/>
        <v>12.524777709887369</v>
      </c>
      <c r="O68" s="10">
        <f t="shared" si="115"/>
        <v>13.013343123485823</v>
      </c>
      <c r="P68" s="10">
        <f t="shared" si="115"/>
        <v>13.47218968304823</v>
      </c>
      <c r="Q68" s="10">
        <f t="shared" si="115"/>
        <v>14.047994123586525</v>
      </c>
      <c r="R68" s="10">
        <f t="shared" si="115"/>
        <v>14.619636601065592</v>
      </c>
      <c r="S68" s="10">
        <f t="shared" si="115"/>
        <v>15.185328173948523</v>
      </c>
      <c r="T68" s="10">
        <f t="shared" si="115"/>
        <v>15.701871394823355</v>
      </c>
      <c r="U68" s="10">
        <f t="shared" si="115"/>
        <v>16.066938570438463</v>
      </c>
      <c r="V68" s="10">
        <f t="shared" si="115"/>
        <v>16.605468367387274</v>
      </c>
      <c r="W68" s="10">
        <f t="shared" si="115"/>
        <v>17.13123483391578</v>
      </c>
      <c r="X68" s="10">
        <f t="shared" si="115"/>
        <v>17.658890038467575</v>
      </c>
      <c r="Y68" s="10">
        <f t="shared" si="115"/>
        <v>18.131028310965224</v>
      </c>
      <c r="Z68" s="10">
        <f t="shared" si="115"/>
        <v>18.596994643552826</v>
      </c>
      <c r="AA68" s="10">
        <f t="shared" si="115"/>
        <v>19.145036588348326</v>
      </c>
      <c r="AB68" s="10">
        <f t="shared" si="115"/>
        <v>19.693716971780301</v>
      </c>
      <c r="AC68" s="10">
        <f t="shared" si="115"/>
        <v>20.211852409120329</v>
      </c>
      <c r="AD68" s="10">
        <f t="shared" si="115"/>
        <v>20.730875282068499</v>
      </c>
      <c r="AE68" s="10">
        <f t="shared" si="115"/>
        <v>21.26381796405477</v>
      </c>
      <c r="AF68" s="10">
        <f t="shared" si="115"/>
        <v>24.243876435516011</v>
      </c>
      <c r="AG68" s="10">
        <f t="shared" si="115"/>
        <v>27.141287439156269</v>
      </c>
      <c r="AH68" s="10"/>
      <c r="AI68" s="10"/>
      <c r="AJ68" s="10"/>
      <c r="AK68" s="10"/>
      <c r="AL68" s="10"/>
      <c r="AM68" s="10"/>
    </row>
    <row r="69" spans="1:39" s="338" customFormat="1">
      <c r="A69" s="338" t="s">
        <v>402</v>
      </c>
      <c r="B69" s="338">
        <f t="shared" si="85"/>
        <v>28</v>
      </c>
      <c r="C69" s="335">
        <v>0.30163969294990939</v>
      </c>
      <c r="D69" s="338">
        <f>INDEX(DriversGams!$A71:$AN71,1,MATCH(Drivers!D$3,DriversGams!$A$70:$AN$70,0))</f>
        <v>0.30796232196009593</v>
      </c>
      <c r="E69" s="338">
        <f>INDEX(DriversGams!$A71:$AN71,1,MATCH(Drivers!E$3,DriversGams!$A$70:$AN$70,0))</f>
        <v>0.31076074811132609</v>
      </c>
      <c r="F69" s="338">
        <f>INDEX(DriversGams!$A71:$AN71,1,MATCH(Drivers!F$3,DriversGams!$A$70:$AN$70,0))</f>
        <v>0.31288978435800541</v>
      </c>
      <c r="G69" s="338">
        <f>INDEX(DriversGams!$A71:$AN71,1,MATCH(Drivers!G$3,DriversGams!$A$70:$AN$70,0))</f>
        <v>0.31287861234645009</v>
      </c>
      <c r="H69" s="338">
        <f>INDEX(DriversGams!$A71:$AN71,1,MATCH(Drivers!H$3,DriversGams!$A$70:$AN$70,0))</f>
        <v>0.31559061766201918</v>
      </c>
      <c r="I69" s="338">
        <f>INDEX(DriversGams!$A71:$AN71,1,MATCH(Drivers!I$3,DriversGams!$A$70:$AN$70,0))</f>
        <v>0.31792262160723966</v>
      </c>
      <c r="J69" s="338">
        <f>INDEX(DriversGams!$A71:$AN71,1,MATCH(Drivers!J$3,DriversGams!$A$70:$AN$70,0))</f>
        <v>0.31751776256697073</v>
      </c>
      <c r="K69" s="338">
        <f>INDEX(DriversGams!$A71:$AN71,1,MATCH(Drivers!K$3,DriversGams!$A$70:$AN$70,0))</f>
        <v>0.29019645575179692</v>
      </c>
      <c r="L69" s="338">
        <f>INDEX(DriversGams!$A71:$AN71,1,MATCH(Drivers!L$3,DriversGams!$A$70:$AN$70,0))</f>
        <v>0.29699796556548153</v>
      </c>
      <c r="M69" s="338">
        <f>INDEX(DriversGams!$A71:$AN71,1,MATCH(Drivers!M$3,DriversGams!$A$70:$AN$70,0))</f>
        <v>0.30086618803463078</v>
      </c>
      <c r="N69" s="338">
        <f>INDEX(DriversGams!$A71:$AN71,1,MATCH(Drivers!N$3,DriversGams!$A$70:$AN$70,0))</f>
        <v>0.30560921323222662</v>
      </c>
      <c r="O69" s="338">
        <f>INDEX(DriversGams!$A71:$AN71,1,MATCH(Drivers!O$3,DriversGams!$A$70:$AN$70,0))</f>
        <v>0.31089428879503833</v>
      </c>
      <c r="P69" s="338">
        <f>INDEX(DriversGams!$A71:$AN71,1,MATCH(Drivers!P$3,DriversGams!$A$70:$AN$70,0))</f>
        <v>0.31574574729178884</v>
      </c>
      <c r="Q69" s="338">
        <f>INDEX(DriversGams!$A71:$AN71,1,MATCH(Drivers!Q$3,DriversGams!$A$70:$AN$70,0))</f>
        <v>0.32233263553724806</v>
      </c>
      <c r="R69" s="338">
        <f>INDEX(DriversGams!$A71:$AN71,1,MATCH(Drivers!R$3,DriversGams!$A$70:$AN$70,0))</f>
        <v>0.32880003865535701</v>
      </c>
      <c r="S69" s="338">
        <f>INDEX(DriversGams!$A71:$AN71,1,MATCH(Drivers!S$3,DriversGams!$A$70:$AN$70,0))</f>
        <v>0.33535511550799657</v>
      </c>
      <c r="T69" s="338">
        <f>INDEX(DriversGams!$A71:$AN71,1,MATCH(Drivers!T$3,DriversGams!$A$70:$AN$70,0))</f>
        <v>0.34123725286063172</v>
      </c>
      <c r="U69" s="338">
        <f>INDEX(DriversGams!$A71:$AN71,1,MATCH(Drivers!U$3,DriversGams!$A$70:$AN$70,0))</f>
        <v>0.34454239921586177</v>
      </c>
      <c r="V69" s="338">
        <f>INDEX(DriversGams!$A71:$AN71,1,MATCH(Drivers!V$3,DriversGams!$A$70:$AN$70,0))</f>
        <v>0.35116683037727708</v>
      </c>
      <c r="W69" s="338">
        <f>INDEX(DriversGams!$A71:$AN71,1,MATCH(Drivers!W$3,DriversGams!$A$70:$AN$70,0))</f>
        <v>0.3572236000334062</v>
      </c>
      <c r="X69" s="338">
        <f>INDEX(DriversGams!$A71:$AN71,1,MATCH(Drivers!X$3,DriversGams!$A$70:$AN$70,0))</f>
        <v>0.36353776465503623</v>
      </c>
      <c r="Y69" s="338">
        <f>INDEX(DriversGams!$A71:$AN71,1,MATCH(Drivers!Y$3,DriversGams!$A$70:$AN$70,0))</f>
        <v>0.36890203829536222</v>
      </c>
      <c r="Z69" s="338">
        <f>INDEX(DriversGams!$A71:$AN71,1,MATCH(Drivers!Z$3,DriversGams!$A$70:$AN$70,0))</f>
        <v>0.37427262385952426</v>
      </c>
      <c r="AA69" s="338">
        <f>INDEX(DriversGams!$A71:$AN71,1,MATCH(Drivers!AA$3,DriversGams!$A$70:$AN$70,0))</f>
        <v>0.38104809418400248</v>
      </c>
      <c r="AB69" s="338">
        <f>INDEX(DriversGams!$A71:$AN71,1,MATCH(Drivers!AB$3,DriversGams!$A$70:$AN$70,0))</f>
        <v>0.38784776605814258</v>
      </c>
      <c r="AC69" s="338">
        <f>INDEX(DriversGams!$A71:$AN71,1,MATCH(Drivers!AC$3,DriversGams!$A$70:$AN$70,0))</f>
        <v>0.4299009822099728</v>
      </c>
      <c r="AD69" s="338">
        <f>INDEX(DriversGams!$A71:$AN71,1,MATCH(Drivers!AD$3,DriversGams!$A$70:$AN$70,0))</f>
        <v>0.43713117831921317</v>
      </c>
      <c r="AE69" s="338">
        <f>INDEX(DriversGams!$A71:$AN71,1,MATCH(Drivers!AE$3,DriversGams!$A$70:$AN$70,0))</f>
        <v>0.44491156591527831</v>
      </c>
      <c r="AF69" s="338">
        <f>INDEX(DriversGams!$A71:$AN71,1,MATCH(Drivers!AF$3,DriversGams!$A$70:$AN$70,0))</f>
        <v>0.49247723540906563</v>
      </c>
      <c r="AG69" s="338">
        <f>INDEX(DriversGams!$A71:$AN71,1,MATCH(Drivers!AG$3,DriversGams!$A$70:$AN$70,0))</f>
        <v>0.54170030276549952</v>
      </c>
      <c r="AH69" s="126"/>
      <c r="AI69" s="126"/>
      <c r="AJ69" s="126"/>
      <c r="AK69" s="126"/>
      <c r="AL69" s="126"/>
      <c r="AM69" s="126"/>
    </row>
    <row r="70" spans="1:39" s="338" customFormat="1">
      <c r="A70" s="338" t="s">
        <v>279</v>
      </c>
      <c r="C70" s="109"/>
      <c r="D70" s="109">
        <f t="shared" ref="D70" si="116">(D69/C69)^(1/(D$5-C$5))-1</f>
        <v>2.0960865423094388E-2</v>
      </c>
      <c r="E70" s="109">
        <f t="shared" ref="E70" si="117">(E69/D69)^(1/(E$5-D$5))-1</f>
        <v>9.0869108059028481E-3</v>
      </c>
      <c r="F70" s="109">
        <f t="shared" ref="F70" si="118">(F69/E69)^(1/(F$5-E$5))-1</f>
        <v>6.8510462135862316E-3</v>
      </c>
      <c r="G70" s="109">
        <f t="shared" ref="G70" si="119">(G69/F69)^(1/(G$5-F$5))-1</f>
        <v>-3.5705900652049927E-5</v>
      </c>
      <c r="H70" s="109">
        <f t="shared" ref="H70" si="120">(H69/G69)^(1/(H$5-G$5))-1</f>
        <v>8.6679153146016485E-3</v>
      </c>
      <c r="I70" s="109">
        <f t="shared" ref="I70" si="121">(I69/H69)^(1/(I$5-H$5))-1</f>
        <v>7.3893323017542034E-3</v>
      </c>
      <c r="J70" s="109">
        <f t="shared" ref="J70" si="122">(J69/I69)^(1/(J$5-I$5))-1</f>
        <v>-1.2734515028285376E-3</v>
      </c>
      <c r="K70" s="109">
        <f t="shared" ref="K70" si="123">(K69/J69)^(1/(K$5-J$5))-1</f>
        <v>-8.6046546165779336E-2</v>
      </c>
      <c r="L70" s="109">
        <f t="shared" ref="L70" si="124">(L69/K69)^(1/(L$5-K$5))-1</f>
        <v>2.34376046946001E-2</v>
      </c>
      <c r="M70" s="109">
        <f t="shared" ref="M70" si="125">(M69/L69)^(1/(M$5-L$5))-1</f>
        <v>1.3024407294454754E-2</v>
      </c>
      <c r="N70" s="109">
        <f t="shared" ref="N70" si="126">(N69/M69)^(1/(N$5-M$5))-1</f>
        <v>1.5764567060788881E-2</v>
      </c>
      <c r="O70" s="109">
        <f t="shared" ref="O70" si="127">(O69/N69)^(1/(O$5-N$5))-1</f>
        <v>1.7293574061184147E-2</v>
      </c>
      <c r="P70" s="109">
        <f t="shared" ref="P70" si="128">(P69/O69)^(1/(P$5-O$5))-1</f>
        <v>1.5604849209529537E-2</v>
      </c>
      <c r="Q70" s="109">
        <f t="shared" ref="Q70" si="129">(Q69/P69)^(1/(Q$5-P$5))-1</f>
        <v>2.0861368053113116E-2</v>
      </c>
      <c r="R70" s="109">
        <f t="shared" ref="R70" si="130">(R69/Q69)^(1/(R$5-Q$5))-1</f>
        <v>2.0064375756830843E-2</v>
      </c>
      <c r="S70" s="109">
        <f t="shared" ref="S70" si="131">(S69/R69)^(1/(S$5-R$5))-1</f>
        <v>1.9936362779782169E-2</v>
      </c>
      <c r="T70" s="109">
        <f t="shared" ref="T70" si="132">(T69/S69)^(1/(T$5-S$5))-1</f>
        <v>1.7540025723850716E-2</v>
      </c>
      <c r="U70" s="109">
        <f t="shared" ref="U70" si="133">(U69/T69)^(1/(U$5-T$5))-1</f>
        <v>9.6857723695833453E-3</v>
      </c>
      <c r="V70" s="109">
        <f t="shared" ref="V70" si="134">(V69/U69)^(1/(V$5-U$5))-1</f>
        <v>1.92267517045559E-2</v>
      </c>
      <c r="W70" s="109">
        <f t="shared" ref="W70" si="135">(W69/V69)^(1/(W$5-V$5))-1</f>
        <v>1.7247556238788375E-2</v>
      </c>
      <c r="X70" s="109">
        <f t="shared" ref="X70" si="136">(X69/W69)^(1/(X$5-W$5))-1</f>
        <v>1.7675664824607251E-2</v>
      </c>
      <c r="Y70" s="109">
        <f t="shared" ref="Y70" si="137">(Y69/X69)^(1/(Y$5-X$5))-1</f>
        <v>1.4755753492119883E-2</v>
      </c>
      <c r="Z70" s="109">
        <f t="shared" ref="Z70" si="138">(Z69/Y69)^(1/(Z$5-Y$5))-1</f>
        <v>1.4558297343594706E-2</v>
      </c>
      <c r="AA70" s="109">
        <f t="shared" ref="AA70" si="139">(AA69/Z69)^(1/(AA$5-Z$5))-1</f>
        <v>1.8103034773446991E-2</v>
      </c>
      <c r="AB70" s="109">
        <f t="shared" ref="AB70" si="140">(AB69/AA69)^(1/(AB$5-AA$5))-1</f>
        <v>1.7844655249362518E-2</v>
      </c>
      <c r="AC70" s="109">
        <f t="shared" ref="AC70" si="141">(AC69/AB69)^(1/(AC$5-AB$5))-1</f>
        <v>0.10842711968985785</v>
      </c>
      <c r="AD70" s="109">
        <f t="shared" ref="AD70" si="142">(AD69/AC69)^(1/(AD$5-AC$5))-1</f>
        <v>1.6818282368354698E-2</v>
      </c>
      <c r="AE70" s="109">
        <f t="shared" ref="AE70" si="143">(AE69/AD69)^(1/(AE$5-AD$5))-1</f>
        <v>1.7798747794611769E-2</v>
      </c>
      <c r="AF70" s="109">
        <f t="shared" ref="AF70" si="144">(AF69/AE69)^(1/(AF$5-AE$5))-1</f>
        <v>2.0522285217870362E-2</v>
      </c>
      <c r="AG70" s="109">
        <f t="shared" ref="AG70" si="145">(AG69/AF69)^(1/(AG$5-AF$5))-1</f>
        <v>1.9235598297119738E-2</v>
      </c>
      <c r="AH70" s="109"/>
      <c r="AI70" s="109"/>
      <c r="AJ70" s="109"/>
      <c r="AK70" s="109"/>
      <c r="AL70" s="109"/>
      <c r="AM70" s="109"/>
    </row>
    <row r="72" spans="1:39">
      <c r="A72" s="338" t="s">
        <v>657</v>
      </c>
      <c r="L72">
        <f>L63/K63</f>
        <v>1.0275472516948641</v>
      </c>
      <c r="M72" s="338">
        <f t="shared" ref="M72:AG74" si="146">M63/L63</f>
        <v>0.98404609257701248</v>
      </c>
      <c r="N72" s="338">
        <f t="shared" si="146"/>
        <v>0.98231989143715204</v>
      </c>
      <c r="O72" s="338">
        <f t="shared" si="146"/>
        <v>0.97983337027082795</v>
      </c>
      <c r="P72" s="338">
        <f t="shared" si="146"/>
        <v>0.97989372854956924</v>
      </c>
      <c r="Q72" s="338">
        <f t="shared" si="146"/>
        <v>0.9797312613048893</v>
      </c>
      <c r="R72" s="338">
        <f t="shared" si="146"/>
        <v>0.97757132429634808</v>
      </c>
      <c r="S72" s="338">
        <f t="shared" si="146"/>
        <v>0.97766329227421334</v>
      </c>
      <c r="T72" s="338">
        <f t="shared" si="146"/>
        <v>0.9790892615787633</v>
      </c>
      <c r="U72" s="338">
        <f t="shared" si="146"/>
        <v>0.98381446654130855</v>
      </c>
      <c r="V72" s="338">
        <f t="shared" si="146"/>
        <v>0.98389208021340346</v>
      </c>
      <c r="W72" s="338">
        <f t="shared" si="146"/>
        <v>0.98062325420564811</v>
      </c>
      <c r="X72" s="338">
        <f t="shared" si="146"/>
        <v>0.98099883806457233</v>
      </c>
      <c r="Y72" s="338">
        <f t="shared" si="146"/>
        <v>0.98240430633352638</v>
      </c>
      <c r="Z72" s="338">
        <f t="shared" si="146"/>
        <v>0.98338042226805666</v>
      </c>
      <c r="AA72" s="338">
        <f t="shared" si="146"/>
        <v>0.98292590944792968</v>
      </c>
      <c r="AB72" s="338">
        <f t="shared" si="146"/>
        <v>0.9816196515453226</v>
      </c>
      <c r="AC72" s="338">
        <f t="shared" si="146"/>
        <v>0.98246616539973786</v>
      </c>
      <c r="AD72" s="338">
        <f t="shared" si="146"/>
        <v>0.98287459863635362</v>
      </c>
      <c r="AE72" s="338">
        <f t="shared" si="146"/>
        <v>0.98231490758253504</v>
      </c>
      <c r="AF72" s="338">
        <f t="shared" si="146"/>
        <v>0.90804062564949761</v>
      </c>
      <c r="AG72" s="338">
        <f t="shared" si="146"/>
        <v>0.91741761979475678</v>
      </c>
    </row>
    <row r="73" spans="1:39">
      <c r="A73" s="338" t="s">
        <v>658</v>
      </c>
      <c r="L73" s="338">
        <f t="shared" ref="L73:AA74" si="147">L64/K64</f>
        <v>0.94629791339124247</v>
      </c>
      <c r="M73" s="338">
        <f t="shared" si="147"/>
        <v>1.0039962772695123</v>
      </c>
      <c r="N73" s="338">
        <f t="shared" si="147"/>
        <v>1.0031101787866326</v>
      </c>
      <c r="O73" s="338">
        <f t="shared" si="147"/>
        <v>1.0042840232261754</v>
      </c>
      <c r="P73" s="338">
        <f t="shared" si="147"/>
        <v>1.0054423869684121</v>
      </c>
      <c r="Q73" s="338">
        <f t="shared" si="147"/>
        <v>1.0042774367097271</v>
      </c>
      <c r="R73" s="338">
        <f t="shared" si="147"/>
        <v>1.00723507028385</v>
      </c>
      <c r="S73" s="338">
        <f t="shared" si="147"/>
        <v>1.0069225793843317</v>
      </c>
      <c r="T73" s="338">
        <f t="shared" si="147"/>
        <v>1.0070725808848315</v>
      </c>
      <c r="U73" s="338">
        <f t="shared" si="147"/>
        <v>1.0080973805319078</v>
      </c>
      <c r="V73" s="338">
        <f t="shared" si="147"/>
        <v>1.0031293823225116</v>
      </c>
      <c r="W73" s="338">
        <f t="shared" si="147"/>
        <v>1.0076486939658273</v>
      </c>
      <c r="X73" s="338">
        <f t="shared" si="147"/>
        <v>1.0067464863195117</v>
      </c>
      <c r="Y73" s="338">
        <f t="shared" si="147"/>
        <v>1.007383795255951</v>
      </c>
      <c r="Z73" s="338">
        <f t="shared" si="147"/>
        <v>1.0062351283340059</v>
      </c>
      <c r="AA73" s="338">
        <f t="shared" si="147"/>
        <v>1.0063099278010283</v>
      </c>
      <c r="AB73" s="338">
        <f t="shared" si="146"/>
        <v>1.007473495289106</v>
      </c>
      <c r="AC73" s="338">
        <f t="shared" si="146"/>
        <v>1.0076154361599163</v>
      </c>
      <c r="AD73" s="338">
        <f t="shared" si="146"/>
        <v>1.0068641422973841</v>
      </c>
      <c r="AE73" s="338">
        <f t="shared" si="146"/>
        <v>1.0065622453933292</v>
      </c>
      <c r="AF73" s="338">
        <f t="shared" si="146"/>
        <v>1.0384428485483606</v>
      </c>
      <c r="AG73" s="338">
        <f t="shared" si="146"/>
        <v>1.0411355608756425</v>
      </c>
    </row>
    <row r="74" spans="1:39">
      <c r="A74" s="338" t="s">
        <v>659</v>
      </c>
      <c r="L74" s="338">
        <f t="shared" si="147"/>
        <v>1.0104316192857448</v>
      </c>
      <c r="M74" s="338">
        <f t="shared" si="146"/>
        <v>1.0208985119244827</v>
      </c>
      <c r="N74" s="338">
        <f t="shared" si="146"/>
        <v>1.0251349049288154</v>
      </c>
      <c r="O74" s="338">
        <f t="shared" si="146"/>
        <v>1.0275913688919898</v>
      </c>
      <c r="P74" s="338">
        <f t="shared" si="146"/>
        <v>1.0242221884874696</v>
      </c>
      <c r="Q74" s="338">
        <f t="shared" si="146"/>
        <v>1.0319634744540225</v>
      </c>
      <c r="R74" s="338">
        <f t="shared" si="146"/>
        <v>1.0302765900570376</v>
      </c>
      <c r="S74" s="338">
        <f t="shared" si="146"/>
        <v>1.0286380764083201</v>
      </c>
      <c r="T74" s="338">
        <f t="shared" si="146"/>
        <v>1.0242715343043634</v>
      </c>
      <c r="U74" s="338">
        <f t="shared" si="146"/>
        <v>1.0138705156180765</v>
      </c>
      <c r="V74" s="338">
        <f t="shared" si="146"/>
        <v>1.0243106989288495</v>
      </c>
      <c r="W74" s="338">
        <f t="shared" si="146"/>
        <v>1.0227375864555943</v>
      </c>
      <c r="X74" s="338">
        <f t="shared" si="146"/>
        <v>1.0221494681818422</v>
      </c>
      <c r="Y74" s="338">
        <f t="shared" si="146"/>
        <v>1.0183643740791057</v>
      </c>
      <c r="Z74" s="338">
        <f t="shared" si="146"/>
        <v>1.0175810479983527</v>
      </c>
      <c r="AA74" s="338">
        <f t="shared" si="146"/>
        <v>1.0215665303204431</v>
      </c>
      <c r="AB74" s="338">
        <f t="shared" si="146"/>
        <v>1.02100831443074</v>
      </c>
      <c r="AC74" s="338">
        <f t="shared" si="146"/>
        <v>1.0189216841440194</v>
      </c>
      <c r="AD74" s="338">
        <f t="shared" si="146"/>
        <v>1.0185201892130487</v>
      </c>
      <c r="AE74" s="338">
        <f t="shared" si="146"/>
        <v>1.0187731536879594</v>
      </c>
      <c r="AF74" s="338">
        <f t="shared" si="146"/>
        <v>1.105773985699019</v>
      </c>
      <c r="AG74" s="338">
        <f t="shared" si="146"/>
        <v>1.0917591444855446</v>
      </c>
    </row>
    <row r="75" spans="1:39">
      <c r="A75" s="338" t="s">
        <v>396</v>
      </c>
      <c r="K75" s="24">
        <f>K63</f>
        <v>0.44932093804663059</v>
      </c>
      <c r="L75">
        <f>K75*L72</f>
        <v>0.46169849501877352</v>
      </c>
      <c r="M75" s="338">
        <f t="shared" ref="M75:AG77" si="148">L75*M72</f>
        <v>0.45433259997191133</v>
      </c>
      <c r="N75" s="338">
        <f t="shared" si="148"/>
        <v>0.44629995028076697</v>
      </c>
      <c r="O75" s="338">
        <f t="shared" si="148"/>
        <v>0.43729958443530687</v>
      </c>
      <c r="P75" s="338">
        <f t="shared" si="148"/>
        <v>0.42850712028549004</v>
      </c>
      <c r="Q75" s="338">
        <f t="shared" si="148"/>
        <v>0.41982182143542907</v>
      </c>
      <c r="R75" s="338">
        <f t="shared" si="148"/>
        <v>0.41040577394913735</v>
      </c>
      <c r="S75" s="338">
        <f t="shared" si="148"/>
        <v>0.40123866012746018</v>
      </c>
      <c r="T75" s="338">
        <f t="shared" si="148"/>
        <v>0.39284846346104735</v>
      </c>
      <c r="U75" s="338">
        <f t="shared" si="148"/>
        <v>0.38649000151150303</v>
      </c>
      <c r="V75" s="338">
        <f t="shared" si="148"/>
        <v>0.38026445156883415</v>
      </c>
      <c r="W75" s="338">
        <f t="shared" si="148"/>
        <v>0.37289616395615621</v>
      </c>
      <c r="X75" s="338">
        <f t="shared" si="148"/>
        <v>0.3658107035597255</v>
      </c>
      <c r="Y75" s="338">
        <f t="shared" si="148"/>
        <v>0.35937401047997136</v>
      </c>
      <c r="Z75" s="338">
        <f t="shared" si="148"/>
        <v>0.35340136617795925</v>
      </c>
      <c r="AA75" s="338">
        <f t="shared" si="148"/>
        <v>0.34736735925061141</v>
      </c>
      <c r="AB75" s="338">
        <f t="shared" si="148"/>
        <v>0.34098262614580405</v>
      </c>
      <c r="AC75" s="338">
        <f t="shared" si="148"/>
        <v>0.33500389317740048</v>
      </c>
      <c r="AD75" s="338">
        <f t="shared" si="148"/>
        <v>0.32926681704835337</v>
      </c>
      <c r="AE75" s="338">
        <f t="shared" si="148"/>
        <v>0.32344370295884872</v>
      </c>
      <c r="AF75" s="338">
        <f t="shared" si="148"/>
        <v>0.29370002239714327</v>
      </c>
      <c r="AG75" s="338">
        <f t="shared" si="148"/>
        <v>0.26944557548125392</v>
      </c>
    </row>
    <row r="76" spans="1:39">
      <c r="A76" s="338" t="s">
        <v>397</v>
      </c>
      <c r="K76" s="24">
        <f t="shared" ref="K76:K77" si="149">K64</f>
        <v>0.30777027456338796</v>
      </c>
      <c r="L76" s="338">
        <f t="shared" ref="L76:AA77" si="150">K76*L73</f>
        <v>0.29124236862318381</v>
      </c>
      <c r="M76" s="338">
        <f t="shared" si="150"/>
        <v>0.29240625388083158</v>
      </c>
      <c r="N76" s="338">
        <f t="shared" si="150"/>
        <v>0.29331568960873045</v>
      </c>
      <c r="O76" s="338">
        <f t="shared" si="150"/>
        <v>0.29457226083561588</v>
      </c>
      <c r="P76" s="338">
        <f t="shared" si="150"/>
        <v>0.29617543706924332</v>
      </c>
      <c r="Q76" s="338">
        <f t="shared" si="150"/>
        <v>0.2974423087562828</v>
      </c>
      <c r="R76" s="338">
        <f t="shared" si="150"/>
        <v>0.29959432476552511</v>
      </c>
      <c r="S76" s="338">
        <f t="shared" si="150"/>
        <v>0.30166829026180969</v>
      </c>
      <c r="T76" s="338">
        <f t="shared" si="150"/>
        <v>0.30380186364507517</v>
      </c>
      <c r="U76" s="338">
        <f t="shared" si="150"/>
        <v>0.30626186294131208</v>
      </c>
      <c r="V76" s="338">
        <f t="shared" si="150"/>
        <v>0.30722027340126007</v>
      </c>
      <c r="W76" s="338">
        <f t="shared" si="150"/>
        <v>0.30957010725260409</v>
      </c>
      <c r="X76" s="338">
        <f t="shared" si="150"/>
        <v>0.31165861774611353</v>
      </c>
      <c r="Y76" s="338">
        <f t="shared" si="150"/>
        <v>0.31395984116930353</v>
      </c>
      <c r="Z76" s="338">
        <f t="shared" si="150"/>
        <v>0.31591742107071824</v>
      </c>
      <c r="AA76" s="338">
        <f t="shared" si="150"/>
        <v>0.31791083718876156</v>
      </c>
      <c r="AB76" s="338">
        <f t="shared" si="148"/>
        <v>0.32028674233284754</v>
      </c>
      <c r="AC76" s="338">
        <f t="shared" si="148"/>
        <v>0.32272586557195093</v>
      </c>
      <c r="AD76" s="338">
        <f t="shared" si="148"/>
        <v>0.32494110183628327</v>
      </c>
      <c r="AE76" s="338">
        <f t="shared" si="148"/>
        <v>0.32707344508491171</v>
      </c>
      <c r="AF76" s="338">
        <f t="shared" si="148"/>
        <v>0.33964707999850147</v>
      </c>
      <c r="AG76" s="338">
        <f t="shared" si="148"/>
        <v>0.35361865313401403</v>
      </c>
    </row>
    <row r="77" spans="1:39">
      <c r="A77" s="338" t="s">
        <v>398</v>
      </c>
      <c r="K77" s="24">
        <f t="shared" si="149"/>
        <v>0.19246748390404797</v>
      </c>
      <c r="L77" s="338">
        <f t="shared" si="150"/>
        <v>0.19447523142102022</v>
      </c>
      <c r="M77" s="338">
        <f t="shared" si="148"/>
        <v>0.19853947436388894</v>
      </c>
      <c r="N77" s="338">
        <f t="shared" si="148"/>
        <v>0.20352974517664227</v>
      </c>
      <c r="O77" s="338">
        <f t="shared" si="148"/>
        <v>0.20914540945630367</v>
      </c>
      <c r="P77" s="338">
        <f t="shared" si="148"/>
        <v>0.21421136898544327</v>
      </c>
      <c r="Q77" s="338">
        <f t="shared" si="148"/>
        <v>0.22105830860577066</v>
      </c>
      <c r="R77" s="338">
        <f t="shared" si="148"/>
        <v>0.22775120039412969</v>
      </c>
      <c r="S77" s="338">
        <f t="shared" si="148"/>
        <v>0.2342735566731034</v>
      </c>
      <c r="T77" s="338">
        <f t="shared" si="148"/>
        <v>0.23995973534049983</v>
      </c>
      <c r="U77" s="338">
        <f t="shared" si="148"/>
        <v>0.24328810059724973</v>
      </c>
      <c r="V77" s="338">
        <f t="shared" si="148"/>
        <v>0.24920260436384112</v>
      </c>
      <c r="W77" s="338">
        <f t="shared" si="148"/>
        <v>0.25486887012552323</v>
      </c>
      <c r="X77" s="338">
        <f t="shared" si="148"/>
        <v>0.26051408005491056</v>
      </c>
      <c r="Y77" s="338">
        <f t="shared" si="148"/>
        <v>0.26529825807391305</v>
      </c>
      <c r="Z77" s="338">
        <f t="shared" si="148"/>
        <v>0.2699624794829899</v>
      </c>
      <c r="AA77" s="338">
        <f t="shared" si="148"/>
        <v>0.27578463348214183</v>
      </c>
      <c r="AB77" s="338">
        <f t="shared" si="148"/>
        <v>0.28157840377750104</v>
      </c>
      <c r="AC77" s="338">
        <f t="shared" si="148"/>
        <v>0.2869063413955561</v>
      </c>
      <c r="AD77" s="338">
        <f t="shared" si="148"/>
        <v>0.29221990112462531</v>
      </c>
      <c r="AE77" s="338">
        <f t="shared" si="148"/>
        <v>0.2977057902391182</v>
      </c>
      <c r="AF77" s="338">
        <f t="shared" si="148"/>
        <v>0.32919531823838583</v>
      </c>
      <c r="AG77" s="338">
        <f t="shared" si="148"/>
        <v>0.35940199900858671</v>
      </c>
    </row>
  </sheetData>
  <sortState xmlns:xlrd2="http://schemas.microsoft.com/office/spreadsheetml/2017/richdata2" ref="A7:A22">
    <sortCondition ref="A7"/>
  </sortState>
  <pageMargins left="0.7" right="0.7" top="0.75" bottom="0.75" header="0.3" footer="0.3"/>
  <pageSetup paperSize="9" orientation="portrait"/>
  <legacy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dimension ref="A4:BD146"/>
  <sheetViews>
    <sheetView tabSelected="1" topLeftCell="E46" workbookViewId="0">
      <pane xSplit="26" ySplit="16" topLeftCell="AE62" activePane="bottomRight" state="frozen"/>
      <selection activeCell="E46" sqref="E46"/>
      <selection pane="topRight" activeCell="AE46" sqref="AE46"/>
      <selection pane="bottomLeft" activeCell="E62" sqref="E62"/>
      <selection pane="bottomRight" activeCell="AE62" sqref="AE62"/>
    </sheetView>
    <sheetView workbookViewId="1"/>
  </sheetViews>
  <sheetFormatPr defaultColWidth="8.85546875" defaultRowHeight="15"/>
  <cols>
    <col min="4" max="4" width="8.85546875" style="4"/>
    <col min="6" max="6" width="11.85546875" customWidth="1"/>
    <col min="7" max="7" width="9.85546875" customWidth="1"/>
    <col min="15" max="15" width="8.85546875" style="192"/>
    <col min="20" max="20" width="10.140625" style="192" customWidth="1"/>
    <col min="25" max="25" width="8.85546875" style="75"/>
  </cols>
  <sheetData>
    <row r="4" spans="1:56">
      <c r="B4">
        <v>2006</v>
      </c>
      <c r="G4">
        <f>AGR!J21</f>
        <v>2012</v>
      </c>
      <c r="H4" s="4">
        <f>AGR!K21</f>
        <v>2013</v>
      </c>
      <c r="I4" s="4">
        <f>AGR!L21</f>
        <v>2014</v>
      </c>
      <c r="J4" s="4">
        <f>AGR!M21</f>
        <v>2015</v>
      </c>
      <c r="K4" s="4">
        <f>AGR!N21</f>
        <v>2016</v>
      </c>
      <c r="L4" s="4">
        <f>AGR!O21</f>
        <v>2017</v>
      </c>
      <c r="M4" s="4">
        <f>AGR!P21</f>
        <v>2018</v>
      </c>
      <c r="N4" s="4">
        <f>AGR!Q21</f>
        <v>2019</v>
      </c>
      <c r="O4" s="192">
        <f>AGR!R21</f>
        <v>2020</v>
      </c>
      <c r="P4" s="4">
        <f>AGR!S21</f>
        <v>2021</v>
      </c>
      <c r="Q4" s="4">
        <f>AGR!T21</f>
        <v>2022</v>
      </c>
      <c r="R4" s="4">
        <f>AGR!U21</f>
        <v>2023</v>
      </c>
      <c r="S4" s="4">
        <f>AGR!V21</f>
        <v>2024</v>
      </c>
      <c r="T4" s="192">
        <f>AGR!W21</f>
        <v>2025</v>
      </c>
      <c r="U4" s="4">
        <f>AGR!X21</f>
        <v>2026</v>
      </c>
      <c r="V4" s="4">
        <f>AGR!Y21</f>
        <v>2027</v>
      </c>
      <c r="W4" s="4">
        <f>AGR!Z21</f>
        <v>2028</v>
      </c>
      <c r="X4" s="4">
        <f>AGR!AA21</f>
        <v>2029</v>
      </c>
      <c r="Y4" s="75">
        <f>AGR!AB21</f>
        <v>2030</v>
      </c>
      <c r="Z4" s="4">
        <f>AGR!AC21</f>
        <v>2031</v>
      </c>
      <c r="AA4" s="4">
        <f>AGR!AD21</f>
        <v>2032</v>
      </c>
      <c r="AB4" s="4">
        <f>AGR!AE21</f>
        <v>2033</v>
      </c>
      <c r="AC4" s="4">
        <f>AGR!AF21</f>
        <v>2034</v>
      </c>
      <c r="AD4" s="4">
        <f>AGR!AG21</f>
        <v>2035</v>
      </c>
      <c r="AE4" s="4">
        <f>AGR!AH21</f>
        <v>2036</v>
      </c>
      <c r="AF4" s="4">
        <f>AGR!AI21</f>
        <v>2037</v>
      </c>
      <c r="AG4" s="4">
        <f>AGR!AJ21</f>
        <v>2038</v>
      </c>
      <c r="AH4" s="4">
        <f>AGR!AK21</f>
        <v>2039</v>
      </c>
      <c r="AI4" s="4">
        <f>AGR!AL21</f>
        <v>2040</v>
      </c>
      <c r="AJ4" s="4">
        <f>AGR!AM21</f>
        <v>2045</v>
      </c>
      <c r="AK4" s="4">
        <f>AGR!AN21</f>
        <v>2050</v>
      </c>
      <c r="AL4" s="4">
        <f>AGR!AO21</f>
        <v>2060</v>
      </c>
      <c r="AM4" s="4">
        <f>AGR!AP21</f>
        <v>2070</v>
      </c>
      <c r="AN4" s="4"/>
      <c r="AO4" s="4"/>
      <c r="AP4" s="4"/>
      <c r="AQ4" s="4"/>
      <c r="AR4" s="4"/>
      <c r="AS4" s="4"/>
      <c r="AT4" s="4"/>
      <c r="AU4" s="4"/>
      <c r="AV4" s="4"/>
      <c r="AW4" s="4"/>
      <c r="AX4" s="4"/>
      <c r="AY4" s="4"/>
      <c r="AZ4" s="4"/>
      <c r="BA4" s="4"/>
      <c r="BB4" s="4"/>
      <c r="BC4" s="4"/>
      <c r="BD4" s="4"/>
    </row>
    <row r="5" spans="1:56">
      <c r="A5" s="35" t="s">
        <v>305</v>
      </c>
      <c r="B5">
        <v>3.4886478690149998</v>
      </c>
      <c r="E5" s="128">
        <f>MATCH(F5,AGR!$D$22:$D$26,0)</f>
        <v>1</v>
      </c>
      <c r="F5" t="str">
        <f>A5</f>
        <v>AH</v>
      </c>
      <c r="G5" s="126">
        <f ca="1">OFFSET(AGR!J$21,$E5,0)</f>
        <v>2.5043970166379772</v>
      </c>
      <c r="H5" s="126">
        <f ca="1">OFFSET(AGR!K$21,$E5,0)</f>
        <v>2.6216187866956937</v>
      </c>
      <c r="I5" s="126">
        <f ca="1">OFFSET(AGR!L$21,$E5,0)</f>
        <v>2.7443272840111796</v>
      </c>
      <c r="J5" s="126">
        <f ca="1">OFFSET(AGR!M$21,$E5,0)</f>
        <v>2.8560003953561792</v>
      </c>
      <c r="K5" s="126">
        <f ca="1">OFFSET(AGR!N$21,$E5,0)</f>
        <v>2.8175869478424151</v>
      </c>
      <c r="L5" s="126">
        <f ca="1">OFFSET(AGR!O$21,$E5,0)</f>
        <v>2.7860826639088394</v>
      </c>
      <c r="M5" s="126">
        <f ca="1">OFFSET(AGR!P$21,$E5,0)</f>
        <v>2.8831489022500709</v>
      </c>
      <c r="N5" s="126">
        <f ca="1">OFFSET(AGR!Q$21,$E5,0)</f>
        <v>2.8392531836346357</v>
      </c>
      <c r="O5" s="203">
        <f ca="1">OFFSET(AGR!R$21,$E5,0)</f>
        <v>2.7947566681861411</v>
      </c>
      <c r="P5" s="126">
        <f ca="1">OFFSET(AGR!S$21,$E5,0)</f>
        <v>2.6932971030031596</v>
      </c>
      <c r="Q5" s="126">
        <f ca="1">OFFSET(AGR!T$21,$E5,0)</f>
        <v>2.7604670406626268</v>
      </c>
      <c r="R5" s="126">
        <f ca="1">OFFSET(AGR!U$21,$E5,0)</f>
        <v>2.8377385902986134</v>
      </c>
      <c r="S5" s="126">
        <f ca="1">OFFSET(AGR!V$21,$E5,0)</f>
        <v>2.9043858584662718</v>
      </c>
      <c r="T5" s="203">
        <f ca="1">OFFSET(AGR!W$21,$E5,0)</f>
        <v>2.9709695145787522</v>
      </c>
      <c r="U5" s="126">
        <f ca="1">OFFSET(AGR!X$21,$E5,0)</f>
        <v>3.0406899079371059</v>
      </c>
      <c r="V5" s="126">
        <f ca="1">OFFSET(AGR!Y$21,$E5,0)</f>
        <v>3.1107065320080189</v>
      </c>
      <c r="W5" s="126">
        <f ca="1">OFFSET(AGR!Z$21,$E5,0)</f>
        <v>3.1792814057691574</v>
      </c>
      <c r="X5" s="126">
        <f ca="1">OFFSET(AGR!AA$21,$E5,0)</f>
        <v>3.2445164287683839</v>
      </c>
      <c r="Y5" s="205">
        <f ca="1">OFFSET(AGR!AB$21,$E5,0)</f>
        <v>3.3092649501076625</v>
      </c>
      <c r="Z5" s="126">
        <f ca="1">OFFSET(AGR!AC$21,$E5,0)</f>
        <v>3.3670023630262773</v>
      </c>
      <c r="AA5" s="126">
        <f ca="1">OFFSET(AGR!AD$21,$E5,0)</f>
        <v>3.4447922318941062</v>
      </c>
      <c r="AB5" s="126">
        <f ca="1">OFFSET(AGR!AE$21,$E5,0)</f>
        <v>3.5179527868061302</v>
      </c>
      <c r="AC5" s="126">
        <f ca="1">OFFSET(AGR!AF$21,$E5,0)</f>
        <v>3.5860481563463757</v>
      </c>
      <c r="AD5" s="126">
        <f ca="1">OFFSET(AGR!AG$21,$E5,0)</f>
        <v>3.6495812943031343</v>
      </c>
      <c r="AE5" s="126">
        <f ca="1">OFFSET(AGR!AH$21,$E5,0)</f>
        <v>3.7223778585858747</v>
      </c>
      <c r="AF5" s="126">
        <f ca="1">OFFSET(AGR!AI$21,$E5,0)</f>
        <v>3.7933249973773706</v>
      </c>
      <c r="AG5" s="126">
        <f ca="1">OFFSET(AGR!AJ$21,$E5,0)</f>
        <v>3.8667979580880907</v>
      </c>
      <c r="AH5" s="126">
        <f ca="1">OFFSET(AGR!AK$21,$E5,0)</f>
        <v>3.9378999098177072</v>
      </c>
      <c r="AI5" s="126">
        <f ca="1">OFFSET(AGR!AL$21,$E5,0)</f>
        <v>4.0108496212054234</v>
      </c>
      <c r="AJ5" s="126">
        <f ca="1">OFFSET(AGR!AM$21,$E5,0)</f>
        <v>4.0876471778445325</v>
      </c>
      <c r="AK5" s="126">
        <f ca="1">OFFSET(AGR!AN$21,$E5,0)</f>
        <v>4.5084723242376166</v>
      </c>
      <c r="AL5" s="126">
        <f ca="1">OFFSET(AGR!AO$21,$E5,0)</f>
        <v>4.981462291318266</v>
      </c>
      <c r="AM5" s="126">
        <f ca="1">OFFSET(AGR!AP$21,$E5,0)</f>
        <v>4.981462291318266</v>
      </c>
      <c r="AQ5" s="4"/>
    </row>
    <row r="6" spans="1:56">
      <c r="A6" s="35" t="s">
        <v>306</v>
      </c>
      <c r="B6">
        <v>6.8942225938929997</v>
      </c>
      <c r="E6" s="129">
        <f>MATCH(F6,AGR!$D$22:$D$26,0)</f>
        <v>4</v>
      </c>
      <c r="F6" s="4" t="str">
        <f t="shared" ref="F6:F68" si="0">A6</f>
        <v>AI</v>
      </c>
      <c r="G6" s="126">
        <f ca="1">OFFSET(AGR!J$21,$E6,0)</f>
        <v>5.0203080915278155</v>
      </c>
      <c r="H6" s="126">
        <f ca="1">OFFSET(AGR!K$21,$E6,0)</f>
        <v>5.2552905630825792</v>
      </c>
      <c r="I6" s="126">
        <f ca="1">OFFSET(AGR!L$21,$E6,0)</f>
        <v>5.5012717145851271</v>
      </c>
      <c r="J6" s="126">
        <f ca="1">OFFSET(AGR!M$21,$E6,0)</f>
        <v>5.7251313585500476</v>
      </c>
      <c r="K6" s="126">
        <f ca="1">OFFSET(AGR!N$21,$E6,0)</f>
        <v>5.6481278562715964</v>
      </c>
      <c r="L6" s="126">
        <f ca="1">OFFSET(AGR!O$21,$E6,0)</f>
        <v>5.5849744462895625</v>
      </c>
      <c r="M6" s="126">
        <f ca="1">OFFSET(AGR!P$21,$E6,0)</f>
        <v>5.7795531886060783</v>
      </c>
      <c r="N6" s="126">
        <f ca="1">OFFSET(AGR!Q$21,$E6,0)</f>
        <v>5.691559939179383</v>
      </c>
      <c r="O6" s="203">
        <f ca="1">OFFSET(AGR!R$21,$E6,0)</f>
        <v>5.6023623339008255</v>
      </c>
      <c r="P6" s="126">
        <f ca="1">OFFSET(AGR!S$21,$E6,0)</f>
        <v>5.3989767394175665</v>
      </c>
      <c r="Q6" s="126">
        <f ca="1">OFFSET(AGR!T$21,$E6,0)</f>
        <v>5.533625431018363</v>
      </c>
      <c r="R6" s="126">
        <f ca="1">OFFSET(AGR!U$21,$E6,0)</f>
        <v>5.6885237891082507</v>
      </c>
      <c r="S6" s="126">
        <f ca="1">OFFSET(AGR!V$21,$E6,0)</f>
        <v>5.8221247387330388</v>
      </c>
      <c r="T6" s="203">
        <f ca="1">OFFSET(AGR!W$21,$E6,0)</f>
        <v>5.9555981717886866</v>
      </c>
      <c r="U6" s="126">
        <f ca="1">OFFSET(AGR!X$21,$E6,0)</f>
        <v>6.0953595006020089</v>
      </c>
      <c r="V6" s="126">
        <f ca="1">OFFSET(AGR!Y$21,$E6,0)</f>
        <v>6.2357146527721481</v>
      </c>
      <c r="W6" s="126">
        <f ca="1">OFFSET(AGR!Z$21,$E6,0)</f>
        <v>6.3731796758221693</v>
      </c>
      <c r="X6" s="126">
        <f ca="1">OFFSET(AGR!AA$21,$E6,0)</f>
        <v>6.5039496422605065</v>
      </c>
      <c r="Y6" s="205">
        <f ca="1">OFFSET(AGR!AB$21,$E6,0)</f>
        <v>6.6337443686695066</v>
      </c>
      <c r="Z6" s="126">
        <f ca="1">OFFSET(AGR!AC$21,$E6,0)</f>
        <v>6.7494846444059489</v>
      </c>
      <c r="AA6" s="126">
        <f ca="1">OFFSET(AGR!AD$21,$E6,0)</f>
        <v>6.9054220239514308</v>
      </c>
      <c r="AB6" s="126">
        <f ca="1">OFFSET(AGR!AE$21,$E6,0)</f>
        <v>7.0520794921425427</v>
      </c>
      <c r="AC6" s="126">
        <f ca="1">OFFSET(AGR!AF$21,$E6,0)</f>
        <v>7.1885833022123213</v>
      </c>
      <c r="AD6" s="126">
        <f ca="1">OFFSET(AGR!AG$21,$E6,0)</f>
        <v>7.315941674086063</v>
      </c>
      <c r="AE6" s="126">
        <f ca="1">OFFSET(AGR!AH$21,$E6,0)</f>
        <v>7.461869487558177</v>
      </c>
      <c r="AF6" s="126">
        <f ca="1">OFFSET(AGR!AI$21,$E6,0)</f>
        <v>7.604089947245452</v>
      </c>
      <c r="AG6" s="126">
        <f ca="1">OFFSET(AGR!AJ$21,$E6,0)</f>
        <v>7.7513736633312122</v>
      </c>
      <c r="AH6" s="126">
        <f ca="1">OFFSET(AGR!AK$21,$E6,0)</f>
        <v>7.8939044606529594</v>
      </c>
      <c r="AI6" s="126">
        <f ca="1">OFFSET(AGR!AL$21,$E6,0)</f>
        <v>8.0401392724345246</v>
      </c>
      <c r="AJ6" s="126">
        <f ca="1">OFFSET(AGR!AM$21,$E6,0)</f>
        <v>8.1940874653302576</v>
      </c>
      <c r="AK6" s="126">
        <f ca="1">OFFSET(AGR!AN$21,$E6,0)</f>
        <v>9.0376725173487795</v>
      </c>
      <c r="AL6" s="126">
        <f ca="1">OFFSET(AGR!AO$21,$E6,0)</f>
        <v>9.9858270404419986</v>
      </c>
      <c r="AM6" s="126">
        <f ca="1">OFFSET(AGR!AP$21,$E6,0)</f>
        <v>9.9858270404419986</v>
      </c>
      <c r="AQ6" s="4"/>
    </row>
    <row r="7" spans="1:56">
      <c r="A7" s="35" t="s">
        <v>307</v>
      </c>
      <c r="B7">
        <v>8.6660070567129992</v>
      </c>
      <c r="E7" s="129">
        <f>MATCH(F7,AGR!$D$22:$D$26,0)</f>
        <v>5</v>
      </c>
      <c r="F7" s="4" t="str">
        <f t="shared" si="0"/>
        <v>AO</v>
      </c>
      <c r="G7" s="126">
        <f ca="1">OFFSET(AGR!J$21,$E7,0)</f>
        <v>8.4310585921569263</v>
      </c>
      <c r="H7" s="126">
        <f ca="1">OFFSET(AGR!K$21,$E7,0)</f>
        <v>8.8256859635629592</v>
      </c>
      <c r="I7" s="126">
        <f ca="1">OFFSET(AGR!L$21,$E7,0)</f>
        <v>9.2387844155053909</v>
      </c>
      <c r="J7" s="126">
        <f ca="1">OFFSET(AGR!M$21,$E7,0)</f>
        <v>9.6147322139826858</v>
      </c>
      <c r="K7" s="126">
        <f ca="1">OFFSET(AGR!N$21,$E7,0)</f>
        <v>9.4854132503504491</v>
      </c>
      <c r="L7" s="126">
        <f ca="1">OFFSET(AGR!O$21,$E7,0)</f>
        <v>9.3793540025621347</v>
      </c>
      <c r="M7" s="126">
        <f ca="1">OFFSET(AGR!P$21,$E7,0)</f>
        <v>9.7061277278693989</v>
      </c>
      <c r="N7" s="126">
        <f ca="1">OFFSET(AGR!Q$21,$E7,0)</f>
        <v>9.5583526853610081</v>
      </c>
      <c r="O7" s="203">
        <f ca="1">OFFSET(AGR!R$21,$E7,0)</f>
        <v>9.4085550588661881</v>
      </c>
      <c r="P7" s="126">
        <f ca="1">OFFSET(AGR!S$21,$E7,0)</f>
        <v>9.0669911881581697</v>
      </c>
      <c r="Q7" s="126">
        <f ca="1">OFFSET(AGR!T$21,$E7,0)</f>
        <v>9.2931189451696117</v>
      </c>
      <c r="R7" s="126">
        <f ca="1">OFFSET(AGR!U$21,$E7,0)</f>
        <v>9.5532538032450862</v>
      </c>
      <c r="S7" s="126">
        <f ca="1">OFFSET(AGR!V$21,$E7,0)</f>
        <v>9.7776219921527119</v>
      </c>
      <c r="T7" s="203">
        <f ca="1">OFFSET(AGR!W$21,$E7,0)</f>
        <v>10.001776030923274</v>
      </c>
      <c r="U7" s="126">
        <f ca="1">OFFSET(AGR!X$21,$E7,0)</f>
        <v>10.236489903191666</v>
      </c>
      <c r="V7" s="126">
        <f ca="1">OFFSET(AGR!Y$21,$E7,0)</f>
        <v>10.472201036867812</v>
      </c>
      <c r="W7" s="126">
        <f ca="1">OFFSET(AGR!Z$21,$E7,0)</f>
        <v>10.703058514651456</v>
      </c>
      <c r="X7" s="126">
        <f ca="1">OFFSET(AGR!AA$21,$E7,0)</f>
        <v>10.922672376796017</v>
      </c>
      <c r="Y7" s="205">
        <f ca="1">OFFSET(AGR!AB$21,$E7,0)</f>
        <v>11.140648429929886</v>
      </c>
      <c r="Z7" s="126">
        <f ca="1">OFFSET(AGR!AC$21,$E7,0)</f>
        <v>11.335021569668681</v>
      </c>
      <c r="AA7" s="126">
        <f ca="1">OFFSET(AGR!AD$21,$E7,0)</f>
        <v>11.596901350687313</v>
      </c>
      <c r="AB7" s="126">
        <f ca="1">OFFSET(AGR!AE$21,$E7,0)</f>
        <v>11.843196535116993</v>
      </c>
      <c r="AC7" s="126">
        <f ca="1">OFFSET(AGR!AF$21,$E7,0)</f>
        <v>12.072439760785386</v>
      </c>
      <c r="AD7" s="126">
        <f ca="1">OFFSET(AGR!AG$21,$E7,0)</f>
        <v>12.286324222832903</v>
      </c>
      <c r="AE7" s="126">
        <f ca="1">OFFSET(AGR!AH$21,$E7,0)</f>
        <v>12.531394031931875</v>
      </c>
      <c r="AF7" s="126">
        <f ca="1">OFFSET(AGR!AI$21,$E7,0)</f>
        <v>12.77023774565742</v>
      </c>
      <c r="AG7" s="126">
        <f ca="1">OFFSET(AGR!AJ$21,$E7,0)</f>
        <v>13.017584644961314</v>
      </c>
      <c r="AH7" s="126">
        <f ca="1">OFFSET(AGR!AK$21,$E7,0)</f>
        <v>13.256949536816146</v>
      </c>
      <c r="AI7" s="126">
        <f ca="1">OFFSET(AGR!AL$21,$E7,0)</f>
        <v>13.502534916013106</v>
      </c>
      <c r="AJ7" s="126">
        <f ca="1">OFFSET(AGR!AM$21,$E7,0)</f>
        <v>13.761074075522259</v>
      </c>
      <c r="AK7" s="126">
        <f ca="1">OFFSET(AGR!AN$21,$E7,0)</f>
        <v>15.177782945051309</v>
      </c>
      <c r="AL7" s="126">
        <f ca="1">OFFSET(AGR!AO$21,$E7,0)</f>
        <v>16.770104809143273</v>
      </c>
      <c r="AM7" s="126">
        <f ca="1">OFFSET(AGR!AP$21,$E7,0)</f>
        <v>16.770104809143273</v>
      </c>
      <c r="AQ7" s="4"/>
    </row>
    <row r="8" spans="1:56">
      <c r="A8" s="35" t="s">
        <v>308</v>
      </c>
      <c r="B8">
        <v>5.4851590254799998</v>
      </c>
      <c r="E8" s="129">
        <f>MATCH(F8,AGR!$D$22:$D$26,0)</f>
        <v>2</v>
      </c>
      <c r="F8" s="4" t="str">
        <f t="shared" si="0"/>
        <v>AP</v>
      </c>
      <c r="G8" s="126">
        <f ca="1">OFFSET(AGR!J$21,$E8,0)</f>
        <v>3.8349683201390801</v>
      </c>
      <c r="H8" s="126">
        <f ca="1">OFFSET(AGR!K$21,$E8,0)</f>
        <v>4.014469322422439</v>
      </c>
      <c r="I8" s="126">
        <f ca="1">OFFSET(AGR!L$21,$E8,0)</f>
        <v>4.2023721176623461</v>
      </c>
      <c r="J8" s="126">
        <f ca="1">OFFSET(AGR!M$21,$E8,0)</f>
        <v>4.3733764917189628</v>
      </c>
      <c r="K8" s="126">
        <f ca="1">OFFSET(AGR!N$21,$E8,0)</f>
        <v>4.3145542070317005</v>
      </c>
      <c r="L8" s="126">
        <f ca="1">OFFSET(AGR!O$21,$E8,0)</f>
        <v>4.266311883617611</v>
      </c>
      <c r="M8" s="126">
        <f ca="1">OFFSET(AGR!P$21,$E8,0)</f>
        <v>4.4149488395477903</v>
      </c>
      <c r="N8" s="126">
        <f ca="1">OFFSET(AGR!Q$21,$E8,0)</f>
        <v>4.3477315855894227</v>
      </c>
      <c r="O8" s="203">
        <f ca="1">OFFSET(AGR!R$21,$E8,0)</f>
        <v>4.2795943349986052</v>
      </c>
      <c r="P8" s="126">
        <f ca="1">OFFSET(AGR!S$21,$E8,0)</f>
        <v>4.124229903693637</v>
      </c>
      <c r="Q8" s="126">
        <f ca="1">OFFSET(AGR!T$21,$E8,0)</f>
        <v>4.2270868314404924</v>
      </c>
      <c r="R8" s="126">
        <f ca="1">OFFSET(AGR!U$21,$E8,0)</f>
        <v>4.3454122977836347</v>
      </c>
      <c r="S8" s="126">
        <f ca="1">OFFSET(AGR!V$21,$E8,0)</f>
        <v>4.4474688648330156</v>
      </c>
      <c r="T8" s="203">
        <f ca="1">OFFSET(AGR!W$21,$E8,0)</f>
        <v>4.5494280231190238</v>
      </c>
      <c r="U8" s="126">
        <f ca="1">OFFSET(AGR!X$21,$E8,0)</f>
        <v>4.6561904485733789</v>
      </c>
      <c r="V8" s="126">
        <f ca="1">OFFSET(AGR!Y$21,$E8,0)</f>
        <v>4.7634064903635505</v>
      </c>
      <c r="W8" s="126">
        <f ca="1">OFFSET(AGR!Z$21,$E8,0)</f>
        <v>4.8684147884426396</v>
      </c>
      <c r="X8" s="126">
        <f ca="1">OFFSET(AGR!AA$21,$E8,0)</f>
        <v>4.9683087928291423</v>
      </c>
      <c r="Y8" s="205">
        <f ca="1">OFFSET(AGR!AB$21,$E8,0)</f>
        <v>5.0674578201049068</v>
      </c>
      <c r="Z8" s="126">
        <f ca="1">OFFSET(AGR!AC$21,$E8,0)</f>
        <v>5.155870778577011</v>
      </c>
      <c r="AA8" s="126">
        <f ca="1">OFFSET(AGR!AD$21,$E8,0)</f>
        <v>5.2749899440903043</v>
      </c>
      <c r="AB8" s="126">
        <f ca="1">OFFSET(AGR!AE$21,$E8,0)</f>
        <v>5.3870202685586097</v>
      </c>
      <c r="AC8" s="126">
        <f ca="1">OFFSET(AGR!AF$21,$E8,0)</f>
        <v>5.4912943046639464</v>
      </c>
      <c r="AD8" s="126">
        <f ca="1">OFFSET(AGR!AG$21,$E8,0)</f>
        <v>5.588582222563752</v>
      </c>
      <c r="AE8" s="126">
        <f ca="1">OFFSET(AGR!AH$21,$E8,0)</f>
        <v>5.7000551703370457</v>
      </c>
      <c r="AF8" s="126">
        <f ca="1">OFFSET(AGR!AI$21,$E8,0)</f>
        <v>5.808696103808189</v>
      </c>
      <c r="AG8" s="126">
        <f ca="1">OFFSET(AGR!AJ$21,$E8,0)</f>
        <v>5.9212048134259208</v>
      </c>
      <c r="AH8" s="126">
        <f ca="1">OFFSET(AGR!AK$21,$E8,0)</f>
        <v>6.0300828110323819</v>
      </c>
      <c r="AI8" s="126">
        <f ca="1">OFFSET(AGR!AL$21,$E8,0)</f>
        <v>6.1417902720605628</v>
      </c>
      <c r="AJ8" s="126">
        <f ca="1">OFFSET(AGR!AM$21,$E8,0)</f>
        <v>6.2593899157346478</v>
      </c>
      <c r="AK8" s="126">
        <f ca="1">OFFSET(AGR!AN$21,$E8,0)</f>
        <v>6.9037969702127269</v>
      </c>
      <c r="AL8" s="126">
        <f ca="1">OFFSET(AGR!AO$21,$E8,0)</f>
        <v>7.6280837056812851</v>
      </c>
      <c r="AM8" s="126">
        <f ca="1">OFFSET(AGR!AP$21,$E8,0)</f>
        <v>7.6280837056812851</v>
      </c>
      <c r="AQ8" s="4"/>
    </row>
    <row r="9" spans="1:56">
      <c r="A9" s="35" t="s">
        <v>309</v>
      </c>
      <c r="B9">
        <v>14.26028349219</v>
      </c>
      <c r="E9" s="130">
        <f>MATCH(F9,AGR!$D$22:$D$26,0)</f>
        <v>3</v>
      </c>
      <c r="F9" s="4" t="str">
        <f t="shared" si="0"/>
        <v>AT</v>
      </c>
      <c r="G9" s="126">
        <f ca="1">OFFSET(AGR!J$21,$E9,0)</f>
        <v>14.570390350961301</v>
      </c>
      <c r="H9" s="126">
        <f ca="1">OFFSET(AGR!K$21,$E9,0)</f>
        <v>15.25237764611645</v>
      </c>
      <c r="I9" s="126">
        <f ca="1">OFFSET(AGR!L$21,$E9,0)</f>
        <v>15.966286300929774</v>
      </c>
      <c r="J9" s="126">
        <f ca="1">OFFSET(AGR!M$21,$E9,0)</f>
        <v>16.615991923957282</v>
      </c>
      <c r="K9" s="126">
        <f ca="1">OFFSET(AGR!N$21,$E9,0)</f>
        <v>16.392505423500946</v>
      </c>
      <c r="L9" s="126">
        <f ca="1">OFFSET(AGR!O$21,$E9,0)</f>
        <v>16.209215908463932</v>
      </c>
      <c r="M9" s="126">
        <f ca="1">OFFSET(AGR!P$21,$E9,0)</f>
        <v>16.773939861229938</v>
      </c>
      <c r="N9" s="126">
        <f ca="1">OFFSET(AGR!Q$21,$E9,0)</f>
        <v>16.518557926690882</v>
      </c>
      <c r="O9" s="203">
        <f ca="1">OFFSET(AGR!R$21,$E9,0)</f>
        <v>16.259680602115363</v>
      </c>
      <c r="P9" s="126">
        <f ca="1">OFFSET(AGR!S$21,$E9,0)</f>
        <v>15.669396609707727</v>
      </c>
      <c r="Q9" s="126">
        <f ca="1">OFFSET(AGR!T$21,$E9,0)</f>
        <v>16.060186171045736</v>
      </c>
      <c r="R9" s="126">
        <f ca="1">OFFSET(AGR!U$21,$E9,0)</f>
        <v>16.509746138471122</v>
      </c>
      <c r="S9" s="126">
        <f ca="1">OFFSET(AGR!V$21,$E9,0)</f>
        <v>16.897494848670274</v>
      </c>
      <c r="T9" s="203">
        <f ca="1">OFFSET(AGR!W$21,$E9,0)</f>
        <v>17.284873468796324</v>
      </c>
      <c r="U9" s="126">
        <f ca="1">OFFSET(AGR!X$21,$E9,0)</f>
        <v>17.690501386376862</v>
      </c>
      <c r="V9" s="126">
        <f ca="1">OFFSET(AGR!Y$21,$E9,0)</f>
        <v>18.097852751592608</v>
      </c>
      <c r="W9" s="126">
        <f ca="1">OFFSET(AGR!Z$21,$E9,0)</f>
        <v>18.49681612374556</v>
      </c>
      <c r="X9" s="126">
        <f ca="1">OFFSET(AGR!AA$21,$E9,0)</f>
        <v>18.876348499538224</v>
      </c>
      <c r="Y9" s="205">
        <f ca="1">OFFSET(AGR!AB$21,$E9,0)</f>
        <v>19.253050445872322</v>
      </c>
      <c r="Z9" s="126">
        <f ca="1">OFFSET(AGR!AC$21,$E9,0)</f>
        <v>19.588962299500142</v>
      </c>
      <c r="AA9" s="126">
        <f ca="1">OFFSET(AGR!AD$21,$E9,0)</f>
        <v>20.041537808584533</v>
      </c>
      <c r="AB9" s="126">
        <f ca="1">OFFSET(AGR!AE$21,$E9,0)</f>
        <v>20.467180323041827</v>
      </c>
      <c r="AC9" s="126">
        <f ca="1">OFFSET(AGR!AF$21,$E9,0)</f>
        <v>20.863353976301596</v>
      </c>
      <c r="AD9" s="126">
        <f ca="1">OFFSET(AGR!AG$21,$E9,0)</f>
        <v>21.232984915047144</v>
      </c>
      <c r="AE9" s="126">
        <f ca="1">OFFSET(AGR!AH$21,$E9,0)</f>
        <v>21.656509759854806</v>
      </c>
      <c r="AF9" s="126">
        <f ca="1">OFFSET(AGR!AI$21,$E9,0)</f>
        <v>22.06927478856565</v>
      </c>
      <c r="AG9" s="126">
        <f ca="1">OFFSET(AGR!AJ$21,$E9,0)</f>
        <v>22.496734856072504</v>
      </c>
      <c r="AH9" s="126">
        <f ca="1">OFFSET(AGR!AK$21,$E9,0)</f>
        <v>22.910400574619988</v>
      </c>
      <c r="AI9" s="126">
        <f ca="1">OFFSET(AGR!AL$21,$E9,0)</f>
        <v>23.334816417574427</v>
      </c>
      <c r="AJ9" s="126">
        <f ca="1">OFFSET(AGR!AM$21,$E9,0)</f>
        <v>23.781618729986551</v>
      </c>
      <c r="AK9" s="126">
        <f ca="1">OFFSET(AGR!AN$21,$E9,0)</f>
        <v>26.229947254462679</v>
      </c>
      <c r="AL9" s="126">
        <f ca="1">OFFSET(AGR!AO$21,$E9,0)</f>
        <v>28.981766717059344</v>
      </c>
      <c r="AM9" s="126">
        <f ca="1">OFFSET(AGR!AP$21,$E9,0)</f>
        <v>28.981766717059344</v>
      </c>
      <c r="AQ9" s="4"/>
    </row>
    <row r="10" spans="1:56">
      <c r="A10" s="35" t="s">
        <v>310</v>
      </c>
      <c r="B10">
        <v>0.39719718710289997</v>
      </c>
      <c r="E10" s="129">
        <f ca="1">MATCH(F10,IND!$D$26:$D$255,0)</f>
        <v>110</v>
      </c>
      <c r="F10" s="4" t="str">
        <f t="shared" si="0"/>
        <v>ICPA</v>
      </c>
      <c r="G10" s="126">
        <f ca="1">OFFSET(IND!J$25,$E10,0)</f>
        <v>0.2086787369811067</v>
      </c>
      <c r="H10" s="126">
        <f ca="1">OFFSET(IND!K$25,$E10,0)</f>
        <v>0.21492511919609003</v>
      </c>
      <c r="I10" s="126">
        <f ca="1">OFFSET(IND!L$25,$E10,0)</f>
        <v>0.21936658623983632</v>
      </c>
      <c r="J10" s="126">
        <f ca="1">OFFSET(IND!M$25,$E10,0)</f>
        <v>0.30344250000000006</v>
      </c>
      <c r="K10" s="126">
        <f ca="1">OFFSET(IND!N$25,$E10,0)</f>
        <v>0.30344250000000006</v>
      </c>
      <c r="L10" s="126">
        <f ca="1">OFFSET(IND!O$25,$E10,0)</f>
        <v>0.30344250000000006</v>
      </c>
      <c r="M10" s="126">
        <f ca="1">OFFSET(IND!P$25,$E10,0)</f>
        <v>0.30687877870399505</v>
      </c>
      <c r="N10" s="126">
        <f ca="1">OFFSET(IND!Q$25,$E10,0)</f>
        <v>0.30623182499737872</v>
      </c>
      <c r="O10" s="203">
        <f ca="1">OFFSET(IND!R$25,$E10,0)</f>
        <v>0.2822680233564015</v>
      </c>
      <c r="P10" s="126">
        <f ca="1">OFFSET(IND!S$25,$E10,0)</f>
        <v>0.30470604659459888</v>
      </c>
      <c r="Q10" s="126">
        <f ca="1">OFFSET(IND!T$25,$E10,0)</f>
        <v>0.30804325712909553</v>
      </c>
      <c r="R10" s="126">
        <f ca="1">OFFSET(IND!U$25,$E10,0)</f>
        <v>0.3115510123095751</v>
      </c>
      <c r="S10" s="126">
        <f ca="1">OFFSET(IND!V$25,$E10,0)</f>
        <v>0.31545958582183836</v>
      </c>
      <c r="T10" s="203">
        <f ca="1">OFFSET(IND!W$25,$E10,0)</f>
        <v>0.319329716436137</v>
      </c>
      <c r="U10" s="126">
        <f ca="1">OFFSET(IND!X$25,$E10,0)</f>
        <v>0.3278691687513981</v>
      </c>
      <c r="V10" s="126">
        <f ca="1">OFFSET(IND!Y$25,$E10,0)</f>
        <v>0.33652150122208913</v>
      </c>
      <c r="W10" s="126">
        <f ca="1">OFFSET(IND!Z$25,$E10,0)</f>
        <v>0.34587492608917697</v>
      </c>
      <c r="X10" s="126">
        <f ca="1">OFFSET(IND!AA$25,$E10,0)</f>
        <v>0.35542117110933852</v>
      </c>
      <c r="Y10" s="205">
        <f ca="1">OFFSET(IND!AB$25,$E10,0)</f>
        <v>0.36377568883105221</v>
      </c>
      <c r="Z10" s="126">
        <f ca="1">OFFSET(IND!AC$25,$E10,0)</f>
        <v>0.37346427676234961</v>
      </c>
      <c r="AA10" s="126">
        <f ca="1">OFFSET(IND!AD$25,$E10,0)</f>
        <v>0.38359964031778787</v>
      </c>
      <c r="AB10" s="126">
        <f ca="1">OFFSET(IND!AE$25,$E10,0)</f>
        <v>0.39371404428012519</v>
      </c>
      <c r="AC10" s="126">
        <f ca="1">OFFSET(IND!AF$25,$E10,0)</f>
        <v>0.40365259466068049</v>
      </c>
      <c r="AD10" s="126">
        <f ca="1">OFFSET(IND!AG$25,$E10,0)</f>
        <v>0.41451401405569399</v>
      </c>
      <c r="AE10" s="126">
        <f ca="1">OFFSET(IND!AH$25,$E10,0)</f>
        <v>0.42508726764767102</v>
      </c>
      <c r="AF10" s="126">
        <f ca="1">OFFSET(IND!AI$25,$E10,0)</f>
        <v>0.43608796871649608</v>
      </c>
      <c r="AG10" s="126">
        <f ca="1">OFFSET(IND!AJ$25,$E10,0)</f>
        <v>0.44691096711817091</v>
      </c>
      <c r="AH10" s="126">
        <f ca="1">OFFSET(IND!AK$25,$E10,0)</f>
        <v>0.45811209770099565</v>
      </c>
      <c r="AI10" s="126">
        <f ca="1">OFFSET(IND!AL$25,$E10,0)</f>
        <v>0.46998894169725003</v>
      </c>
      <c r="AJ10" s="126">
        <f ca="1">OFFSET(IND!AM$25,$E10,0)</f>
        <v>0.53665608993480429</v>
      </c>
      <c r="AK10" s="126">
        <f ca="1">OFFSET(IND!AN$25,$E10,0)</f>
        <v>0.61216364086304009</v>
      </c>
      <c r="AL10" s="126">
        <f ca="1">OFFSET(IND!AO$25,$E10,0)</f>
        <v>0.75286493958038148</v>
      </c>
      <c r="AM10" s="126">
        <f ca="1">OFFSET(IND!AP$25,$E10,0)</f>
        <v>0.89503963874617454</v>
      </c>
      <c r="AQ10" s="4"/>
    </row>
    <row r="11" spans="1:56">
      <c r="A11" s="35" t="s">
        <v>311</v>
      </c>
      <c r="B11">
        <v>5.295962494706</v>
      </c>
      <c r="E11" s="129">
        <f ca="1">MATCH(F11,IND!$D$26:$D$255,0)</f>
        <v>112</v>
      </c>
      <c r="F11" s="4" t="str">
        <f t="shared" si="0"/>
        <v>ICPC</v>
      </c>
      <c r="G11" s="126">
        <f ca="1">OFFSET(IND!J$25,$E11,0)</f>
        <v>2.7823831597480893</v>
      </c>
      <c r="H11" s="126">
        <f ca="1">OFFSET(IND!K$25,$E11,0)</f>
        <v>2.8656682559478672</v>
      </c>
      <c r="I11" s="126">
        <f ca="1">OFFSET(IND!L$25,$E11,0)</f>
        <v>2.9248878165311512</v>
      </c>
      <c r="J11" s="126">
        <f ca="1">OFFSET(IND!M$25,$E11,0)</f>
        <v>4.0459000000000005</v>
      </c>
      <c r="K11" s="126">
        <f ca="1">OFFSET(IND!N$25,$E11,0)</f>
        <v>4.0459000000000005</v>
      </c>
      <c r="L11" s="126">
        <f ca="1">OFFSET(IND!O$25,$E11,0)</f>
        <v>4.0459000000000005</v>
      </c>
      <c r="M11" s="126">
        <f ca="1">OFFSET(IND!P$25,$E11,0)</f>
        <v>4.0917170493866006</v>
      </c>
      <c r="N11" s="126">
        <f ca="1">OFFSET(IND!Q$25,$E11,0)</f>
        <v>4.0830909999650498</v>
      </c>
      <c r="O11" s="203">
        <f ca="1">OFFSET(IND!R$25,$E11,0)</f>
        <v>3.7635736447520198</v>
      </c>
      <c r="P11" s="126">
        <f ca="1">OFFSET(IND!S$25,$E11,0)</f>
        <v>4.0627472879279853</v>
      </c>
      <c r="Q11" s="126">
        <f ca="1">OFFSET(IND!T$25,$E11,0)</f>
        <v>4.1072434283879407</v>
      </c>
      <c r="R11" s="126">
        <f ca="1">OFFSET(IND!U$25,$E11,0)</f>
        <v>4.1540134974610021</v>
      </c>
      <c r="S11" s="126">
        <f ca="1">OFFSET(IND!V$25,$E11,0)</f>
        <v>4.2061278109578453</v>
      </c>
      <c r="T11" s="203">
        <f ca="1">OFFSET(IND!W$25,$E11,0)</f>
        <v>4.2577295524818277</v>
      </c>
      <c r="U11" s="126">
        <f ca="1">OFFSET(IND!X$25,$E11,0)</f>
        <v>4.371588916685309</v>
      </c>
      <c r="V11" s="126">
        <f ca="1">OFFSET(IND!Y$25,$E11,0)</f>
        <v>4.4869533496278562</v>
      </c>
      <c r="W11" s="126">
        <f ca="1">OFFSET(IND!Z$25,$E11,0)</f>
        <v>4.6116656811890273</v>
      </c>
      <c r="X11" s="126">
        <f ca="1">OFFSET(IND!AA$25,$E11,0)</f>
        <v>4.7389489481245146</v>
      </c>
      <c r="Y11" s="205">
        <f ca="1">OFFSET(IND!AB$25,$E11,0)</f>
        <v>4.8503425177473645</v>
      </c>
      <c r="Z11" s="126">
        <f ca="1">OFFSET(IND!AC$25,$E11,0)</f>
        <v>4.9795236901646627</v>
      </c>
      <c r="AA11" s="126">
        <f ca="1">OFFSET(IND!AD$25,$E11,0)</f>
        <v>5.1146618709038396</v>
      </c>
      <c r="AB11" s="126">
        <f ca="1">OFFSET(IND!AE$25,$E11,0)</f>
        <v>5.2495205904016702</v>
      </c>
      <c r="AC11" s="126">
        <f ca="1">OFFSET(IND!AF$25,$E11,0)</f>
        <v>5.3820345954757407</v>
      </c>
      <c r="AD11" s="126">
        <f ca="1">OFFSET(IND!AG$25,$E11,0)</f>
        <v>5.5268535207425877</v>
      </c>
      <c r="AE11" s="126">
        <f ca="1">OFFSET(IND!AH$25,$E11,0)</f>
        <v>5.667830235302282</v>
      </c>
      <c r="AF11" s="126">
        <f ca="1">OFFSET(IND!AI$25,$E11,0)</f>
        <v>5.8145062495532835</v>
      </c>
      <c r="AG11" s="126">
        <f ca="1">OFFSET(IND!AJ$25,$E11,0)</f>
        <v>5.9588128949089487</v>
      </c>
      <c r="AH11" s="126">
        <f ca="1">OFFSET(IND!AK$25,$E11,0)</f>
        <v>6.1081613026799451</v>
      </c>
      <c r="AI11" s="126">
        <f ca="1">OFFSET(IND!AL$25,$E11,0)</f>
        <v>6.266519222630003</v>
      </c>
      <c r="AJ11" s="126">
        <f ca="1">OFFSET(IND!AM$25,$E11,0)</f>
        <v>7.1554145324640599</v>
      </c>
      <c r="AK11" s="126">
        <f ca="1">OFFSET(IND!AN$25,$E11,0)</f>
        <v>8.1621818781738718</v>
      </c>
      <c r="AL11" s="126">
        <f ca="1">OFFSET(IND!AO$25,$E11,0)</f>
        <v>10.038199194405092</v>
      </c>
      <c r="AM11" s="126">
        <f ca="1">OFFSET(IND!AP$25,$E11,0)</f>
        <v>11.933861849949</v>
      </c>
      <c r="AQ11" s="4"/>
    </row>
    <row r="12" spans="1:56">
      <c r="A12" s="35" t="s">
        <v>312</v>
      </c>
      <c r="B12">
        <v>3.219945196781</v>
      </c>
      <c r="E12" s="129">
        <f ca="1">MATCH(F12,IND!$D$26:$D$255,0)</f>
        <v>117</v>
      </c>
      <c r="F12" s="4" t="str">
        <f t="shared" si="0"/>
        <v>ICPE</v>
      </c>
      <c r="G12" s="126">
        <f ca="1">OFFSET(IND!J$25,$E12,0)</f>
        <v>1.6916889611268384</v>
      </c>
      <c r="H12" s="126">
        <f ca="1">OFFSET(IND!K$25,$E12,0)</f>
        <v>1.7423262996163034</v>
      </c>
      <c r="I12" s="126">
        <f ca="1">OFFSET(IND!L$25,$E12,0)</f>
        <v>1.7783317924509401</v>
      </c>
      <c r="J12" s="126">
        <f ca="1">OFFSET(IND!M$25,$E12,0)</f>
        <v>2.4599072000000004</v>
      </c>
      <c r="K12" s="126">
        <f ca="1">OFFSET(IND!N$25,$E12,0)</f>
        <v>2.4599072000000004</v>
      </c>
      <c r="L12" s="126">
        <f ca="1">OFFSET(IND!O$25,$E12,0)</f>
        <v>2.4599072000000004</v>
      </c>
      <c r="M12" s="126">
        <f ca="1">OFFSET(IND!P$25,$E12,0)</f>
        <v>2.4877639660270532</v>
      </c>
      <c r="N12" s="126">
        <f ca="1">OFFSET(IND!Q$25,$E12,0)</f>
        <v>2.4825193279787503</v>
      </c>
      <c r="O12" s="203">
        <f ca="1">OFFSET(IND!R$25,$E12,0)</f>
        <v>2.2882527760092284</v>
      </c>
      <c r="P12" s="126">
        <f ca="1">OFFSET(IND!S$25,$E12,0)</f>
        <v>2.4701503510602154</v>
      </c>
      <c r="Q12" s="126">
        <f ca="1">OFFSET(IND!T$25,$E12,0)</f>
        <v>2.497204004459868</v>
      </c>
      <c r="R12" s="126">
        <f ca="1">OFFSET(IND!U$25,$E12,0)</f>
        <v>2.5256402064562891</v>
      </c>
      <c r="S12" s="126">
        <f ca="1">OFFSET(IND!V$25,$E12,0)</f>
        <v>2.5573257090623698</v>
      </c>
      <c r="T12" s="203">
        <f ca="1">OFFSET(IND!W$25,$E12,0)</f>
        <v>2.5886995679089506</v>
      </c>
      <c r="U12" s="126">
        <f ca="1">OFFSET(IND!X$25,$E12,0)</f>
        <v>2.6579260613446669</v>
      </c>
      <c r="V12" s="126">
        <f ca="1">OFFSET(IND!Y$25,$E12,0)</f>
        <v>2.7280676365737357</v>
      </c>
      <c r="W12" s="126">
        <f ca="1">OFFSET(IND!Z$25,$E12,0)</f>
        <v>2.8038927341629276</v>
      </c>
      <c r="X12" s="126">
        <f ca="1">OFFSET(IND!AA$25,$E12,0)</f>
        <v>2.8812809604597041</v>
      </c>
      <c r="Y12" s="205">
        <f ca="1">OFFSET(IND!AB$25,$E12,0)</f>
        <v>2.9490082507903965</v>
      </c>
      <c r="Z12" s="126">
        <f ca="1">OFFSET(IND!AC$25,$E12,0)</f>
        <v>3.027550403620114</v>
      </c>
      <c r="AA12" s="126">
        <f ca="1">OFFSET(IND!AD$25,$E12,0)</f>
        <v>3.1097144175095335</v>
      </c>
      <c r="AB12" s="126">
        <f ca="1">OFFSET(IND!AE$25,$E12,0)</f>
        <v>3.1917085189642145</v>
      </c>
      <c r="AC12" s="126">
        <f ca="1">OFFSET(IND!AF$25,$E12,0)</f>
        <v>3.2722770340492495</v>
      </c>
      <c r="AD12" s="126">
        <f ca="1">OFFSET(IND!AG$25,$E12,0)</f>
        <v>3.3603269406114924</v>
      </c>
      <c r="AE12" s="126">
        <f ca="1">OFFSET(IND!AH$25,$E12,0)</f>
        <v>3.4460407830637863</v>
      </c>
      <c r="AF12" s="126">
        <f ca="1">OFFSET(IND!AI$25,$E12,0)</f>
        <v>3.5352197997283947</v>
      </c>
      <c r="AG12" s="126">
        <f ca="1">OFFSET(IND!AJ$25,$E12,0)</f>
        <v>3.622958240104639</v>
      </c>
      <c r="AH12" s="126">
        <f ca="1">OFFSET(IND!AK$25,$E12,0)</f>
        <v>3.7137620720294047</v>
      </c>
      <c r="AI12" s="126">
        <f ca="1">OFFSET(IND!AL$25,$E12,0)</f>
        <v>3.8100436873590402</v>
      </c>
      <c r="AJ12" s="126">
        <f ca="1">OFFSET(IND!AM$25,$E12,0)</f>
        <v>4.3504920357381467</v>
      </c>
      <c r="AK12" s="126">
        <f ca="1">OFFSET(IND!AN$25,$E12,0)</f>
        <v>4.9626065819297116</v>
      </c>
      <c r="AL12" s="126">
        <f ca="1">OFFSET(IND!AO$25,$E12,0)</f>
        <v>6.1032251101982924</v>
      </c>
      <c r="AM12" s="126">
        <f ca="1">OFFSET(IND!AP$25,$E12,0)</f>
        <v>7.2557880047689878</v>
      </c>
      <c r="AQ12" s="4"/>
    </row>
    <row r="13" spans="1:56">
      <c r="A13" s="35" t="s">
        <v>313</v>
      </c>
      <c r="B13">
        <v>3.389415996611</v>
      </c>
      <c r="E13" s="129">
        <f ca="1">MATCH(F13,IND!$D$26:$D$255,0)</f>
        <v>115</v>
      </c>
      <c r="F13" s="4" t="str">
        <f t="shared" si="0"/>
        <v>ICPF</v>
      </c>
      <c r="G13" s="126">
        <f ca="1">OFFSET(IND!J$25,$E13,0)</f>
        <v>1.7807252222387775</v>
      </c>
      <c r="H13" s="126">
        <f ca="1">OFFSET(IND!K$25,$E13,0)</f>
        <v>1.8340276838066354</v>
      </c>
      <c r="I13" s="126">
        <f ca="1">OFFSET(IND!L$25,$E13,0)</f>
        <v>1.8719282025799371</v>
      </c>
      <c r="J13" s="126">
        <f ca="1">OFFSET(IND!M$25,$E13,0)</f>
        <v>2.5893760000000006</v>
      </c>
      <c r="K13" s="126">
        <f ca="1">OFFSET(IND!N$25,$E13,0)</f>
        <v>2.5893760000000006</v>
      </c>
      <c r="L13" s="126">
        <f ca="1">OFFSET(IND!O$25,$E13,0)</f>
        <v>2.5893760000000006</v>
      </c>
      <c r="M13" s="126">
        <f ca="1">OFFSET(IND!P$25,$E13,0)</f>
        <v>2.6186989116074244</v>
      </c>
      <c r="N13" s="126">
        <f ca="1">OFFSET(IND!Q$25,$E13,0)</f>
        <v>2.613178239977632</v>
      </c>
      <c r="O13" s="203">
        <f ca="1">OFFSET(IND!R$25,$E13,0)</f>
        <v>2.4086871326412931</v>
      </c>
      <c r="P13" s="126">
        <f ca="1">OFFSET(IND!S$25,$E13,0)</f>
        <v>2.6001582642739107</v>
      </c>
      <c r="Q13" s="126">
        <f ca="1">OFFSET(IND!T$25,$E13,0)</f>
        <v>2.6286357941682819</v>
      </c>
      <c r="R13" s="126">
        <f ca="1">OFFSET(IND!U$25,$E13,0)</f>
        <v>2.6585686383750411</v>
      </c>
      <c r="S13" s="126">
        <f ca="1">OFFSET(IND!V$25,$E13,0)</f>
        <v>2.6919217990130209</v>
      </c>
      <c r="T13" s="203">
        <f ca="1">OFFSET(IND!W$25,$E13,0)</f>
        <v>2.7249469135883695</v>
      </c>
      <c r="U13" s="126">
        <f ca="1">OFFSET(IND!X$25,$E13,0)</f>
        <v>2.7978169066785972</v>
      </c>
      <c r="V13" s="126">
        <f ca="1">OFFSET(IND!Y$25,$E13,0)</f>
        <v>2.8716501437618276</v>
      </c>
      <c r="W13" s="126">
        <f ca="1">OFFSET(IND!Z$25,$E13,0)</f>
        <v>2.9514660359609772</v>
      </c>
      <c r="X13" s="126">
        <f ca="1">OFFSET(IND!AA$25,$E13,0)</f>
        <v>3.032927326799689</v>
      </c>
      <c r="Y13" s="205">
        <f ca="1">OFFSET(IND!AB$25,$E13,0)</f>
        <v>3.1042192113583127</v>
      </c>
      <c r="Z13" s="126">
        <f ca="1">OFFSET(IND!AC$25,$E13,0)</f>
        <v>3.1868951617053836</v>
      </c>
      <c r="AA13" s="126">
        <f ca="1">OFFSET(IND!AD$25,$E13,0)</f>
        <v>3.2733835973784569</v>
      </c>
      <c r="AB13" s="126">
        <f ca="1">OFFSET(IND!AE$25,$E13,0)</f>
        <v>3.3596931778570687</v>
      </c>
      <c r="AC13" s="126">
        <f ca="1">OFFSET(IND!AF$25,$E13,0)</f>
        <v>3.4445021411044738</v>
      </c>
      <c r="AD13" s="126">
        <f ca="1">OFFSET(IND!AG$25,$E13,0)</f>
        <v>3.5371862532752556</v>
      </c>
      <c r="AE13" s="126">
        <f ca="1">OFFSET(IND!AH$25,$E13,0)</f>
        <v>3.6274113505934595</v>
      </c>
      <c r="AF13" s="126">
        <f ca="1">OFFSET(IND!AI$25,$E13,0)</f>
        <v>3.7212839997141001</v>
      </c>
      <c r="AG13" s="126">
        <f ca="1">OFFSET(IND!AJ$25,$E13,0)</f>
        <v>3.8136402527417257</v>
      </c>
      <c r="AH13" s="126">
        <f ca="1">OFFSET(IND!AK$25,$E13,0)</f>
        <v>3.9092232337151636</v>
      </c>
      <c r="AI13" s="126">
        <f ca="1">OFFSET(IND!AL$25,$E13,0)</f>
        <v>4.010572302483201</v>
      </c>
      <c r="AJ13" s="126">
        <f ca="1">OFFSET(IND!AM$25,$E13,0)</f>
        <v>4.5794653007769979</v>
      </c>
      <c r="AK13" s="126">
        <f ca="1">OFFSET(IND!AN$25,$E13,0)</f>
        <v>5.2237964020312768</v>
      </c>
      <c r="AL13" s="126">
        <f ca="1">OFFSET(IND!AO$25,$E13,0)</f>
        <v>6.4244474844192574</v>
      </c>
      <c r="AM13" s="126">
        <f ca="1">OFFSET(IND!AP$25,$E13,0)</f>
        <v>7.6376715839673581</v>
      </c>
      <c r="AQ13" s="4"/>
    </row>
    <row r="14" spans="1:56">
      <c r="A14" s="35" t="s">
        <v>314</v>
      </c>
      <c r="B14">
        <v>0.95327324904709998</v>
      </c>
      <c r="E14" s="129">
        <f ca="1">MATCH(F14,IND!$D$26:$D$255,0)</f>
        <v>113</v>
      </c>
      <c r="F14" s="4" t="str">
        <f t="shared" si="0"/>
        <v>ICPH</v>
      </c>
      <c r="G14" s="126">
        <f ca="1">OFFSET(IND!J$25,$E14,0)</f>
        <v>0.5008289687546561</v>
      </c>
      <c r="H14" s="126">
        <f ca="1">OFFSET(IND!K$25,$E14,0)</f>
        <v>0.51582028607061614</v>
      </c>
      <c r="I14" s="126">
        <f ca="1">OFFSET(IND!L$25,$E14,0)</f>
        <v>0.52647980697560726</v>
      </c>
      <c r="J14" s="126">
        <f ca="1">OFFSET(IND!M$25,$E14,0)</f>
        <v>0.72826200000000008</v>
      </c>
      <c r="K14" s="126">
        <f ca="1">OFFSET(IND!N$25,$E14,0)</f>
        <v>0.72826200000000008</v>
      </c>
      <c r="L14" s="126">
        <f ca="1">OFFSET(IND!O$25,$E14,0)</f>
        <v>0.72826200000000008</v>
      </c>
      <c r="M14" s="126">
        <f ca="1">OFFSET(IND!P$25,$E14,0)</f>
        <v>0.736509068889588</v>
      </c>
      <c r="N14" s="126">
        <f ca="1">OFFSET(IND!Q$25,$E14,0)</f>
        <v>0.73495637999370889</v>
      </c>
      <c r="O14" s="203">
        <f ca="1">OFFSET(IND!R$25,$E14,0)</f>
        <v>0.67744325605536349</v>
      </c>
      <c r="P14" s="126">
        <f ca="1">OFFSET(IND!S$25,$E14,0)</f>
        <v>0.7312945118270372</v>
      </c>
      <c r="Q14" s="126">
        <f ca="1">OFFSET(IND!T$25,$E14,0)</f>
        <v>0.73930381710982918</v>
      </c>
      <c r="R14" s="126">
        <f ca="1">OFFSET(IND!U$25,$E14,0)</f>
        <v>0.74772242954298018</v>
      </c>
      <c r="S14" s="126">
        <f ca="1">OFFSET(IND!V$25,$E14,0)</f>
        <v>0.75710300597241198</v>
      </c>
      <c r="T14" s="203">
        <f ca="1">OFFSET(IND!W$25,$E14,0)</f>
        <v>0.76639131944672878</v>
      </c>
      <c r="U14" s="126">
        <f ca="1">OFFSET(IND!X$25,$E14,0)</f>
        <v>0.78688600500335537</v>
      </c>
      <c r="V14" s="126">
        <f ca="1">OFFSET(IND!Y$25,$E14,0)</f>
        <v>0.80765160293301386</v>
      </c>
      <c r="W14" s="126">
        <f ca="1">OFFSET(IND!Z$25,$E14,0)</f>
        <v>0.83009982261402471</v>
      </c>
      <c r="X14" s="126">
        <f ca="1">OFFSET(IND!AA$25,$E14,0)</f>
        <v>0.85301081066241247</v>
      </c>
      <c r="Y14" s="205">
        <f ca="1">OFFSET(IND!AB$25,$E14,0)</f>
        <v>0.87306165319452533</v>
      </c>
      <c r="Z14" s="126">
        <f ca="1">OFFSET(IND!AC$25,$E14,0)</f>
        <v>0.89631426422963911</v>
      </c>
      <c r="AA14" s="126">
        <f ca="1">OFFSET(IND!AD$25,$E14,0)</f>
        <v>0.92063913676269094</v>
      </c>
      <c r="AB14" s="126">
        <f ca="1">OFFSET(IND!AE$25,$E14,0)</f>
        <v>0.94491370627230054</v>
      </c>
      <c r="AC14" s="126">
        <f ca="1">OFFSET(IND!AF$25,$E14,0)</f>
        <v>0.96876622718563321</v>
      </c>
      <c r="AD14" s="126">
        <f ca="1">OFFSET(IND!AG$25,$E14,0)</f>
        <v>0.99483363373366562</v>
      </c>
      <c r="AE14" s="126">
        <f ca="1">OFFSET(IND!AH$25,$E14,0)</f>
        <v>1.0202094423544106</v>
      </c>
      <c r="AF14" s="126">
        <f ca="1">OFFSET(IND!AI$25,$E14,0)</f>
        <v>1.0466111249195909</v>
      </c>
      <c r="AG14" s="126">
        <f ca="1">OFFSET(IND!AJ$25,$E14,0)</f>
        <v>1.0725863210836106</v>
      </c>
      <c r="AH14" s="126">
        <f ca="1">OFFSET(IND!AK$25,$E14,0)</f>
        <v>1.0994690344823901</v>
      </c>
      <c r="AI14" s="126">
        <f ca="1">OFFSET(IND!AL$25,$E14,0)</f>
        <v>1.1279734600734006</v>
      </c>
      <c r="AJ14" s="126">
        <f ca="1">OFFSET(IND!AM$25,$E14,0)</f>
        <v>1.287974615843531</v>
      </c>
      <c r="AK14" s="126">
        <f ca="1">OFFSET(IND!AN$25,$E14,0)</f>
        <v>1.469192738071297</v>
      </c>
      <c r="AL14" s="126">
        <f ca="1">OFFSET(IND!AO$25,$E14,0)</f>
        <v>1.8068758549929165</v>
      </c>
      <c r="AM14" s="126">
        <f ca="1">OFFSET(IND!AP$25,$E14,0)</f>
        <v>2.1480951329908198</v>
      </c>
      <c r="AQ14" s="4"/>
    </row>
    <row r="15" spans="1:56">
      <c r="A15" s="35" t="s">
        <v>315</v>
      </c>
      <c r="B15">
        <v>1.059192498941</v>
      </c>
      <c r="E15" s="129">
        <f ca="1">MATCH(F15,IND!$D$26:$D$255,0)</f>
        <v>109</v>
      </c>
      <c r="F15" s="4" t="str">
        <f t="shared" si="0"/>
        <v>ICPK</v>
      </c>
      <c r="G15" s="126">
        <f ca="1">OFFSET(IND!J$25,$E15,0)</f>
        <v>0.55647663194961794</v>
      </c>
      <c r="H15" s="126">
        <f ca="1">OFFSET(IND!K$25,$E15,0)</f>
        <v>0.57313365118957349</v>
      </c>
      <c r="I15" s="126">
        <f ca="1">OFFSET(IND!L$25,$E15,0)</f>
        <v>0.5849775633062303</v>
      </c>
      <c r="J15" s="126">
        <f ca="1">OFFSET(IND!M$25,$E15,0)</f>
        <v>0.80918000000000012</v>
      </c>
      <c r="K15" s="126">
        <f ca="1">OFFSET(IND!N$25,$E15,0)</f>
        <v>0.80918000000000012</v>
      </c>
      <c r="L15" s="126">
        <f ca="1">OFFSET(IND!O$25,$E15,0)</f>
        <v>0.80918000000000012</v>
      </c>
      <c r="M15" s="126">
        <f ca="1">OFFSET(IND!P$25,$E15,0)</f>
        <v>0.81834340987732002</v>
      </c>
      <c r="N15" s="126">
        <f ca="1">OFFSET(IND!Q$25,$E15,0)</f>
        <v>0.81661819999300989</v>
      </c>
      <c r="O15" s="203">
        <f ca="1">OFFSET(IND!R$25,$E15,0)</f>
        <v>0.75271472895040392</v>
      </c>
      <c r="P15" s="126">
        <f ca="1">OFFSET(IND!S$25,$E15,0)</f>
        <v>0.81254945758559693</v>
      </c>
      <c r="Q15" s="126">
        <f ca="1">OFFSET(IND!T$25,$E15,0)</f>
        <v>0.821448685677588</v>
      </c>
      <c r="R15" s="126">
        <f ca="1">OFFSET(IND!U$25,$E15,0)</f>
        <v>0.8308026994922002</v>
      </c>
      <c r="S15" s="126">
        <f ca="1">OFFSET(IND!V$25,$E15,0)</f>
        <v>0.84122556219156885</v>
      </c>
      <c r="T15" s="203">
        <f ca="1">OFFSET(IND!W$25,$E15,0)</f>
        <v>0.8515459104963653</v>
      </c>
      <c r="U15" s="126">
        <f ca="1">OFFSET(IND!X$25,$E15,0)</f>
        <v>0.87431778333706145</v>
      </c>
      <c r="V15" s="126">
        <f ca="1">OFFSET(IND!Y$25,$E15,0)</f>
        <v>0.89739066992557093</v>
      </c>
      <c r="W15" s="126">
        <f ca="1">OFFSET(IND!Z$25,$E15,0)</f>
        <v>0.92233313623780511</v>
      </c>
      <c r="X15" s="126">
        <f ca="1">OFFSET(IND!AA$25,$E15,0)</f>
        <v>0.94778978962490257</v>
      </c>
      <c r="Y15" s="205">
        <f ca="1">OFFSET(IND!AB$25,$E15,0)</f>
        <v>0.97006850354947249</v>
      </c>
      <c r="Z15" s="126">
        <f ca="1">OFFSET(IND!AC$25,$E15,0)</f>
        <v>0.99590473803293222</v>
      </c>
      <c r="AA15" s="126">
        <f ca="1">OFFSET(IND!AD$25,$E15,0)</f>
        <v>1.0229323741807677</v>
      </c>
      <c r="AB15" s="126">
        <f ca="1">OFFSET(IND!AE$25,$E15,0)</f>
        <v>1.0499041180803339</v>
      </c>
      <c r="AC15" s="126">
        <f ca="1">OFFSET(IND!AF$25,$E15,0)</f>
        <v>1.076406919095148</v>
      </c>
      <c r="AD15" s="126">
        <f ca="1">OFFSET(IND!AG$25,$E15,0)</f>
        <v>1.1053707041485172</v>
      </c>
      <c r="AE15" s="126">
        <f ca="1">OFFSET(IND!AH$25,$E15,0)</f>
        <v>1.1335660470604561</v>
      </c>
      <c r="AF15" s="126">
        <f ca="1">OFFSET(IND!AI$25,$E15,0)</f>
        <v>1.1629012499106564</v>
      </c>
      <c r="AG15" s="126">
        <f ca="1">OFFSET(IND!AJ$25,$E15,0)</f>
        <v>1.1917625789817894</v>
      </c>
      <c r="AH15" s="126">
        <f ca="1">OFFSET(IND!AK$25,$E15,0)</f>
        <v>1.2216322605359886</v>
      </c>
      <c r="AI15" s="126">
        <f ca="1">OFFSET(IND!AL$25,$E15,0)</f>
        <v>1.2533038445260003</v>
      </c>
      <c r="AJ15" s="126">
        <f ca="1">OFFSET(IND!AM$25,$E15,0)</f>
        <v>1.4310829064928117</v>
      </c>
      <c r="AK15" s="126">
        <f ca="1">OFFSET(IND!AN$25,$E15,0)</f>
        <v>1.632436375634774</v>
      </c>
      <c r="AL15" s="126">
        <f ca="1">OFFSET(IND!AO$25,$E15,0)</f>
        <v>2.0076398388810177</v>
      </c>
      <c r="AM15" s="126">
        <f ca="1">OFFSET(IND!AP$25,$E15,0)</f>
        <v>2.3867723699897994</v>
      </c>
      <c r="AQ15" s="4"/>
    </row>
    <row r="16" spans="1:56">
      <c r="A16" s="35" t="s">
        <v>316</v>
      </c>
      <c r="B16">
        <v>0.63551549936469998</v>
      </c>
      <c r="E16" s="129">
        <f ca="1">MATCH(F16,IND!$D$26:$D$255,0)</f>
        <v>111</v>
      </c>
      <c r="F16" s="4" t="str">
        <f t="shared" si="0"/>
        <v>ICPL</v>
      </c>
      <c r="G16" s="126">
        <f ca="1">OFFSET(IND!J$25,$E16,0)</f>
        <v>0.3338859791697707</v>
      </c>
      <c r="H16" s="126">
        <f ca="1">OFFSET(IND!K$25,$E16,0)</f>
        <v>0.34388019071374404</v>
      </c>
      <c r="I16" s="126">
        <f ca="1">OFFSET(IND!L$25,$E16,0)</f>
        <v>0.35098653798373813</v>
      </c>
      <c r="J16" s="126">
        <f ca="1">OFFSET(IND!M$25,$E16,0)</f>
        <v>0.48550800000000005</v>
      </c>
      <c r="K16" s="126">
        <f ca="1">OFFSET(IND!N$25,$E16,0)</f>
        <v>0.48550800000000005</v>
      </c>
      <c r="L16" s="126">
        <f ca="1">OFFSET(IND!O$25,$E16,0)</f>
        <v>0.48550800000000005</v>
      </c>
      <c r="M16" s="126">
        <f ca="1">OFFSET(IND!P$25,$E16,0)</f>
        <v>0.49100604592639202</v>
      </c>
      <c r="N16" s="126">
        <f ca="1">OFFSET(IND!Q$25,$E16,0)</f>
        <v>0.48997091999580589</v>
      </c>
      <c r="O16" s="203">
        <f ca="1">OFFSET(IND!R$25,$E16,0)</f>
        <v>0.45162883737024234</v>
      </c>
      <c r="P16" s="126">
        <f ca="1">OFFSET(IND!S$25,$E16,0)</f>
        <v>0.48752967455135815</v>
      </c>
      <c r="Q16" s="126">
        <f ca="1">OFFSET(IND!T$25,$E16,0)</f>
        <v>0.49286921140655277</v>
      </c>
      <c r="R16" s="126">
        <f ca="1">OFFSET(IND!U$25,$E16,0)</f>
        <v>0.49848161969532012</v>
      </c>
      <c r="S16" s="126">
        <f ca="1">OFFSET(IND!V$25,$E16,0)</f>
        <v>0.50473533731494136</v>
      </c>
      <c r="T16" s="203">
        <f ca="1">OFFSET(IND!W$25,$E16,0)</f>
        <v>0.51092754629781922</v>
      </c>
      <c r="U16" s="126">
        <f ca="1">OFFSET(IND!X$25,$E16,0)</f>
        <v>0.52459067000223691</v>
      </c>
      <c r="V16" s="126">
        <f ca="1">OFFSET(IND!Y$25,$E16,0)</f>
        <v>0.53843440195534265</v>
      </c>
      <c r="W16" s="126">
        <f ca="1">OFFSET(IND!Z$25,$E16,0)</f>
        <v>0.55339988174268318</v>
      </c>
      <c r="X16" s="126">
        <f ca="1">OFFSET(IND!AA$25,$E16,0)</f>
        <v>0.56867387377494172</v>
      </c>
      <c r="Y16" s="205">
        <f ca="1">OFFSET(IND!AB$25,$E16,0)</f>
        <v>0.58204110212968363</v>
      </c>
      <c r="Z16" s="126">
        <f ca="1">OFFSET(IND!AC$25,$E16,0)</f>
        <v>0.59754284281975945</v>
      </c>
      <c r="AA16" s="126">
        <f ca="1">OFFSET(IND!AD$25,$E16,0)</f>
        <v>0.61375942450846066</v>
      </c>
      <c r="AB16" s="126">
        <f ca="1">OFFSET(IND!AE$25,$E16,0)</f>
        <v>0.62994247084820032</v>
      </c>
      <c r="AC16" s="126">
        <f ca="1">OFFSET(IND!AF$25,$E16,0)</f>
        <v>0.64584415145708884</v>
      </c>
      <c r="AD16" s="126">
        <f ca="1">OFFSET(IND!AG$25,$E16,0)</f>
        <v>0.66322242248911045</v>
      </c>
      <c r="AE16" s="126">
        <f ca="1">OFFSET(IND!AH$25,$E16,0)</f>
        <v>0.68013962823627372</v>
      </c>
      <c r="AF16" s="126">
        <f ca="1">OFFSET(IND!AI$25,$E16,0)</f>
        <v>0.6977407499463939</v>
      </c>
      <c r="AG16" s="126">
        <f ca="1">OFFSET(IND!AJ$25,$E16,0)</f>
        <v>0.71505754738907368</v>
      </c>
      <c r="AH16" s="126">
        <f ca="1">OFFSET(IND!AK$25,$E16,0)</f>
        <v>0.73297935632159328</v>
      </c>
      <c r="AI16" s="126">
        <f ca="1">OFFSET(IND!AL$25,$E16,0)</f>
        <v>0.75198230671560029</v>
      </c>
      <c r="AJ16" s="126">
        <f ca="1">OFFSET(IND!AM$25,$E16,0)</f>
        <v>0.85864974389568716</v>
      </c>
      <c r="AK16" s="126">
        <f ca="1">OFFSET(IND!AN$25,$E16,0)</f>
        <v>0.97946182538086446</v>
      </c>
      <c r="AL16" s="126">
        <f ca="1">OFFSET(IND!AO$25,$E16,0)</f>
        <v>1.2045839033286108</v>
      </c>
      <c r="AM16" s="126">
        <f ca="1">OFFSET(IND!AP$25,$E16,0)</f>
        <v>1.4320634219938797</v>
      </c>
      <c r="AQ16" s="4"/>
    </row>
    <row r="17" spans="1:43">
      <c r="A17" s="35" t="s">
        <v>317</v>
      </c>
      <c r="B17">
        <v>8.4735399915289999</v>
      </c>
      <c r="E17" s="129">
        <f ca="1">MATCH(F17,IND!$D$26:$D$255,0)</f>
        <v>116</v>
      </c>
      <c r="F17" s="4" t="str">
        <f t="shared" si="0"/>
        <v>ICPO</v>
      </c>
      <c r="G17" s="126">
        <f ca="1">OFFSET(IND!J$25,$E17,0)</f>
        <v>4.4518130555969435</v>
      </c>
      <c r="H17" s="126">
        <f ca="1">OFFSET(IND!K$25,$E17,0)</f>
        <v>4.5850692095165879</v>
      </c>
      <c r="I17" s="126">
        <f ca="1">OFFSET(IND!L$25,$E17,0)</f>
        <v>4.6798205064498424</v>
      </c>
      <c r="J17" s="126">
        <f ca="1">OFFSET(IND!M$25,$E17,0)</f>
        <v>6.473440000000001</v>
      </c>
      <c r="K17" s="126">
        <f ca="1">OFFSET(IND!N$25,$E17,0)</f>
        <v>6.473440000000001</v>
      </c>
      <c r="L17" s="126">
        <f ca="1">OFFSET(IND!O$25,$E17,0)</f>
        <v>6.473440000000001</v>
      </c>
      <c r="M17" s="126">
        <f ca="1">OFFSET(IND!P$25,$E17,0)</f>
        <v>6.5467472790185601</v>
      </c>
      <c r="N17" s="126">
        <f ca="1">OFFSET(IND!Q$25,$E17,0)</f>
        <v>6.5329455999440791</v>
      </c>
      <c r="O17" s="203">
        <f ca="1">OFFSET(IND!R$25,$E17,0)</f>
        <v>6.0217178316032314</v>
      </c>
      <c r="P17" s="126">
        <f ca="1">OFFSET(IND!S$25,$E17,0)</f>
        <v>6.5003956606847755</v>
      </c>
      <c r="Q17" s="126">
        <f ca="1">OFFSET(IND!T$25,$E17,0)</f>
        <v>6.571589485420704</v>
      </c>
      <c r="R17" s="126">
        <f ca="1">OFFSET(IND!U$25,$E17,0)</f>
        <v>6.6464215959376016</v>
      </c>
      <c r="S17" s="126">
        <f ca="1">OFFSET(IND!V$25,$E17,0)</f>
        <v>6.7298044975325508</v>
      </c>
      <c r="T17" s="203">
        <f ca="1">OFFSET(IND!W$25,$E17,0)</f>
        <v>6.8123672839709224</v>
      </c>
      <c r="U17" s="126">
        <f ca="1">OFFSET(IND!X$25,$E17,0)</f>
        <v>6.9945422666964916</v>
      </c>
      <c r="V17" s="126">
        <f ca="1">OFFSET(IND!Y$25,$E17,0)</f>
        <v>7.1791253594045674</v>
      </c>
      <c r="W17" s="126">
        <f ca="1">OFFSET(IND!Z$25,$E17,0)</f>
        <v>7.3786650899024409</v>
      </c>
      <c r="X17" s="126">
        <f ca="1">OFFSET(IND!AA$25,$E17,0)</f>
        <v>7.5823183169992205</v>
      </c>
      <c r="Y17" s="205">
        <f ca="1">OFFSET(IND!AB$25,$E17,0)</f>
        <v>7.76054802839578</v>
      </c>
      <c r="Z17" s="126">
        <f ca="1">OFFSET(IND!AC$25,$E17,0)</f>
        <v>7.9672379042634578</v>
      </c>
      <c r="AA17" s="126">
        <f ca="1">OFFSET(IND!AD$25,$E17,0)</f>
        <v>8.1834589934461412</v>
      </c>
      <c r="AB17" s="126">
        <f ca="1">OFFSET(IND!AE$25,$E17,0)</f>
        <v>8.3992329446426712</v>
      </c>
      <c r="AC17" s="126">
        <f ca="1">OFFSET(IND!AF$25,$E17,0)</f>
        <v>8.6112553527611837</v>
      </c>
      <c r="AD17" s="126">
        <f ca="1">OFFSET(IND!AG$25,$E17,0)</f>
        <v>8.8429656331881379</v>
      </c>
      <c r="AE17" s="126">
        <f ca="1">OFFSET(IND!AH$25,$E17,0)</f>
        <v>9.0685283764836484</v>
      </c>
      <c r="AF17" s="126">
        <f ca="1">OFFSET(IND!AI$25,$E17,0)</f>
        <v>9.3032099992852508</v>
      </c>
      <c r="AG17" s="126">
        <f ca="1">OFFSET(IND!AJ$25,$E17,0)</f>
        <v>9.5341006318543151</v>
      </c>
      <c r="AH17" s="126">
        <f ca="1">OFFSET(IND!AK$25,$E17,0)</f>
        <v>9.7730580842879089</v>
      </c>
      <c r="AI17" s="126">
        <f ca="1">OFFSET(IND!AL$25,$E17,0)</f>
        <v>10.026430756208002</v>
      </c>
      <c r="AJ17" s="126">
        <f ca="1">OFFSET(IND!AM$25,$E17,0)</f>
        <v>11.448663251942493</v>
      </c>
      <c r="AK17" s="126">
        <f ca="1">OFFSET(IND!AN$25,$E17,0)</f>
        <v>13.059491005078192</v>
      </c>
      <c r="AL17" s="126">
        <f ca="1">OFFSET(IND!AO$25,$E17,0)</f>
        <v>16.061118711048142</v>
      </c>
      <c r="AM17" s="126">
        <f ca="1">OFFSET(IND!AP$25,$E17,0)</f>
        <v>19.094178959918395</v>
      </c>
      <c r="AQ17" s="4"/>
    </row>
    <row r="18" spans="1:43">
      <c r="A18" s="35" t="s">
        <v>318</v>
      </c>
      <c r="B18">
        <v>14.828694985169999</v>
      </c>
      <c r="E18" s="129">
        <f ca="1">MATCH(F18,IND!$D$26:$D$255,0)</f>
        <v>114</v>
      </c>
      <c r="F18" s="4" t="str">
        <f t="shared" si="0"/>
        <v>ICPP</v>
      </c>
      <c r="G18" s="126">
        <f ca="1">OFFSET(IND!J$25,$E18,0)</f>
        <v>7.7906728472946494</v>
      </c>
      <c r="H18" s="126">
        <f ca="1">OFFSET(IND!K$25,$E18,0)</f>
        <v>8.0238711166540284</v>
      </c>
      <c r="I18" s="126">
        <f ca="1">OFFSET(IND!L$25,$E18,0)</f>
        <v>8.1896858862872239</v>
      </c>
      <c r="J18" s="126">
        <f ca="1">OFFSET(IND!M$25,$E18,0)</f>
        <v>11.328520000000001</v>
      </c>
      <c r="K18" s="126">
        <f ca="1">OFFSET(IND!N$25,$E18,0)</f>
        <v>11.328520000000001</v>
      </c>
      <c r="L18" s="126">
        <f ca="1">OFFSET(IND!O$25,$E18,0)</f>
        <v>11.328520000000001</v>
      </c>
      <c r="M18" s="126">
        <f ca="1">OFFSET(IND!P$25,$E18,0)</f>
        <v>11.45680773828248</v>
      </c>
      <c r="N18" s="126">
        <f ca="1">OFFSET(IND!Q$25,$E18,0)</f>
        <v>11.432654799902137</v>
      </c>
      <c r="O18" s="203">
        <f ca="1">OFFSET(IND!R$25,$E18,0)</f>
        <v>10.538006205305654</v>
      </c>
      <c r="P18" s="126">
        <f ca="1">OFFSET(IND!S$25,$E18,0)</f>
        <v>11.375692406198358</v>
      </c>
      <c r="Q18" s="126">
        <f ca="1">OFFSET(IND!T$25,$E18,0)</f>
        <v>11.500281599486232</v>
      </c>
      <c r="R18" s="126">
        <f ca="1">OFFSET(IND!U$25,$E18,0)</f>
        <v>11.631237792890804</v>
      </c>
      <c r="S18" s="126">
        <f ca="1">OFFSET(IND!V$25,$E18,0)</f>
        <v>11.777157870681965</v>
      </c>
      <c r="T18" s="203">
        <f ca="1">OFFSET(IND!W$25,$E18,0)</f>
        <v>11.921642746949114</v>
      </c>
      <c r="U18" s="126">
        <f ca="1">OFFSET(IND!X$25,$E18,0)</f>
        <v>12.240448966718862</v>
      </c>
      <c r="V18" s="126">
        <f ca="1">OFFSET(IND!Y$25,$E18,0)</f>
        <v>12.563469378957995</v>
      </c>
      <c r="W18" s="126">
        <f ca="1">OFFSET(IND!Z$25,$E18,0)</f>
        <v>12.912663907329275</v>
      </c>
      <c r="X18" s="126">
        <f ca="1">OFFSET(IND!AA$25,$E18,0)</f>
        <v>13.26905705474864</v>
      </c>
      <c r="Y18" s="205">
        <f ca="1">OFFSET(IND!AB$25,$E18,0)</f>
        <v>13.580959049692618</v>
      </c>
      <c r="Z18" s="126">
        <f ca="1">OFFSET(IND!AC$25,$E18,0)</f>
        <v>13.942666332461053</v>
      </c>
      <c r="AA18" s="126">
        <f ca="1">OFFSET(IND!AD$25,$E18,0)</f>
        <v>14.32105323853075</v>
      </c>
      <c r="AB18" s="126">
        <f ca="1">OFFSET(IND!AE$25,$E18,0)</f>
        <v>14.698657653124677</v>
      </c>
      <c r="AC18" s="126">
        <f ca="1">OFFSET(IND!AF$25,$E18,0)</f>
        <v>15.069696867332075</v>
      </c>
      <c r="AD18" s="126">
        <f ca="1">OFFSET(IND!AG$25,$E18,0)</f>
        <v>15.475189858079245</v>
      </c>
      <c r="AE18" s="126">
        <f ca="1">OFFSET(IND!AH$25,$E18,0)</f>
        <v>15.869924658846388</v>
      </c>
      <c r="AF18" s="126">
        <f ca="1">OFFSET(IND!AI$25,$E18,0)</f>
        <v>16.280617498749191</v>
      </c>
      <c r="AG18" s="126">
        <f ca="1">OFFSET(IND!AJ$25,$E18,0)</f>
        <v>16.684676105745051</v>
      </c>
      <c r="AH18" s="126">
        <f ca="1">OFFSET(IND!AK$25,$E18,0)</f>
        <v>17.10285164750384</v>
      </c>
      <c r="AI18" s="126">
        <f ca="1">OFFSET(IND!AL$25,$E18,0)</f>
        <v>17.546253823364005</v>
      </c>
      <c r="AJ18" s="126">
        <f ca="1">OFFSET(IND!AM$25,$E18,0)</f>
        <v>20.035160690899364</v>
      </c>
      <c r="AK18" s="126">
        <f ca="1">OFFSET(IND!AN$25,$E18,0)</f>
        <v>22.854109258886837</v>
      </c>
      <c r="AL18" s="126">
        <f ca="1">OFFSET(IND!AO$25,$E18,0)</f>
        <v>28.106957744334249</v>
      </c>
      <c r="AM18" s="126">
        <f ca="1">OFFSET(IND!AP$25,$E18,0)</f>
        <v>33.414813179857191</v>
      </c>
      <c r="AQ18" s="4"/>
    </row>
    <row r="19" spans="1:43">
      <c r="A19" s="35" t="s">
        <v>319</v>
      </c>
      <c r="B19">
        <v>32.941303389589997</v>
      </c>
      <c r="E19" s="129">
        <f ca="1">MATCH(F19,IND!$D$26:$D$255,0)</f>
        <v>119</v>
      </c>
      <c r="F19" s="4" t="str">
        <f t="shared" si="0"/>
        <v>ICPS</v>
      </c>
      <c r="G19" s="126">
        <f ca="1">OFFSET(IND!J$25,$E19,0)</f>
        <v>27.288197120140854</v>
      </c>
      <c r="H19" s="126">
        <f ca="1">OFFSET(IND!K$25,$E19,0)</f>
        <v>28.105014931270503</v>
      </c>
      <c r="I19" s="126">
        <f ca="1">OFFSET(IND!L$25,$E19,0)</f>
        <v>28.68581022429229</v>
      </c>
      <c r="J19" s="126">
        <f ca="1">OFFSET(IND!M$25,$E19,0)</f>
        <v>16.650368400000001</v>
      </c>
      <c r="K19" s="126">
        <f ca="1">OFFSET(IND!N$25,$E19,0)</f>
        <v>16.650368400000001</v>
      </c>
      <c r="L19" s="126">
        <f ca="1">OFFSET(IND!O$25,$E19,0)</f>
        <v>16.650368400000001</v>
      </c>
      <c r="M19" s="126">
        <f ca="1">OFFSET(IND!P$25,$E19,0)</f>
        <v>16.838922430324004</v>
      </c>
      <c r="N19" s="126">
        <f ca="1">OFFSET(IND!Q$25,$E19,0)</f>
        <v>16.803423060417327</v>
      </c>
      <c r="O19" s="203">
        <f ca="1">OFFSET(IND!R$25,$E19,0)</f>
        <v>15.488491481660905</v>
      </c>
      <c r="P19" s="126">
        <f ca="1">OFFSET(IND!S$25,$E19,0)</f>
        <v>16.7197011938263</v>
      </c>
      <c r="Q19" s="126">
        <f ca="1">OFFSET(IND!T$25,$E19,0)</f>
        <v>16.902819197493322</v>
      </c>
      <c r="R19" s="126">
        <f ca="1">OFFSET(IND!U$25,$E19,0)</f>
        <v>17.095295254775984</v>
      </c>
      <c r="S19" s="126">
        <f ca="1">OFFSET(IND!V$25,$E19,0)</f>
        <v>17.309764845876984</v>
      </c>
      <c r="T19" s="203">
        <f ca="1">OFFSET(IND!W$25,$E19,0)</f>
        <v>17.522125014555368</v>
      </c>
      <c r="U19" s="126">
        <f ca="1">OFFSET(IND!X$25,$E19,0)</f>
        <v>17.990698226888281</v>
      </c>
      <c r="V19" s="126">
        <f ca="1">OFFSET(IND!Y$25,$E19,0)</f>
        <v>18.465465351323019</v>
      </c>
      <c r="W19" s="126">
        <f ca="1">OFFSET(IND!Z$25,$E19,0)</f>
        <v>18.978702520930881</v>
      </c>
      <c r="X19" s="126">
        <f ca="1">OFFSET(IND!AA$25,$E19,0)</f>
        <v>19.502520036349306</v>
      </c>
      <c r="Y19" s="205">
        <f ca="1">OFFSET(IND!AB$25,$E19,0)</f>
        <v>19.960945595955696</v>
      </c>
      <c r="Z19" s="126">
        <f ca="1">OFFSET(IND!AC$25,$E19,0)</f>
        <v>20.492573691334211</v>
      </c>
      <c r="AA19" s="126">
        <f ca="1">OFFSET(IND!AD$25,$E19,0)</f>
        <v>21.048717069621635</v>
      </c>
      <c r="AB19" s="126">
        <f ca="1">OFFSET(IND!AE$25,$E19,0)</f>
        <v>21.603710361989499</v>
      </c>
      <c r="AC19" s="126">
        <f ca="1">OFFSET(IND!AF$25,$E19,0)</f>
        <v>22.149054291064054</v>
      </c>
      <c r="AD19" s="126">
        <f ca="1">OFFSET(IND!AG$25,$E19,0)</f>
        <v>22.74503749801061</v>
      </c>
      <c r="AE19" s="126">
        <f ca="1">OFFSET(IND!AH$25,$E19,0)</f>
        <v>23.32520859300568</v>
      </c>
      <c r="AF19" s="126">
        <f ca="1">OFFSET(IND!AI$25,$E19,0)</f>
        <v>23.928834404993822</v>
      </c>
      <c r="AG19" s="126">
        <f ca="1">OFFSET(IND!AJ$25,$E19,0)</f>
        <v>24.522709391459124</v>
      </c>
      <c r="AH19" s="126">
        <f ca="1">OFFSET(IND!AK$25,$E19,0)</f>
        <v>25.137333086889193</v>
      </c>
      <c r="AI19" s="126">
        <f ca="1">OFFSET(IND!AL$25,$E19,0)</f>
        <v>25.789034242683005</v>
      </c>
      <c r="AJ19" s="126">
        <f ca="1">OFFSET(IND!AM$25,$E19,0)</f>
        <v>29.447165777760294</v>
      </c>
      <c r="AK19" s="126">
        <f ca="1">OFFSET(IND!AN$25,$E19,0)</f>
        <v>33.590384146765587</v>
      </c>
      <c r="AL19" s="126">
        <f ca="1">OFFSET(IND!AO$25,$E19,0)</f>
        <v>41.310886245193402</v>
      </c>
      <c r="AM19" s="126">
        <f ca="1">OFFSET(IND!AP$25,$E19,0)</f>
        <v>49.112236149276143</v>
      </c>
      <c r="AQ19" s="4"/>
    </row>
    <row r="20" spans="1:43">
      <c r="A20" s="35" t="s">
        <v>320</v>
      </c>
      <c r="B20">
        <v>39.685391397639997</v>
      </c>
      <c r="E20" s="129">
        <f ca="1">MATCH(F20,IND!$D$26:$D$255,0)</f>
        <v>126</v>
      </c>
      <c r="F20" s="4" t="str">
        <f t="shared" si="0"/>
        <v>ICPT</v>
      </c>
      <c r="G20" s="126">
        <f ca="1">OFFSET(IND!J$25,$E20,0)</f>
        <v>39.004000030517574</v>
      </c>
      <c r="H20" s="126">
        <f ca="1">OFFSET(IND!K$25,$E20,0)</f>
        <v>40.171507058921208</v>
      </c>
      <c r="I20" s="126">
        <f ca="1">OFFSET(IND!L$25,$E20,0)</f>
        <v>41.001658626905382</v>
      </c>
      <c r="J20" s="126">
        <f ca="1">OFFSET(IND!M$25,$E20,0)</f>
        <v>28.64</v>
      </c>
      <c r="K20" s="126">
        <f ca="1">OFFSET(IND!N$25,$E20,0)</f>
        <v>28.64</v>
      </c>
      <c r="L20" s="126">
        <f ca="1">OFFSET(IND!O$25,$E20,0)</f>
        <v>28.64</v>
      </c>
      <c r="M20" s="126">
        <f ca="1">OFFSET(IND!P$25,$E20,0)</f>
        <v>28.964328405158856</v>
      </c>
      <c r="N20" s="126">
        <f ca="1">OFFSET(IND!Q$25,$E20,0)</f>
        <v>28.903266575792529</v>
      </c>
      <c r="O20" s="203">
        <f ca="1">OFFSET(IND!R$25,$E20,0)</f>
        <v>26.641476355247985</v>
      </c>
      <c r="P20" s="126">
        <f ca="1">OFFSET(IND!S$25,$E20,0)</f>
        <v>28.759258094925102</v>
      </c>
      <c r="Q20" s="126">
        <f ca="1">OFFSET(IND!T$25,$E20,0)</f>
        <v>29.074236088146169</v>
      </c>
      <c r="R20" s="126">
        <f ca="1">OFFSET(IND!U$25,$E20,0)</f>
        <v>29.405310701520811</v>
      </c>
      <c r="S20" s="126">
        <f ca="1">OFFSET(IND!V$25,$E20,0)</f>
        <v>29.774215997882457</v>
      </c>
      <c r="T20" s="203">
        <f ca="1">OFFSET(IND!W$25,$E20,0)</f>
        <v>30.139492914575118</v>
      </c>
      <c r="U20" s="126">
        <f ca="1">OFFSET(IND!X$25,$E20,0)</f>
        <v>30.945477291546297</v>
      </c>
      <c r="V20" s="126">
        <f ca="1">OFFSET(IND!Y$25,$E20,0)</f>
        <v>31.762115705613514</v>
      </c>
      <c r="W20" s="126">
        <f ca="1">OFFSET(IND!Z$25,$E20,0)</f>
        <v>32.644925754283015</v>
      </c>
      <c r="X20" s="126">
        <f ca="1">OFFSET(IND!AA$25,$E20,0)</f>
        <v>33.545934865984336</v>
      </c>
      <c r="Y20" s="205">
        <f ca="1">OFFSET(IND!AB$25,$E20,0)</f>
        <v>34.334464447535638</v>
      </c>
      <c r="Z20" s="126">
        <f ca="1">OFFSET(IND!AC$25,$E20,0)</f>
        <v>35.248908397715184</v>
      </c>
      <c r="AA20" s="126">
        <f ca="1">OFFSET(IND!AD$25,$E20,0)</f>
        <v>36.205520646255685</v>
      </c>
      <c r="AB20" s="126">
        <f ca="1">OFFSET(IND!AE$25,$E20,0)</f>
        <v>37.160154652636926</v>
      </c>
      <c r="AC20" s="126">
        <f ca="1">OFFSET(IND!AF$25,$E20,0)</f>
        <v>38.09819096231373</v>
      </c>
      <c r="AD20" s="126">
        <f ca="1">OFFSET(IND!AG$25,$E20,0)</f>
        <v>39.123330985458765</v>
      </c>
      <c r="AE20" s="126">
        <f ca="1">OFFSET(IND!AH$25,$E20,0)</f>
        <v>40.121272878483708</v>
      </c>
      <c r="AF20" s="126">
        <f ca="1">OFFSET(IND!AI$25,$E20,0)</f>
        <v>41.159558809462887</v>
      </c>
      <c r="AG20" s="126">
        <f ca="1">OFFSET(IND!AJ$25,$E20,0)</f>
        <v>42.181072520376709</v>
      </c>
      <c r="AH20" s="126">
        <f ca="1">OFFSET(IND!AK$25,$E20,0)</f>
        <v>43.238275713377362</v>
      </c>
      <c r="AI20" s="126">
        <f ca="1">OFFSET(IND!AL$25,$E20,0)</f>
        <v>44.35925518083075</v>
      </c>
      <c r="AJ20" s="126">
        <f ca="1">OFFSET(IND!AM$25,$E20,0)</f>
        <v>50.651541612439878</v>
      </c>
      <c r="AK20" s="126">
        <f ca="1">OFFSET(IND!AN$25,$E20,0)</f>
        <v>57.778217205294119</v>
      </c>
      <c r="AL20" s="126">
        <f ca="1">OFFSET(IND!AO$25,$E20,0)</f>
        <v>71.058114369549799</v>
      </c>
      <c r="AM20" s="126">
        <f ca="1">OFFSET(IND!AP$25,$E20,0)</f>
        <v>84.477076394013451</v>
      </c>
      <c r="AQ20" s="4"/>
    </row>
    <row r="21" spans="1:43">
      <c r="A21" s="35" t="s">
        <v>321</v>
      </c>
      <c r="B21">
        <v>5.3061366499999998E-2</v>
      </c>
      <c r="E21" s="129">
        <f ca="1">MATCH(F21,IND!$D$26:$D$255,0)</f>
        <v>169</v>
      </c>
      <c r="F21" s="4" t="str">
        <f t="shared" si="0"/>
        <v>IFBA</v>
      </c>
      <c r="G21" s="126">
        <f ca="1">OFFSET(IND!J$25,$E21,0)</f>
        <v>3.1931633262906718E-2</v>
      </c>
      <c r="H21" s="126">
        <f ca="1">OFFSET(IND!K$25,$E21,0)</f>
        <v>3.3106417009202811E-2</v>
      </c>
      <c r="I21" s="126">
        <f ca="1">OFFSET(IND!L$25,$E21,0)</f>
        <v>3.3989968222560452E-2</v>
      </c>
      <c r="J21" s="126">
        <f ca="1">OFFSET(IND!M$25,$E21,0)</f>
        <v>2.9904000000000003E-2</v>
      </c>
      <c r="K21" s="126">
        <f ca="1">OFFSET(IND!N$25,$E21,0)</f>
        <v>2.9904000000000003E-2</v>
      </c>
      <c r="L21" s="126">
        <f ca="1">OFFSET(IND!O$25,$E21,0)</f>
        <v>2.9904000000000003E-2</v>
      </c>
      <c r="M21" s="126">
        <f ca="1">OFFSET(IND!P$25,$E21,0)</f>
        <v>3.0329173986535438E-2</v>
      </c>
      <c r="N21" s="126">
        <f ca="1">OFFSET(IND!Q$25,$E21,0)</f>
        <v>3.0231256879581964E-2</v>
      </c>
      <c r="O21" s="203">
        <f ca="1">OFFSET(IND!R$25,$E21,0)</f>
        <v>2.8825467618394492E-2</v>
      </c>
      <c r="P21" s="126">
        <f ca="1">OFFSET(IND!S$25,$E21,0)</f>
        <v>3.0247232356669807E-2</v>
      </c>
      <c r="Q21" s="126">
        <f ca="1">OFFSET(IND!T$25,$E21,0)</f>
        <v>3.085436578032957E-2</v>
      </c>
      <c r="R21" s="126">
        <f ca="1">OFFSET(IND!U$25,$E21,0)</f>
        <v>3.1400682214721157E-2</v>
      </c>
      <c r="S21" s="126">
        <f ca="1">OFFSET(IND!V$25,$E21,0)</f>
        <v>3.1969318631442312E-2</v>
      </c>
      <c r="T21" s="203">
        <f ca="1">OFFSET(IND!W$25,$E21,0)</f>
        <v>3.2544720180172737E-2</v>
      </c>
      <c r="U21" s="126">
        <f ca="1">OFFSET(IND!X$25,$E21,0)</f>
        <v>3.3315273640341571E-2</v>
      </c>
      <c r="V21" s="126">
        <f ca="1">OFFSET(IND!Y$25,$E21,0)</f>
        <v>3.4066185249323387E-2</v>
      </c>
      <c r="W21" s="126">
        <f ca="1">OFFSET(IND!Z$25,$E21,0)</f>
        <v>3.4855391643430281E-2</v>
      </c>
      <c r="X21" s="126">
        <f ca="1">OFFSET(IND!AA$25,$E21,0)</f>
        <v>3.5635729110802622E-2</v>
      </c>
      <c r="Y21" s="205">
        <f ca="1">OFFSET(IND!AB$25,$E21,0)</f>
        <v>3.6317215451304792E-2</v>
      </c>
      <c r="Z21" s="126">
        <f ca="1">OFFSET(IND!AC$25,$E21,0)</f>
        <v>3.71534101136154E-2</v>
      </c>
      <c r="AA21" s="126">
        <f ca="1">OFFSET(IND!AD$25,$E21,0)</f>
        <v>3.8000536236524808E-2</v>
      </c>
      <c r="AB21" s="126">
        <f ca="1">OFFSET(IND!AE$25,$E21,0)</f>
        <v>3.8810247645585404E-2</v>
      </c>
      <c r="AC21" s="126">
        <f ca="1">OFFSET(IND!AF$25,$E21,0)</f>
        <v>3.9596094595407291E-2</v>
      </c>
      <c r="AD21" s="126">
        <f ca="1">OFFSET(IND!AG$25,$E21,0)</f>
        <v>4.0517434769241509E-2</v>
      </c>
      <c r="AE21" s="126">
        <f ca="1">OFFSET(IND!AH$25,$E21,0)</f>
        <v>4.1367244617936921E-2</v>
      </c>
      <c r="AF21" s="126">
        <f ca="1">OFFSET(IND!AI$25,$E21,0)</f>
        <v>4.2234944517401368E-2</v>
      </c>
      <c r="AG21" s="126">
        <f ca="1">OFFSET(IND!AJ$25,$E21,0)</f>
        <v>4.3060451846102195E-2</v>
      </c>
      <c r="AH21" s="126">
        <f ca="1">OFFSET(IND!AK$25,$E21,0)</f>
        <v>4.3905656731082605E-2</v>
      </c>
      <c r="AI21" s="126">
        <f ca="1">OFFSET(IND!AL$25,$E21,0)</f>
        <v>4.4791082286533071E-2</v>
      </c>
      <c r="AJ21" s="126">
        <f ca="1">OFFSET(IND!AM$25,$E21,0)</f>
        <v>4.9615108321395596E-2</v>
      </c>
      <c r="AK21" s="126">
        <f ca="1">OFFSET(IND!AN$25,$E21,0)</f>
        <v>5.4793804127694787E-2</v>
      </c>
      <c r="AL21" s="126">
        <f ca="1">OFFSET(IND!AO$25,$E21,0)</f>
        <v>6.4737414340283683E-2</v>
      </c>
      <c r="AM21" s="126">
        <f ca="1">OFFSET(IND!AP$25,$E21,0)</f>
        <v>7.4740136181445427E-2</v>
      </c>
      <c r="AQ21" s="4"/>
    </row>
    <row r="22" spans="1:43">
      <c r="A22" s="35" t="s">
        <v>322</v>
      </c>
      <c r="B22">
        <v>12.204114317089999</v>
      </c>
      <c r="E22" s="129">
        <f ca="1">MATCH(F22,IND!$D$26:$D$255,0)</f>
        <v>171</v>
      </c>
      <c r="F22" s="4" t="str">
        <f t="shared" si="0"/>
        <v>IFBC</v>
      </c>
      <c r="G22" s="126">
        <f ca="1">OFFSET(IND!J$25,$E22,0)</f>
        <v>7.3442756504685454</v>
      </c>
      <c r="H22" s="126">
        <f ca="1">OFFSET(IND!K$25,$E22,0)</f>
        <v>7.6144759121166459</v>
      </c>
      <c r="I22" s="126">
        <f ca="1">OFFSET(IND!L$25,$E22,0)</f>
        <v>7.8176926911889026</v>
      </c>
      <c r="J22" s="126">
        <f ca="1">OFFSET(IND!M$25,$E22,0)</f>
        <v>6.8779200000000005</v>
      </c>
      <c r="K22" s="126">
        <f ca="1">OFFSET(IND!N$25,$E22,0)</f>
        <v>6.8779200000000005</v>
      </c>
      <c r="L22" s="126">
        <f ca="1">OFFSET(IND!O$25,$E22,0)</f>
        <v>6.8779200000000005</v>
      </c>
      <c r="M22" s="126">
        <f ca="1">OFFSET(IND!P$25,$E22,0)</f>
        <v>6.9757100169031503</v>
      </c>
      <c r="N22" s="126">
        <f ca="1">OFFSET(IND!Q$25,$E22,0)</f>
        <v>6.9531890823038518</v>
      </c>
      <c r="O22" s="203">
        <f ca="1">OFFSET(IND!R$25,$E22,0)</f>
        <v>6.6298575522307335</v>
      </c>
      <c r="P22" s="126">
        <f ca="1">OFFSET(IND!S$25,$E22,0)</f>
        <v>6.9568634420340558</v>
      </c>
      <c r="Q22" s="126">
        <f ca="1">OFFSET(IND!T$25,$E22,0)</f>
        <v>7.0965041294758011</v>
      </c>
      <c r="R22" s="126">
        <f ca="1">OFFSET(IND!U$25,$E22,0)</f>
        <v>7.2221569093858671</v>
      </c>
      <c r="S22" s="126">
        <f ca="1">OFFSET(IND!V$25,$E22,0)</f>
        <v>7.3529432852317331</v>
      </c>
      <c r="T22" s="203">
        <f ca="1">OFFSET(IND!W$25,$E22,0)</f>
        <v>7.4852856414397317</v>
      </c>
      <c r="U22" s="126">
        <f ca="1">OFFSET(IND!X$25,$E22,0)</f>
        <v>7.6625129372785636</v>
      </c>
      <c r="V22" s="126">
        <f ca="1">OFFSET(IND!Y$25,$E22,0)</f>
        <v>7.8352226073443818</v>
      </c>
      <c r="W22" s="126">
        <f ca="1">OFFSET(IND!Z$25,$E22,0)</f>
        <v>8.0167400779889668</v>
      </c>
      <c r="X22" s="126">
        <f ca="1">OFFSET(IND!AA$25,$E22,0)</f>
        <v>8.196217695484604</v>
      </c>
      <c r="Y22" s="205">
        <f ca="1">OFFSET(IND!AB$25,$E22,0)</f>
        <v>8.3529595538001047</v>
      </c>
      <c r="Z22" s="126">
        <f ca="1">OFFSET(IND!AC$25,$E22,0)</f>
        <v>8.5452843261315437</v>
      </c>
      <c r="AA22" s="126">
        <f ca="1">OFFSET(IND!AD$25,$E22,0)</f>
        <v>8.7401233344007085</v>
      </c>
      <c r="AB22" s="126">
        <f ca="1">OFFSET(IND!AE$25,$E22,0)</f>
        <v>8.9263569584846465</v>
      </c>
      <c r="AC22" s="126">
        <f ca="1">OFFSET(IND!AF$25,$E22,0)</f>
        <v>9.1071017569436794</v>
      </c>
      <c r="AD22" s="126">
        <f ca="1">OFFSET(IND!AG$25,$E22,0)</f>
        <v>9.3190099969255495</v>
      </c>
      <c r="AE22" s="126">
        <f ca="1">OFFSET(IND!AH$25,$E22,0)</f>
        <v>9.5144662621254952</v>
      </c>
      <c r="AF22" s="126">
        <f ca="1">OFFSET(IND!AI$25,$E22,0)</f>
        <v>9.7140372390023177</v>
      </c>
      <c r="AG22" s="126">
        <f ca="1">OFFSET(IND!AJ$25,$E22,0)</f>
        <v>9.9039039246035081</v>
      </c>
      <c r="AH22" s="126">
        <f ca="1">OFFSET(IND!AK$25,$E22,0)</f>
        <v>10.098301048149002</v>
      </c>
      <c r="AI22" s="126">
        <f ca="1">OFFSET(IND!AL$25,$E22,0)</f>
        <v>10.301948925902611</v>
      </c>
      <c r="AJ22" s="126">
        <f ca="1">OFFSET(IND!AM$25,$E22,0)</f>
        <v>11.411474913920992</v>
      </c>
      <c r="AK22" s="126">
        <f ca="1">OFFSET(IND!AN$25,$E22,0)</f>
        <v>12.602574949369806</v>
      </c>
      <c r="AL22" s="126">
        <f ca="1">OFFSET(IND!AO$25,$E22,0)</f>
        <v>14.889605298265256</v>
      </c>
      <c r="AM22" s="126">
        <f ca="1">OFFSET(IND!AP$25,$E22,0)</f>
        <v>17.190231321732458</v>
      </c>
      <c r="AQ22" s="4"/>
    </row>
    <row r="23" spans="1:43">
      <c r="A23" s="35" t="s">
        <v>323</v>
      </c>
      <c r="B23" t="s">
        <v>386</v>
      </c>
      <c r="E23" s="129">
        <f ca="1">MATCH(F23,IND!$D$26:$D$255,0)</f>
        <v>176</v>
      </c>
      <c r="F23" s="4" t="str">
        <f t="shared" si="0"/>
        <v>IFBE</v>
      </c>
      <c r="G23" s="126">
        <f ca="1">OFFSET(IND!J$25,$E23,0)</f>
        <v>0</v>
      </c>
      <c r="H23" s="126">
        <f ca="1">OFFSET(IND!K$25,$E23,0)</f>
        <v>0</v>
      </c>
      <c r="I23" s="126">
        <f ca="1">OFFSET(IND!L$25,$E23,0)</f>
        <v>0</v>
      </c>
      <c r="J23" s="126">
        <f ca="1">OFFSET(IND!M$25,$E23,0)</f>
        <v>0</v>
      </c>
      <c r="K23" s="126">
        <f ca="1">OFFSET(IND!N$25,$E23,0)</f>
        <v>0</v>
      </c>
      <c r="L23" s="126">
        <f ca="1">OFFSET(IND!O$25,$E23,0)</f>
        <v>0</v>
      </c>
      <c r="M23" s="126">
        <f ca="1">OFFSET(IND!P$25,$E23,0)</f>
        <v>0</v>
      </c>
      <c r="N23" s="126">
        <f ca="1">OFFSET(IND!Q$25,$E23,0)</f>
        <v>0</v>
      </c>
      <c r="O23" s="203">
        <f ca="1">OFFSET(IND!R$25,$E23,0)</f>
        <v>0</v>
      </c>
      <c r="P23" s="126">
        <f ca="1">OFFSET(IND!S$25,$E23,0)</f>
        <v>0</v>
      </c>
      <c r="Q23" s="126">
        <f ca="1">OFFSET(IND!T$25,$E23,0)</f>
        <v>0</v>
      </c>
      <c r="R23" s="126">
        <f ca="1">OFFSET(IND!U$25,$E23,0)</f>
        <v>0</v>
      </c>
      <c r="S23" s="126">
        <f ca="1">OFFSET(IND!V$25,$E23,0)</f>
        <v>0</v>
      </c>
      <c r="T23" s="203">
        <f ca="1">OFFSET(IND!W$25,$E23,0)</f>
        <v>0</v>
      </c>
      <c r="U23" s="126">
        <f ca="1">OFFSET(IND!X$25,$E23,0)</f>
        <v>0</v>
      </c>
      <c r="V23" s="126">
        <f ca="1">OFFSET(IND!Y$25,$E23,0)</f>
        <v>0</v>
      </c>
      <c r="W23" s="126">
        <f ca="1">OFFSET(IND!Z$25,$E23,0)</f>
        <v>0</v>
      </c>
      <c r="X23" s="126">
        <f ca="1">OFFSET(IND!AA$25,$E23,0)</f>
        <v>0</v>
      </c>
      <c r="Y23" s="205">
        <f ca="1">OFFSET(IND!AB$25,$E23,0)</f>
        <v>0</v>
      </c>
      <c r="Z23" s="126">
        <f ca="1">OFFSET(IND!AC$25,$E23,0)</f>
        <v>0</v>
      </c>
      <c r="AA23" s="126">
        <f ca="1">OFFSET(IND!AD$25,$E23,0)</f>
        <v>0</v>
      </c>
      <c r="AB23" s="126">
        <f ca="1">OFFSET(IND!AE$25,$E23,0)</f>
        <v>0</v>
      </c>
      <c r="AC23" s="126">
        <f ca="1">OFFSET(IND!AF$25,$E23,0)</f>
        <v>0</v>
      </c>
      <c r="AD23" s="126">
        <f ca="1">OFFSET(IND!AG$25,$E23,0)</f>
        <v>0</v>
      </c>
      <c r="AE23" s="126">
        <f ca="1">OFFSET(IND!AH$25,$E23,0)</f>
        <v>0</v>
      </c>
      <c r="AF23" s="126">
        <f ca="1">OFFSET(IND!AI$25,$E23,0)</f>
        <v>0</v>
      </c>
      <c r="AG23" s="126">
        <f ca="1">OFFSET(IND!AJ$25,$E23,0)</f>
        <v>0</v>
      </c>
      <c r="AH23" s="126">
        <f ca="1">OFFSET(IND!AK$25,$E23,0)</f>
        <v>0</v>
      </c>
      <c r="AI23" s="126">
        <f ca="1">OFFSET(IND!AL$25,$E23,0)</f>
        <v>0</v>
      </c>
      <c r="AJ23" s="126">
        <f ca="1">OFFSET(IND!AM$25,$E23,0)</f>
        <v>0</v>
      </c>
      <c r="AK23" s="126">
        <f ca="1">OFFSET(IND!AN$25,$E23,0)</f>
        <v>0</v>
      </c>
      <c r="AL23" s="126">
        <f ca="1">OFFSET(IND!AO$25,$E23,0)</f>
        <v>0</v>
      </c>
      <c r="AM23" s="126">
        <f ca="1">OFFSET(IND!AP$25,$E23,0)</f>
        <v>0</v>
      </c>
      <c r="AQ23" s="4"/>
    </row>
    <row r="24" spans="1:43">
      <c r="A24" s="35" t="s">
        <v>324</v>
      </c>
      <c r="B24">
        <v>0.84898186553730004</v>
      </c>
      <c r="E24" s="129">
        <f ca="1">MATCH(F24,IND!$D$26:$D$255,0)</f>
        <v>174</v>
      </c>
      <c r="F24" s="4" t="str">
        <f t="shared" si="0"/>
        <v>IFBF</v>
      </c>
      <c r="G24" s="126">
        <f ca="1">OFFSET(IND!J$25,$E24,0)</f>
        <v>0.51090613220650749</v>
      </c>
      <c r="H24" s="126">
        <f ca="1">OFFSET(IND!K$25,$E24,0)</f>
        <v>0.52970267214724498</v>
      </c>
      <c r="I24" s="126">
        <f ca="1">OFFSET(IND!L$25,$E24,0)</f>
        <v>0.54383949156096723</v>
      </c>
      <c r="J24" s="126">
        <f ca="1">OFFSET(IND!M$25,$E24,0)</f>
        <v>0.47846400000000006</v>
      </c>
      <c r="K24" s="126">
        <f ca="1">OFFSET(IND!N$25,$E24,0)</f>
        <v>0.47846400000000006</v>
      </c>
      <c r="L24" s="126">
        <f ca="1">OFFSET(IND!O$25,$E24,0)</f>
        <v>0.47846400000000006</v>
      </c>
      <c r="M24" s="126">
        <f ca="1">OFFSET(IND!P$25,$E24,0)</f>
        <v>0.485266783784567</v>
      </c>
      <c r="N24" s="126">
        <f ca="1">OFFSET(IND!Q$25,$E24,0)</f>
        <v>0.48370011007331143</v>
      </c>
      <c r="O24" s="203">
        <f ca="1">OFFSET(IND!R$25,$E24,0)</f>
        <v>0.46120748189431188</v>
      </c>
      <c r="P24" s="126">
        <f ca="1">OFFSET(IND!S$25,$E24,0)</f>
        <v>0.48395571770671691</v>
      </c>
      <c r="Q24" s="126">
        <f ca="1">OFFSET(IND!T$25,$E24,0)</f>
        <v>0.49366985248527312</v>
      </c>
      <c r="R24" s="126">
        <f ca="1">OFFSET(IND!U$25,$E24,0)</f>
        <v>0.50241091543553851</v>
      </c>
      <c r="S24" s="126">
        <f ca="1">OFFSET(IND!V$25,$E24,0)</f>
        <v>0.51150909810307699</v>
      </c>
      <c r="T24" s="203">
        <f ca="1">OFFSET(IND!W$25,$E24,0)</f>
        <v>0.52071552288276379</v>
      </c>
      <c r="U24" s="126">
        <f ca="1">OFFSET(IND!X$25,$E24,0)</f>
        <v>0.53304437824546513</v>
      </c>
      <c r="V24" s="126">
        <f ca="1">OFFSET(IND!Y$25,$E24,0)</f>
        <v>0.54505896398917419</v>
      </c>
      <c r="W24" s="126">
        <f ca="1">OFFSET(IND!Z$25,$E24,0)</f>
        <v>0.55768626629488449</v>
      </c>
      <c r="X24" s="126">
        <f ca="1">OFFSET(IND!AA$25,$E24,0)</f>
        <v>0.57017166577284195</v>
      </c>
      <c r="Y24" s="205">
        <f ca="1">OFFSET(IND!AB$25,$E24,0)</f>
        <v>0.58107544722087667</v>
      </c>
      <c r="Z24" s="126">
        <f ca="1">OFFSET(IND!AC$25,$E24,0)</f>
        <v>0.59445456181784639</v>
      </c>
      <c r="AA24" s="126">
        <f ca="1">OFFSET(IND!AD$25,$E24,0)</f>
        <v>0.60800857978439693</v>
      </c>
      <c r="AB24" s="126">
        <f ca="1">OFFSET(IND!AE$25,$E24,0)</f>
        <v>0.62096396232936646</v>
      </c>
      <c r="AC24" s="126">
        <f ca="1">OFFSET(IND!AF$25,$E24,0)</f>
        <v>0.63353751352651666</v>
      </c>
      <c r="AD24" s="126">
        <f ca="1">OFFSET(IND!AG$25,$E24,0)</f>
        <v>0.64827895630786414</v>
      </c>
      <c r="AE24" s="126">
        <f ca="1">OFFSET(IND!AH$25,$E24,0)</f>
        <v>0.66187591388699074</v>
      </c>
      <c r="AF24" s="126">
        <f ca="1">OFFSET(IND!AI$25,$E24,0)</f>
        <v>0.67575911227842189</v>
      </c>
      <c r="AG24" s="126">
        <f ca="1">OFFSET(IND!AJ$25,$E24,0)</f>
        <v>0.68896722953763512</v>
      </c>
      <c r="AH24" s="126">
        <f ca="1">OFFSET(IND!AK$25,$E24,0)</f>
        <v>0.70249050769732169</v>
      </c>
      <c r="AI24" s="126">
        <f ca="1">OFFSET(IND!AL$25,$E24,0)</f>
        <v>0.71665731658452914</v>
      </c>
      <c r="AJ24" s="126">
        <f ca="1">OFFSET(IND!AM$25,$E24,0)</f>
        <v>0.79384173314232953</v>
      </c>
      <c r="AK24" s="126">
        <f ca="1">OFFSET(IND!AN$25,$E24,0)</f>
        <v>0.87670086604311659</v>
      </c>
      <c r="AL24" s="126">
        <f ca="1">OFFSET(IND!AO$25,$E24,0)</f>
        <v>1.0357986294445389</v>
      </c>
      <c r="AM24" s="126">
        <f ca="1">OFFSET(IND!AP$25,$E24,0)</f>
        <v>1.1958421789031268</v>
      </c>
      <c r="AQ24" s="4"/>
    </row>
    <row r="25" spans="1:43">
      <c r="A25" s="35" t="s">
        <v>325</v>
      </c>
      <c r="B25">
        <v>1.432656898094</v>
      </c>
      <c r="E25" s="129">
        <f ca="1">MATCH(F25,IND!$D$26:$D$255,0)</f>
        <v>172</v>
      </c>
      <c r="F25" s="4" t="str">
        <f t="shared" si="0"/>
        <v>IFBH</v>
      </c>
      <c r="G25" s="126">
        <f ca="1">OFFSET(IND!J$25,$E25,0)</f>
        <v>0.86215409809848131</v>
      </c>
      <c r="H25" s="126">
        <f ca="1">OFFSET(IND!K$25,$E25,0)</f>
        <v>0.89387325924847572</v>
      </c>
      <c r="I25" s="126">
        <f ca="1">OFFSET(IND!L$25,$E25,0)</f>
        <v>0.91772914200913203</v>
      </c>
      <c r="J25" s="126">
        <f ca="1">OFFSET(IND!M$25,$E25,0)</f>
        <v>0.8074079999999999</v>
      </c>
      <c r="K25" s="126">
        <f ca="1">OFFSET(IND!N$25,$E25,0)</f>
        <v>0.8074079999999999</v>
      </c>
      <c r="L25" s="126">
        <f ca="1">OFFSET(IND!O$25,$E25,0)</f>
        <v>0.8074079999999999</v>
      </c>
      <c r="M25" s="126">
        <f ca="1">OFFSET(IND!P$25,$E25,0)</f>
        <v>0.81888769763645664</v>
      </c>
      <c r="N25" s="126">
        <f ca="1">OFFSET(IND!Q$25,$E25,0)</f>
        <v>0.8162439357487129</v>
      </c>
      <c r="O25" s="203">
        <f ca="1">OFFSET(IND!R$25,$E25,0)</f>
        <v>0.77828762569665122</v>
      </c>
      <c r="P25" s="126">
        <f ca="1">OFFSET(IND!S$25,$E25,0)</f>
        <v>0.81667527363008474</v>
      </c>
      <c r="Q25" s="126">
        <f ca="1">OFFSET(IND!T$25,$E25,0)</f>
        <v>0.83306787606889832</v>
      </c>
      <c r="R25" s="126">
        <f ca="1">OFFSET(IND!U$25,$E25,0)</f>
        <v>0.84781841979747119</v>
      </c>
      <c r="S25" s="126">
        <f ca="1">OFFSET(IND!V$25,$E25,0)</f>
        <v>0.86317160304894247</v>
      </c>
      <c r="T25" s="203">
        <f ca="1">OFFSET(IND!W$25,$E25,0)</f>
        <v>0.87870744486466401</v>
      </c>
      <c r="U25" s="126">
        <f ca="1">OFFSET(IND!X$25,$E25,0)</f>
        <v>0.89951238828922253</v>
      </c>
      <c r="V25" s="126">
        <f ca="1">OFFSET(IND!Y$25,$E25,0)</f>
        <v>0.91978700173173167</v>
      </c>
      <c r="W25" s="126">
        <f ca="1">OFFSET(IND!Z$25,$E25,0)</f>
        <v>0.94109557437261782</v>
      </c>
      <c r="X25" s="126">
        <f ca="1">OFFSET(IND!AA$25,$E25,0)</f>
        <v>0.96216468599167093</v>
      </c>
      <c r="Y25" s="205">
        <f ca="1">OFFSET(IND!AB$25,$E25,0)</f>
        <v>0.98056481718522959</v>
      </c>
      <c r="Z25" s="126">
        <f ca="1">OFFSET(IND!AC$25,$E25,0)</f>
        <v>1.0031420730676159</v>
      </c>
      <c r="AA25" s="126">
        <f ca="1">OFFSET(IND!AD$25,$E25,0)</f>
        <v>1.02601447838617</v>
      </c>
      <c r="AB25" s="126">
        <f ca="1">OFFSET(IND!AE$25,$E25,0)</f>
        <v>1.0478766864308062</v>
      </c>
      <c r="AC25" s="126">
        <f ca="1">OFFSET(IND!AF$25,$E25,0)</f>
        <v>1.0690945540759971</v>
      </c>
      <c r="AD25" s="126">
        <f ca="1">OFFSET(IND!AG$25,$E25,0)</f>
        <v>1.093970738769521</v>
      </c>
      <c r="AE25" s="126">
        <f ca="1">OFFSET(IND!AH$25,$E25,0)</f>
        <v>1.1169156046842972</v>
      </c>
      <c r="AF25" s="126">
        <f ca="1">OFFSET(IND!AI$25,$E25,0)</f>
        <v>1.1403435019698374</v>
      </c>
      <c r="AG25" s="126">
        <f ca="1">OFFSET(IND!AJ$25,$E25,0)</f>
        <v>1.1626321998447597</v>
      </c>
      <c r="AH25" s="126">
        <f ca="1">OFFSET(IND!AK$25,$E25,0)</f>
        <v>1.1854527317392309</v>
      </c>
      <c r="AI25" s="126">
        <f ca="1">OFFSET(IND!AL$25,$E25,0)</f>
        <v>1.2093592217363935</v>
      </c>
      <c r="AJ25" s="126">
        <f ca="1">OFFSET(IND!AM$25,$E25,0)</f>
        <v>1.3396079246776817</v>
      </c>
      <c r="AK25" s="126">
        <f ca="1">OFFSET(IND!AN$25,$E25,0)</f>
        <v>1.4794327114477599</v>
      </c>
      <c r="AL25" s="126">
        <f ca="1">OFFSET(IND!AO$25,$E25,0)</f>
        <v>1.7479101871876603</v>
      </c>
      <c r="AM25" s="126">
        <f ca="1">OFFSET(IND!AP$25,$E25,0)</f>
        <v>2.0179836768990276</v>
      </c>
      <c r="AQ25" s="4"/>
    </row>
    <row r="26" spans="1:43">
      <c r="A26" s="35" t="s">
        <v>326</v>
      </c>
      <c r="B26">
        <v>1.857147830862</v>
      </c>
      <c r="E26" s="129">
        <f ca="1">MATCH(F26,IND!$D$26:$D$255,0)</f>
        <v>168</v>
      </c>
      <c r="F26" s="4" t="str">
        <f t="shared" si="0"/>
        <v>IFBK</v>
      </c>
      <c r="G26" s="126">
        <f ca="1">OFFSET(IND!J$25,$E26,0)</f>
        <v>1.1176071642017353</v>
      </c>
      <c r="H26" s="126">
        <f ca="1">OFFSET(IND!K$25,$E26,0)</f>
        <v>1.1587245953220986</v>
      </c>
      <c r="I26" s="126">
        <f ca="1">OFFSET(IND!L$25,$E26,0)</f>
        <v>1.1896488877896161</v>
      </c>
      <c r="J26" s="126">
        <f ca="1">OFFSET(IND!M$25,$E26,0)</f>
        <v>1.04664</v>
      </c>
      <c r="K26" s="126">
        <f ca="1">OFFSET(IND!N$25,$E26,0)</f>
        <v>1.04664</v>
      </c>
      <c r="L26" s="126">
        <f ca="1">OFFSET(IND!O$25,$E26,0)</f>
        <v>1.04664</v>
      </c>
      <c r="M26" s="126">
        <f ca="1">OFFSET(IND!P$25,$E26,0)</f>
        <v>1.0615210895287404</v>
      </c>
      <c r="N26" s="126">
        <f ca="1">OFFSET(IND!Q$25,$E26,0)</f>
        <v>1.0580939907853688</v>
      </c>
      <c r="O26" s="203">
        <f ca="1">OFFSET(IND!R$25,$E26,0)</f>
        <v>1.0088913666438073</v>
      </c>
      <c r="P26" s="126">
        <f ca="1">OFFSET(IND!S$25,$E26,0)</f>
        <v>1.0586531324834434</v>
      </c>
      <c r="Q26" s="126">
        <f ca="1">OFFSET(IND!T$25,$E26,0)</f>
        <v>1.0799028023115351</v>
      </c>
      <c r="R26" s="126">
        <f ca="1">OFFSET(IND!U$25,$E26,0)</f>
        <v>1.0990238775152408</v>
      </c>
      <c r="S26" s="126">
        <f ca="1">OFFSET(IND!V$25,$E26,0)</f>
        <v>1.1189261521004812</v>
      </c>
      <c r="T26" s="203">
        <f ca="1">OFFSET(IND!W$25,$E26,0)</f>
        <v>1.1390652063060462</v>
      </c>
      <c r="U26" s="126">
        <f ca="1">OFFSET(IND!X$25,$E26,0)</f>
        <v>1.1660345774119554</v>
      </c>
      <c r="V26" s="126">
        <f ca="1">OFFSET(IND!Y$25,$E26,0)</f>
        <v>1.1923164837263192</v>
      </c>
      <c r="W26" s="126">
        <f ca="1">OFFSET(IND!Z$25,$E26,0)</f>
        <v>1.2199387075200605</v>
      </c>
      <c r="X26" s="126">
        <f ca="1">OFFSET(IND!AA$25,$E26,0)</f>
        <v>1.2472505188780922</v>
      </c>
      <c r="Y26" s="205">
        <f ca="1">OFFSET(IND!AB$25,$E26,0)</f>
        <v>1.2711025407956682</v>
      </c>
      <c r="Z26" s="126">
        <f ca="1">OFFSET(IND!AC$25,$E26,0)</f>
        <v>1.3003693539765393</v>
      </c>
      <c r="AA26" s="126">
        <f ca="1">OFFSET(IND!AD$25,$E26,0)</f>
        <v>1.3300187682783686</v>
      </c>
      <c r="AB26" s="126">
        <f ca="1">OFFSET(IND!AE$25,$E26,0)</f>
        <v>1.3583586675954895</v>
      </c>
      <c r="AC26" s="126">
        <f ca="1">OFFSET(IND!AF$25,$E26,0)</f>
        <v>1.3858633108392555</v>
      </c>
      <c r="AD26" s="126">
        <f ca="1">OFFSET(IND!AG$25,$E26,0)</f>
        <v>1.4181102169234532</v>
      </c>
      <c r="AE26" s="126">
        <f ca="1">OFFSET(IND!AH$25,$E26,0)</f>
        <v>1.4478535616277926</v>
      </c>
      <c r="AF26" s="126">
        <f ca="1">OFFSET(IND!AI$25,$E26,0)</f>
        <v>1.4782230581090483</v>
      </c>
      <c r="AG26" s="126">
        <f ca="1">OFFSET(IND!AJ$25,$E26,0)</f>
        <v>1.5071158146135772</v>
      </c>
      <c r="AH26" s="126">
        <f ca="1">OFFSET(IND!AK$25,$E26,0)</f>
        <v>1.5366979855878917</v>
      </c>
      <c r="AI26" s="126">
        <f ca="1">OFFSET(IND!AL$25,$E26,0)</f>
        <v>1.5676878800286582</v>
      </c>
      <c r="AJ26" s="126">
        <f ca="1">OFFSET(IND!AM$25,$E26,0)</f>
        <v>1.7365287912488465</v>
      </c>
      <c r="AK26" s="126">
        <f ca="1">OFFSET(IND!AN$25,$E26,0)</f>
        <v>1.9177831444693181</v>
      </c>
      <c r="AL26" s="126">
        <f ca="1">OFFSET(IND!AO$25,$E26,0)</f>
        <v>2.2658095019099296</v>
      </c>
      <c r="AM26" s="126">
        <f ca="1">OFFSET(IND!AP$25,$E26,0)</f>
        <v>2.6159047663505905</v>
      </c>
      <c r="AQ26" s="4"/>
    </row>
    <row r="27" spans="1:43">
      <c r="A27" s="35" t="s">
        <v>327</v>
      </c>
      <c r="B27">
        <v>0.39796024947059999</v>
      </c>
      <c r="E27" s="129">
        <f ca="1">MATCH(F27,IND!$D$26:$D$255,0)</f>
        <v>170</v>
      </c>
      <c r="F27" s="4" t="str">
        <f t="shared" si="0"/>
        <v>IFBL</v>
      </c>
      <c r="G27" s="126">
        <f ca="1">OFFSET(IND!J$25,$E27,0)</f>
        <v>0.23948724947180039</v>
      </c>
      <c r="H27" s="126">
        <f ca="1">OFFSET(IND!K$25,$E27,0)</f>
        <v>0.24829812756902106</v>
      </c>
      <c r="I27" s="126">
        <f ca="1">OFFSET(IND!L$25,$E27,0)</f>
        <v>0.25492476166920336</v>
      </c>
      <c r="J27" s="126">
        <f ca="1">OFFSET(IND!M$25,$E27,0)</f>
        <v>0.22428000000000001</v>
      </c>
      <c r="K27" s="126">
        <f ca="1">OFFSET(IND!N$25,$E27,0)</f>
        <v>0.22428000000000001</v>
      </c>
      <c r="L27" s="126">
        <f ca="1">OFFSET(IND!O$25,$E27,0)</f>
        <v>0.22428000000000001</v>
      </c>
      <c r="M27" s="126">
        <f ca="1">OFFSET(IND!P$25,$E27,0)</f>
        <v>0.22746880489901578</v>
      </c>
      <c r="N27" s="126">
        <f ca="1">OFFSET(IND!Q$25,$E27,0)</f>
        <v>0.22673442659686471</v>
      </c>
      <c r="O27" s="203">
        <f ca="1">OFFSET(IND!R$25,$E27,0)</f>
        <v>0.21619100713795869</v>
      </c>
      <c r="P27" s="126">
        <f ca="1">OFFSET(IND!S$25,$E27,0)</f>
        <v>0.22685424267502355</v>
      </c>
      <c r="Q27" s="126">
        <f ca="1">OFFSET(IND!T$25,$E27,0)</f>
        <v>0.23140774335247177</v>
      </c>
      <c r="R27" s="126">
        <f ca="1">OFFSET(IND!U$25,$E27,0)</f>
        <v>0.23550511661040871</v>
      </c>
      <c r="S27" s="126">
        <f ca="1">OFFSET(IND!V$25,$E27,0)</f>
        <v>0.23976988973581739</v>
      </c>
      <c r="T27" s="203">
        <f ca="1">OFFSET(IND!W$25,$E27,0)</f>
        <v>0.24408540135129561</v>
      </c>
      <c r="U27" s="126">
        <f ca="1">OFFSET(IND!X$25,$E27,0)</f>
        <v>0.24986455230256188</v>
      </c>
      <c r="V27" s="126">
        <f ca="1">OFFSET(IND!Y$25,$E27,0)</f>
        <v>0.25549638936992553</v>
      </c>
      <c r="W27" s="126">
        <f ca="1">OFFSET(IND!Z$25,$E27,0)</f>
        <v>0.26141543732572725</v>
      </c>
      <c r="X27" s="126">
        <f ca="1">OFFSET(IND!AA$25,$E27,0)</f>
        <v>0.26726796833101979</v>
      </c>
      <c r="Y27" s="205">
        <f ca="1">OFFSET(IND!AB$25,$E27,0)</f>
        <v>0.27237911588478608</v>
      </c>
      <c r="Z27" s="126">
        <f ca="1">OFFSET(IND!AC$25,$E27,0)</f>
        <v>0.27865057585211561</v>
      </c>
      <c r="AA27" s="126">
        <f ca="1">OFFSET(IND!AD$25,$E27,0)</f>
        <v>0.28500402177393619</v>
      </c>
      <c r="AB27" s="126">
        <f ca="1">OFFSET(IND!AE$25,$E27,0)</f>
        <v>0.2910768573418907</v>
      </c>
      <c r="AC27" s="126">
        <f ca="1">OFFSET(IND!AF$25,$E27,0)</f>
        <v>0.29697070946555482</v>
      </c>
      <c r="AD27" s="126">
        <f ca="1">OFFSET(IND!AG$25,$E27,0)</f>
        <v>0.30388076076931142</v>
      </c>
      <c r="AE27" s="126">
        <f ca="1">OFFSET(IND!AH$25,$E27,0)</f>
        <v>0.31025433463452701</v>
      </c>
      <c r="AF27" s="126">
        <f ca="1">OFFSET(IND!AI$25,$E27,0)</f>
        <v>0.31676208388051036</v>
      </c>
      <c r="AG27" s="126">
        <f ca="1">OFFSET(IND!AJ$25,$E27,0)</f>
        <v>0.32295338884576658</v>
      </c>
      <c r="AH27" s="126">
        <f ca="1">OFFSET(IND!AK$25,$E27,0)</f>
        <v>0.32929242548311966</v>
      </c>
      <c r="AI27" s="126">
        <f ca="1">OFFSET(IND!AL$25,$E27,0)</f>
        <v>0.33593311714899815</v>
      </c>
      <c r="AJ27" s="126">
        <f ca="1">OFFSET(IND!AM$25,$E27,0)</f>
        <v>0.37211331241046708</v>
      </c>
      <c r="AK27" s="126">
        <f ca="1">OFFSET(IND!AN$25,$E27,0)</f>
        <v>0.41095353095771098</v>
      </c>
      <c r="AL27" s="126">
        <f ca="1">OFFSET(IND!AO$25,$E27,0)</f>
        <v>0.48553060755212774</v>
      </c>
      <c r="AM27" s="126">
        <f ca="1">OFFSET(IND!AP$25,$E27,0)</f>
        <v>0.56055102136084078</v>
      </c>
      <c r="AQ27" s="4"/>
    </row>
    <row r="28" spans="1:43">
      <c r="A28" s="35" t="s">
        <v>328</v>
      </c>
      <c r="B28">
        <v>4.45715479407</v>
      </c>
      <c r="E28" s="129">
        <f ca="1">MATCH(F28,IND!$D$26:$D$255,0)</f>
        <v>175</v>
      </c>
      <c r="F28" s="4" t="str">
        <f t="shared" si="0"/>
        <v>IFBO</v>
      </c>
      <c r="G28" s="126">
        <f ca="1">OFFSET(IND!J$25,$E28,0)</f>
        <v>2.6822571940841642</v>
      </c>
      <c r="H28" s="126">
        <f ca="1">OFFSET(IND!K$25,$E28,0)</f>
        <v>2.7809390287730356</v>
      </c>
      <c r="I28" s="126">
        <f ca="1">OFFSET(IND!L$25,$E28,0)</f>
        <v>2.8551573306950773</v>
      </c>
      <c r="J28" s="126">
        <f ca="1">OFFSET(IND!M$25,$E28,0)</f>
        <v>2.5119360000000004</v>
      </c>
      <c r="K28" s="126">
        <f ca="1">OFFSET(IND!N$25,$E28,0)</f>
        <v>2.5119360000000004</v>
      </c>
      <c r="L28" s="126">
        <f ca="1">OFFSET(IND!O$25,$E28,0)</f>
        <v>2.5119360000000004</v>
      </c>
      <c r="M28" s="126">
        <f ca="1">OFFSET(IND!P$25,$E28,0)</f>
        <v>2.547650614868977</v>
      </c>
      <c r="N28" s="126">
        <f ca="1">OFFSET(IND!Q$25,$E28,0)</f>
        <v>2.5394255778848853</v>
      </c>
      <c r="O28" s="203">
        <f ca="1">OFFSET(IND!R$25,$E28,0)</f>
        <v>2.4213392799451379</v>
      </c>
      <c r="P28" s="126">
        <f ca="1">OFFSET(IND!S$25,$E28,0)</f>
        <v>2.5407675179602642</v>
      </c>
      <c r="Q28" s="126">
        <f ca="1">OFFSET(IND!T$25,$E28,0)</f>
        <v>2.5917667255476844</v>
      </c>
      <c r="R28" s="126">
        <f ca="1">OFFSET(IND!U$25,$E28,0)</f>
        <v>2.6376573060365778</v>
      </c>
      <c r="S28" s="126">
        <f ca="1">OFFSET(IND!V$25,$E28,0)</f>
        <v>2.6854227650411548</v>
      </c>
      <c r="T28" s="203">
        <f ca="1">OFFSET(IND!W$25,$E28,0)</f>
        <v>2.7337564951345108</v>
      </c>
      <c r="U28" s="126">
        <f ca="1">OFFSET(IND!X$25,$E28,0)</f>
        <v>2.7984829857886928</v>
      </c>
      <c r="V28" s="126">
        <f ca="1">OFFSET(IND!Y$25,$E28,0)</f>
        <v>2.8615595609431654</v>
      </c>
      <c r="W28" s="126">
        <f ca="1">OFFSET(IND!Z$25,$E28,0)</f>
        <v>2.9278528980481444</v>
      </c>
      <c r="X28" s="126">
        <f ca="1">OFFSET(IND!AA$25,$E28,0)</f>
        <v>2.993401245307421</v>
      </c>
      <c r="Y28" s="205">
        <f ca="1">OFFSET(IND!AB$25,$E28,0)</f>
        <v>3.0506460979096035</v>
      </c>
      <c r="Z28" s="126">
        <f ca="1">OFFSET(IND!AC$25,$E28,0)</f>
        <v>3.1208864495436943</v>
      </c>
      <c r="AA28" s="126">
        <f ca="1">OFFSET(IND!AD$25,$E28,0)</f>
        <v>3.192045043868085</v>
      </c>
      <c r="AB28" s="126">
        <f ca="1">OFFSET(IND!AE$25,$E28,0)</f>
        <v>3.2600608022291753</v>
      </c>
      <c r="AC28" s="126">
        <f ca="1">OFFSET(IND!AF$25,$E28,0)</f>
        <v>3.3260719460142134</v>
      </c>
      <c r="AD28" s="126">
        <f ca="1">OFFSET(IND!AG$25,$E28,0)</f>
        <v>3.4034645206162875</v>
      </c>
      <c r="AE28" s="126">
        <f ca="1">OFFSET(IND!AH$25,$E28,0)</f>
        <v>3.4748485479067019</v>
      </c>
      <c r="AF28" s="126">
        <f ca="1">OFFSET(IND!AI$25,$E28,0)</f>
        <v>3.5477353394617155</v>
      </c>
      <c r="AG28" s="126">
        <f ca="1">OFFSET(IND!AJ$25,$E28,0)</f>
        <v>3.6170779550725851</v>
      </c>
      <c r="AH28" s="126">
        <f ca="1">OFFSET(IND!AK$25,$E28,0)</f>
        <v>3.6880751654109396</v>
      </c>
      <c r="AI28" s="126">
        <f ca="1">OFFSET(IND!AL$25,$E28,0)</f>
        <v>3.762450912068779</v>
      </c>
      <c r="AJ28" s="126">
        <f ca="1">OFFSET(IND!AM$25,$E28,0)</f>
        <v>4.1676690989972309</v>
      </c>
      <c r="AK28" s="126">
        <f ca="1">OFFSET(IND!AN$25,$E28,0)</f>
        <v>4.602679546726363</v>
      </c>
      <c r="AL28" s="126">
        <f ca="1">OFFSET(IND!AO$25,$E28,0)</f>
        <v>5.4379428045838312</v>
      </c>
      <c r="AM28" s="126">
        <f ca="1">OFFSET(IND!AP$25,$E28,0)</f>
        <v>6.2781714392414179</v>
      </c>
      <c r="AQ28" s="4"/>
    </row>
    <row r="29" spans="1:43">
      <c r="A29" s="35" t="s">
        <v>329</v>
      </c>
      <c r="B29">
        <v>5.9428730587610001</v>
      </c>
      <c r="E29" s="129">
        <f ca="1">MATCH(F29,IND!$D$26:$D$255,0)</f>
        <v>173</v>
      </c>
      <c r="F29" s="4" t="str">
        <f t="shared" si="0"/>
        <v>IFBP</v>
      </c>
      <c r="G29" s="126">
        <f ca="1">OFFSET(IND!J$25,$E29,0)</f>
        <v>3.576342925445553</v>
      </c>
      <c r="H29" s="126">
        <f ca="1">OFFSET(IND!K$25,$E29,0)</f>
        <v>3.707918705030715</v>
      </c>
      <c r="I29" s="126">
        <f ca="1">OFFSET(IND!L$25,$E29,0)</f>
        <v>3.8068764409267706</v>
      </c>
      <c r="J29" s="126">
        <f ca="1">OFFSET(IND!M$25,$E29,0)</f>
        <v>3.3492480000000002</v>
      </c>
      <c r="K29" s="126">
        <f ca="1">OFFSET(IND!N$25,$E29,0)</f>
        <v>3.3492480000000002</v>
      </c>
      <c r="L29" s="126">
        <f ca="1">OFFSET(IND!O$25,$E29,0)</f>
        <v>3.3492480000000002</v>
      </c>
      <c r="M29" s="126">
        <f ca="1">OFFSET(IND!P$25,$E29,0)</f>
        <v>3.3968674864919688</v>
      </c>
      <c r="N29" s="126">
        <f ca="1">OFFSET(IND!Q$25,$E29,0)</f>
        <v>3.3859007705131798</v>
      </c>
      <c r="O29" s="203">
        <f ca="1">OFFSET(IND!R$25,$E29,0)</f>
        <v>3.2284523732601831</v>
      </c>
      <c r="P29" s="126">
        <f ca="1">OFFSET(IND!S$25,$E29,0)</f>
        <v>3.3876900239470182</v>
      </c>
      <c r="Q29" s="126">
        <f ca="1">OFFSET(IND!T$25,$E29,0)</f>
        <v>3.4556889673969118</v>
      </c>
      <c r="R29" s="126">
        <f ca="1">OFFSET(IND!U$25,$E29,0)</f>
        <v>3.5168764080487698</v>
      </c>
      <c r="S29" s="126">
        <f ca="1">OFFSET(IND!V$25,$E29,0)</f>
        <v>3.5805636867215394</v>
      </c>
      <c r="T29" s="203">
        <f ca="1">OFFSET(IND!W$25,$E29,0)</f>
        <v>3.6450086601793474</v>
      </c>
      <c r="U29" s="126">
        <f ca="1">OFFSET(IND!X$25,$E29,0)</f>
        <v>3.7313106477182569</v>
      </c>
      <c r="V29" s="126">
        <f ca="1">OFFSET(IND!Y$25,$E29,0)</f>
        <v>3.8154127479242206</v>
      </c>
      <c r="W29" s="126">
        <f ca="1">OFFSET(IND!Z$25,$E29,0)</f>
        <v>3.9038038640641926</v>
      </c>
      <c r="X29" s="126">
        <f ca="1">OFFSET(IND!AA$25,$E29,0)</f>
        <v>3.9912016604098945</v>
      </c>
      <c r="Y29" s="205">
        <f ca="1">OFFSET(IND!AB$25,$E29,0)</f>
        <v>4.0675281305461377</v>
      </c>
      <c r="Z29" s="126">
        <f ca="1">OFFSET(IND!AC$25,$E29,0)</f>
        <v>4.1611819327249258</v>
      </c>
      <c r="AA29" s="126">
        <f ca="1">OFFSET(IND!AD$25,$E29,0)</f>
        <v>4.25606005849078</v>
      </c>
      <c r="AB29" s="126">
        <f ca="1">OFFSET(IND!AE$25,$E29,0)</f>
        <v>4.3467477363055673</v>
      </c>
      <c r="AC29" s="126">
        <f ca="1">OFFSET(IND!AF$25,$E29,0)</f>
        <v>4.4347625946856182</v>
      </c>
      <c r="AD29" s="126">
        <f ca="1">OFFSET(IND!AG$25,$E29,0)</f>
        <v>4.5379526941550505</v>
      </c>
      <c r="AE29" s="126">
        <f ca="1">OFFSET(IND!AH$25,$E29,0)</f>
        <v>4.6331313972089365</v>
      </c>
      <c r="AF29" s="126">
        <f ca="1">OFFSET(IND!AI$25,$E29,0)</f>
        <v>4.7303137859489546</v>
      </c>
      <c r="AG29" s="126">
        <f ca="1">OFFSET(IND!AJ$25,$E29,0)</f>
        <v>4.8227706067634477</v>
      </c>
      <c r="AH29" s="126">
        <f ca="1">OFFSET(IND!AK$25,$E29,0)</f>
        <v>4.9174335538812537</v>
      </c>
      <c r="AI29" s="126">
        <f ca="1">OFFSET(IND!AL$25,$E29,0)</f>
        <v>5.016601216091706</v>
      </c>
      <c r="AJ29" s="126">
        <f ca="1">OFFSET(IND!AM$25,$E29,0)</f>
        <v>5.5568921319963085</v>
      </c>
      <c r="AK29" s="126">
        <f ca="1">OFFSET(IND!AN$25,$E29,0)</f>
        <v>6.1369060623018177</v>
      </c>
      <c r="AL29" s="126">
        <f ca="1">OFFSET(IND!AO$25,$E29,0)</f>
        <v>7.2505904061117752</v>
      </c>
      <c r="AM29" s="126">
        <f ca="1">OFFSET(IND!AP$25,$E29,0)</f>
        <v>8.3708952523218905</v>
      </c>
      <c r="AQ29" s="4"/>
    </row>
    <row r="30" spans="1:43">
      <c r="A30" s="35" t="s">
        <v>330</v>
      </c>
      <c r="B30">
        <v>28.205650466129999</v>
      </c>
      <c r="E30" s="129">
        <f ca="1">MATCH(F30,IND!$D$26:$D$255,0)</f>
        <v>178</v>
      </c>
      <c r="F30" s="4" t="str">
        <f t="shared" si="0"/>
        <v>IFBS</v>
      </c>
      <c r="G30" s="126">
        <f ca="1">OFFSET(IND!J$25,$E30,0)</f>
        <v>20.421862032418336</v>
      </c>
      <c r="H30" s="126">
        <f ca="1">OFFSET(IND!K$25,$E30,0)</f>
        <v>21.173194461525735</v>
      </c>
      <c r="I30" s="126">
        <f ca="1">OFFSET(IND!L$25,$E30,0)</f>
        <v>21.738269252069756</v>
      </c>
      <c r="J30" s="126">
        <f ca="1">OFFSET(IND!M$25,$E30,0)</f>
        <v>6.8922304000000008</v>
      </c>
      <c r="K30" s="126">
        <f ca="1">OFFSET(IND!N$25,$E30,0)</f>
        <v>6.8922304000000008</v>
      </c>
      <c r="L30" s="126">
        <f ca="1">OFFSET(IND!O$25,$E30,0)</f>
        <v>6.8922304000000008</v>
      </c>
      <c r="M30" s="126">
        <f ca="1">OFFSET(IND!P$25,$E30,0)</f>
        <v>6.9902238816509072</v>
      </c>
      <c r="N30" s="126">
        <f ca="1">OFFSET(IND!Q$25,$E30,0)</f>
        <v>6.9676560893413573</v>
      </c>
      <c r="O30" s="203">
        <f ca="1">OFFSET(IND!R$25,$E30,0)</f>
        <v>6.6436518263013014</v>
      </c>
      <c r="P30" s="126">
        <f ca="1">OFFSET(IND!S$25,$E30,0)</f>
        <v>6.971338094051073</v>
      </c>
      <c r="Q30" s="126">
        <f ca="1">OFFSET(IND!T$25,$E30,0)</f>
        <v>7.1112693219605134</v>
      </c>
      <c r="R30" s="126">
        <f ca="1">OFFSET(IND!U$25,$E30,0)</f>
        <v>7.2371835386918306</v>
      </c>
      <c r="S30" s="126">
        <f ca="1">OFFSET(IND!V$25,$E30,0)</f>
        <v>7.3682420324676672</v>
      </c>
      <c r="T30" s="203">
        <f ca="1">OFFSET(IND!W$25,$E30,0)</f>
        <v>7.5008597440235443</v>
      </c>
      <c r="U30" s="126">
        <f ca="1">OFFSET(IND!X$25,$E30,0)</f>
        <v>7.678455784118543</v>
      </c>
      <c r="V30" s="126">
        <f ca="1">OFFSET(IND!Y$25,$E30,0)</f>
        <v>7.8515247989372101</v>
      </c>
      <c r="W30" s="126">
        <f ca="1">OFFSET(IND!Z$25,$E30,0)</f>
        <v>8.0334199401001953</v>
      </c>
      <c r="X30" s="126">
        <f ca="1">OFFSET(IND!AA$25,$E30,0)</f>
        <v>8.2132709839365603</v>
      </c>
      <c r="Y30" s="205">
        <f ca="1">OFFSET(IND!AB$25,$E30,0)</f>
        <v>8.3703389639122765</v>
      </c>
      <c r="Z30" s="126">
        <f ca="1">OFFSET(IND!AC$25,$E30,0)</f>
        <v>8.5630638927477136</v>
      </c>
      <c r="AA30" s="126">
        <f ca="1">OFFSET(IND!AD$25,$E30,0)</f>
        <v>8.7583082887131489</v>
      </c>
      <c r="AB30" s="126">
        <f ca="1">OFFSET(IND!AE$25,$E30,0)</f>
        <v>8.9449293958812301</v>
      </c>
      <c r="AC30" s="126">
        <f ca="1">OFFSET(IND!AF$25,$E30,0)</f>
        <v>9.1260502572144855</v>
      </c>
      <c r="AD30" s="126">
        <f ca="1">OFFSET(IND!AG$25,$E30,0)</f>
        <v>9.3383993996316033</v>
      </c>
      <c r="AE30" s="126">
        <f ca="1">OFFSET(IND!AH$25,$E30,0)</f>
        <v>9.5342623368105066</v>
      </c>
      <c r="AF30" s="126">
        <f ca="1">OFFSET(IND!AI$25,$E30,0)</f>
        <v>9.7342485468548432</v>
      </c>
      <c r="AG30" s="126">
        <f ca="1">OFFSET(IND!AJ$25,$E30,0)</f>
        <v>9.9245102745934286</v>
      </c>
      <c r="AH30" s="126">
        <f ca="1">OFFSET(IND!AK$25,$E30,0)</f>
        <v>10.119311866437011</v>
      </c>
      <c r="AI30" s="126">
        <f ca="1">OFFSET(IND!AL$25,$E30,0)</f>
        <v>10.323383459876437</v>
      </c>
      <c r="AJ30" s="126">
        <f ca="1">OFFSET(IND!AM$25,$E30,0)</f>
        <v>11.435217959872123</v>
      </c>
      <c r="AK30" s="126">
        <f ca="1">OFFSET(IND!AN$25,$E30,0)</f>
        <v>12.628796232629206</v>
      </c>
      <c r="AL30" s="126">
        <f ca="1">OFFSET(IND!AO$25,$E30,0)</f>
        <v>14.920585043255066</v>
      </c>
      <c r="AM30" s="126">
        <f ca="1">OFFSET(IND!AP$25,$E30,0)</f>
        <v>17.22599781600784</v>
      </c>
      <c r="AQ30" s="4"/>
    </row>
    <row r="31" spans="1:43">
      <c r="A31" s="35" t="s">
        <v>331</v>
      </c>
      <c r="B31">
        <v>1.0975498905550001</v>
      </c>
      <c r="E31" s="129">
        <f ca="1">MATCH(F31,IND!$D$26:$D$255,0)</f>
        <v>47</v>
      </c>
      <c r="F31" s="4" t="str">
        <f t="shared" si="0"/>
        <v>IMIA</v>
      </c>
      <c r="G31" s="126">
        <f ca="1">OFFSET(IND!J$25,$E31,0)</f>
        <v>0.99318058118269725</v>
      </c>
      <c r="H31" s="126">
        <f ca="1">OFFSET(IND!K$25,$E31,0)</f>
        <v>1.0209484587400051</v>
      </c>
      <c r="I31" s="126">
        <f ca="1">OFFSET(IND!L$25,$E31,0)</f>
        <v>1.0290592397914098</v>
      </c>
      <c r="J31" s="126">
        <f ca="1">OFFSET(IND!M$25,$E31,0)</f>
        <v>1.0228235984706235</v>
      </c>
      <c r="K31" s="126">
        <f ca="1">OFFSET(IND!N$25,$E31,0)</f>
        <v>1.0228235984706235</v>
      </c>
      <c r="L31" s="126">
        <f ca="1">OFFSET(IND!O$25,$E31,0)</f>
        <v>1.0228235984706235</v>
      </c>
      <c r="M31" s="126">
        <f ca="1">OFFSET(IND!P$25,$E31,0)</f>
        <v>1.0197180488474091</v>
      </c>
      <c r="N31" s="126">
        <f ca="1">OFFSET(IND!Q$25,$E31,0)</f>
        <v>1.0093444161717644</v>
      </c>
      <c r="O31" s="203">
        <f ca="1">OFFSET(IND!R$25,$E31,0)</f>
        <v>0.92963171957311352</v>
      </c>
      <c r="P31" s="126">
        <f ca="1">OFFSET(IND!S$25,$E31,0)</f>
        <v>1.0058167057565197</v>
      </c>
      <c r="Q31" s="126">
        <f ca="1">OFFSET(IND!T$25,$E31,0)</f>
        <v>1.0147549994222158</v>
      </c>
      <c r="R31" s="126">
        <f ca="1">OFFSET(IND!U$25,$E31,0)</f>
        <v>1.0250550731847807</v>
      </c>
      <c r="S31" s="126">
        <f ca="1">OFFSET(IND!V$25,$E31,0)</f>
        <v>1.0371254029171084</v>
      </c>
      <c r="T31" s="203">
        <f ca="1">OFFSET(IND!W$25,$E31,0)</f>
        <v>1.04886811219953</v>
      </c>
      <c r="U31" s="126">
        <f ca="1">OFFSET(IND!X$25,$E31,0)</f>
        <v>1.0680128460837022</v>
      </c>
      <c r="V31" s="126">
        <f ca="1">OFFSET(IND!Y$25,$E31,0)</f>
        <v>1.08720566919974</v>
      </c>
      <c r="W31" s="126">
        <f ca="1">OFFSET(IND!Z$25,$E31,0)</f>
        <v>1.1085634799466098</v>
      </c>
      <c r="X31" s="126">
        <f ca="1">OFFSET(IND!AA$25,$E31,0)</f>
        <v>1.1335726965517685</v>
      </c>
      <c r="Y31" s="205">
        <f ca="1">OFFSET(IND!AB$25,$E31,0)</f>
        <v>1.1554654657297605</v>
      </c>
      <c r="Z31" s="126">
        <f ca="1">OFFSET(IND!AC$25,$E31,0)</f>
        <v>1.1839116421017113</v>
      </c>
      <c r="AA31" s="126">
        <f ca="1">OFFSET(IND!AD$25,$E31,0)</f>
        <v>1.21552926808179</v>
      </c>
      <c r="AB31" s="126">
        <f ca="1">OFFSET(IND!AE$25,$E31,0)</f>
        <v>1.2474379843816861</v>
      </c>
      <c r="AC31" s="126">
        <f ca="1">OFFSET(IND!AF$25,$E31,0)</f>
        <v>1.2798246410366176</v>
      </c>
      <c r="AD31" s="126">
        <f ca="1">OFFSET(IND!AG$25,$E31,0)</f>
        <v>1.3196255779449639</v>
      </c>
      <c r="AE31" s="126">
        <f ca="1">OFFSET(IND!AH$25,$E31,0)</f>
        <v>1.3555871527217416</v>
      </c>
      <c r="AF31" s="126">
        <f ca="1">OFFSET(IND!AI$25,$E31,0)</f>
        <v>1.3920671212997124</v>
      </c>
      <c r="AG31" s="126">
        <f ca="1">OFFSET(IND!AJ$25,$E31,0)</f>
        <v>1.4273773066017181</v>
      </c>
      <c r="AH31" s="126">
        <f ca="1">OFFSET(IND!AK$25,$E31,0)</f>
        <v>1.4634928896725621</v>
      </c>
      <c r="AI31" s="126">
        <f ca="1">OFFSET(IND!AL$25,$E31,0)</f>
        <v>1.5013641996472786</v>
      </c>
      <c r="AJ31" s="126">
        <f ca="1">OFFSET(IND!AM$25,$E31,0)</f>
        <v>1.6986948594489233</v>
      </c>
      <c r="AK31" s="126">
        <f ca="1">OFFSET(IND!AN$25,$E31,0)</f>
        <v>1.9125244259090233</v>
      </c>
      <c r="AL31" s="126">
        <f ca="1">OFFSET(IND!AO$25,$E31,0)</f>
        <v>2.3209348343943512</v>
      </c>
      <c r="AM31" s="126">
        <f ca="1">OFFSET(IND!AP$25,$E31,0)</f>
        <v>2.7320950606560959</v>
      </c>
      <c r="AQ31" s="4"/>
    </row>
    <row r="32" spans="1:43">
      <c r="A32" s="35" t="s">
        <v>332</v>
      </c>
      <c r="B32">
        <v>19.17682172608</v>
      </c>
      <c r="E32" s="129">
        <f ca="1">MATCH(F32,IND!$D$26:$D$255,0)</f>
        <v>49</v>
      </c>
      <c r="F32" s="4" t="str">
        <f t="shared" si="0"/>
        <v>IMIC</v>
      </c>
      <c r="G32" s="126">
        <f ca="1">OFFSET(IND!J$25,$E32,0)</f>
        <v>17.35324025908308</v>
      </c>
      <c r="H32" s="126">
        <f ca="1">OFFSET(IND!K$25,$E32,0)</f>
        <v>17.838411495680308</v>
      </c>
      <c r="I32" s="126">
        <f ca="1">OFFSET(IND!L$25,$E32,0)</f>
        <v>17.980126240149275</v>
      </c>
      <c r="J32" s="126">
        <f ca="1">OFFSET(IND!M$25,$E32,0)</f>
        <v>17.871174671764589</v>
      </c>
      <c r="K32" s="126">
        <f ca="1">OFFSET(IND!N$25,$E32,0)</f>
        <v>17.871174671764589</v>
      </c>
      <c r="L32" s="126">
        <f ca="1">OFFSET(IND!O$25,$E32,0)</f>
        <v>17.871174671764589</v>
      </c>
      <c r="M32" s="126">
        <f ca="1">OFFSET(IND!P$25,$E32,0)</f>
        <v>17.816913291941827</v>
      </c>
      <c r="N32" s="126">
        <f ca="1">OFFSET(IND!Q$25,$E32,0)</f>
        <v>17.635661117271265</v>
      </c>
      <c r="O32" s="203">
        <f ca="1">OFFSET(IND!R$25,$E32,0)</f>
        <v>16.242889649540235</v>
      </c>
      <c r="P32" s="126">
        <f ca="1">OFFSET(IND!S$25,$E32,0)</f>
        <v>17.574023578680535</v>
      </c>
      <c r="Q32" s="126">
        <f ca="1">OFFSET(IND!T$25,$E32,0)</f>
        <v>17.730196947779593</v>
      </c>
      <c r="R32" s="126">
        <f ca="1">OFFSET(IND!U$25,$E32,0)</f>
        <v>17.910163872299218</v>
      </c>
      <c r="S32" s="126">
        <f ca="1">OFFSET(IND!V$25,$E32,0)</f>
        <v>18.121061402738256</v>
      </c>
      <c r="T32" s="203">
        <f ca="1">OFFSET(IND!W$25,$E32,0)</f>
        <v>18.326234620309396</v>
      </c>
      <c r="U32" s="126">
        <f ca="1">OFFSET(IND!X$25,$E32,0)</f>
        <v>18.660738911958585</v>
      </c>
      <c r="V32" s="126">
        <f ca="1">OFFSET(IND!Y$25,$E32,0)</f>
        <v>18.996083437509093</v>
      </c>
      <c r="W32" s="126">
        <f ca="1">OFFSET(IND!Z$25,$E32,0)</f>
        <v>19.369255475223632</v>
      </c>
      <c r="X32" s="126">
        <f ca="1">OFFSET(IND!AA$25,$E32,0)</f>
        <v>19.806226306775702</v>
      </c>
      <c r="Y32" s="205">
        <f ca="1">OFFSET(IND!AB$25,$E32,0)</f>
        <v>20.188745347804414</v>
      </c>
      <c r="Z32" s="126">
        <f ca="1">OFFSET(IND!AC$25,$E32,0)</f>
        <v>20.685768087059831</v>
      </c>
      <c r="AA32" s="126">
        <f ca="1">OFFSET(IND!AD$25,$E32,0)</f>
        <v>21.238203636495125</v>
      </c>
      <c r="AB32" s="126">
        <f ca="1">OFFSET(IND!AE$25,$E32,0)</f>
        <v>21.795725230052302</v>
      </c>
      <c r="AC32" s="126">
        <f ca="1">OFFSET(IND!AF$25,$E32,0)</f>
        <v>22.361597584757629</v>
      </c>
      <c r="AD32" s="126">
        <f ca="1">OFFSET(IND!AG$25,$E32,0)</f>
        <v>23.057015149088855</v>
      </c>
      <c r="AE32" s="126">
        <f ca="1">OFFSET(IND!AH$25,$E32,0)</f>
        <v>23.685349873931415</v>
      </c>
      <c r="AF32" s="126">
        <f ca="1">OFFSET(IND!AI$25,$E32,0)</f>
        <v>24.322742178383731</v>
      </c>
      <c r="AG32" s="126">
        <f ca="1">OFFSET(IND!AJ$25,$E32,0)</f>
        <v>24.939695571097854</v>
      </c>
      <c r="AH32" s="126">
        <f ca="1">OFFSET(IND!AK$25,$E32,0)</f>
        <v>25.570721189197354</v>
      </c>
      <c r="AI32" s="126">
        <f ca="1">OFFSET(IND!AL$25,$E32,0)</f>
        <v>26.232423555684292</v>
      </c>
      <c r="AJ32" s="126">
        <f ca="1">OFFSET(IND!AM$25,$E32,0)</f>
        <v>29.680262161170898</v>
      </c>
      <c r="AK32" s="126">
        <f ca="1">OFFSET(IND!AN$25,$E32,0)</f>
        <v>33.416376128339884</v>
      </c>
      <c r="AL32" s="126">
        <f ca="1">OFFSET(IND!AO$25,$E32,0)</f>
        <v>40.552282807381616</v>
      </c>
      <c r="AM32" s="126">
        <f ca="1">OFFSET(IND!AP$25,$E32,0)</f>
        <v>47.736235380037215</v>
      </c>
      <c r="AQ32" s="4"/>
    </row>
    <row r="33" spans="1:43">
      <c r="A33" s="35" t="s">
        <v>333</v>
      </c>
      <c r="B33">
        <v>0.20646280210080001</v>
      </c>
      <c r="E33" s="129">
        <f ca="1">MATCH(F33,IND!$D$26:$D$255,0)</f>
        <v>54</v>
      </c>
      <c r="F33" s="4" t="str">
        <f t="shared" si="0"/>
        <v>IMIE</v>
      </c>
      <c r="G33" s="126">
        <f ca="1">OFFSET(IND!J$25,$E33,0)</f>
        <v>0.18682963530638833</v>
      </c>
      <c r="H33" s="126">
        <f ca="1">OFFSET(IND!K$25,$E33,0)</f>
        <v>0.19205311886572904</v>
      </c>
      <c r="I33" s="126">
        <f ca="1">OFFSET(IND!L$25,$E33,0)</f>
        <v>0.19357885778430459</v>
      </c>
      <c r="J33" s="126">
        <f ca="1">OFFSET(IND!M$25,$E33,0)</f>
        <v>0.19240585599999999</v>
      </c>
      <c r="K33" s="126">
        <f ca="1">OFFSET(IND!N$25,$E33,0)</f>
        <v>0.19240585599999999</v>
      </c>
      <c r="L33" s="126">
        <f ca="1">OFFSET(IND!O$25,$E33,0)</f>
        <v>0.19240585599999999</v>
      </c>
      <c r="M33" s="126">
        <f ca="1">OFFSET(IND!P$25,$E33,0)</f>
        <v>0.19182166344275112</v>
      </c>
      <c r="N33" s="126">
        <f ca="1">OFFSET(IND!Q$25,$E33,0)</f>
        <v>0.18987025395457405</v>
      </c>
      <c r="O33" s="203">
        <f ca="1">OFFSET(IND!R$25,$E33,0)</f>
        <v>0.17487530306952931</v>
      </c>
      <c r="P33" s="126">
        <f ca="1">OFFSET(IND!S$25,$E33,0)</f>
        <v>0.18920664769521495</v>
      </c>
      <c r="Q33" s="126">
        <f ca="1">OFFSET(IND!T$25,$E33,0)</f>
        <v>0.19088805204147671</v>
      </c>
      <c r="R33" s="126">
        <f ca="1">OFFSET(IND!U$25,$E33,0)</f>
        <v>0.19282562418208113</v>
      </c>
      <c r="S33" s="126">
        <f ca="1">OFFSET(IND!V$25,$E33,0)</f>
        <v>0.1950962035154318</v>
      </c>
      <c r="T33" s="203">
        <f ca="1">OFFSET(IND!W$25,$E33,0)</f>
        <v>0.19730515336232798</v>
      </c>
      <c r="U33" s="126">
        <f ca="1">OFFSET(IND!X$25,$E33,0)</f>
        <v>0.20090651621354122</v>
      </c>
      <c r="V33" s="126">
        <f ca="1">OFFSET(IND!Y$25,$E33,0)</f>
        <v>0.20451692524811915</v>
      </c>
      <c r="W33" s="126">
        <f ca="1">OFFSET(IND!Z$25,$E33,0)</f>
        <v>0.20853459541644728</v>
      </c>
      <c r="X33" s="126">
        <f ca="1">OFFSET(IND!AA$25,$E33,0)</f>
        <v>0.21323914049733905</v>
      </c>
      <c r="Y33" s="205">
        <f ca="1">OFFSET(IND!AB$25,$E33,0)</f>
        <v>0.21735744300834917</v>
      </c>
      <c r="Z33" s="126">
        <f ca="1">OFFSET(IND!AC$25,$E33,0)</f>
        <v>0.22270852302151659</v>
      </c>
      <c r="AA33" s="126">
        <f ca="1">OFFSET(IND!AD$25,$E33,0)</f>
        <v>0.22865619219974154</v>
      </c>
      <c r="AB33" s="126">
        <f ca="1">OFFSET(IND!AE$25,$E33,0)</f>
        <v>0.234658619092045</v>
      </c>
      <c r="AC33" s="126">
        <f ca="1">OFFSET(IND!AF$25,$E33,0)</f>
        <v>0.24075095251687767</v>
      </c>
      <c r="AD33" s="126">
        <f ca="1">OFFSET(IND!AG$25,$E33,0)</f>
        <v>0.24823800438672394</v>
      </c>
      <c r="AE33" s="126">
        <f ca="1">OFFSET(IND!AH$25,$E33,0)</f>
        <v>0.25500282442840061</v>
      </c>
      <c r="AF33" s="126">
        <f ca="1">OFFSET(IND!AI$25,$E33,0)</f>
        <v>0.26186516079959177</v>
      </c>
      <c r="AG33" s="126">
        <f ca="1">OFFSET(IND!AJ$25,$E33,0)</f>
        <v>0.26850744636937091</v>
      </c>
      <c r="AH33" s="126">
        <f ca="1">OFFSET(IND!AK$25,$E33,0)</f>
        <v>0.27530123728901251</v>
      </c>
      <c r="AI33" s="126">
        <f ca="1">OFFSET(IND!AL$25,$E33,0)</f>
        <v>0.28242530230317725</v>
      </c>
      <c r="AJ33" s="126">
        <f ca="1">OFFSET(IND!AM$25,$E33,0)</f>
        <v>0.31954565675232294</v>
      </c>
      <c r="AK33" s="126">
        <f ca="1">OFFSET(IND!AN$25,$E33,0)</f>
        <v>0.35976966100328278</v>
      </c>
      <c r="AL33" s="126">
        <f ca="1">OFFSET(IND!AO$25,$E33,0)</f>
        <v>0.43659674473641791</v>
      </c>
      <c r="AM33" s="126">
        <f ca="1">OFFSET(IND!AP$25,$E33,0)</f>
        <v>0.51394110343652344</v>
      </c>
      <c r="AQ33" s="4"/>
    </row>
    <row r="34" spans="1:43">
      <c r="A34" s="35" t="s">
        <v>334</v>
      </c>
      <c r="B34">
        <v>6.5077475668130003</v>
      </c>
      <c r="E34" s="129">
        <f ca="1">MATCH(F34,IND!$D$26:$D$255,0)</f>
        <v>52</v>
      </c>
      <c r="F34" s="4" t="str">
        <f t="shared" si="0"/>
        <v>IMIF</v>
      </c>
      <c r="G34" s="126">
        <f ca="1">OFFSET(IND!J$25,$E34,0)</f>
        <v>5.8889063414920679</v>
      </c>
      <c r="H34" s="126">
        <f ca="1">OFFSET(IND!K$25,$E34,0)</f>
        <v>6.0535515564058358</v>
      </c>
      <c r="I34" s="126">
        <f ca="1">OFFSET(IND!L$25,$E34,0)</f>
        <v>6.1016431430447868</v>
      </c>
      <c r="J34" s="126">
        <f ca="1">OFFSET(IND!M$25,$E34,0)</f>
        <v>6.0646698992933636</v>
      </c>
      <c r="K34" s="126">
        <f ca="1">OFFSET(IND!N$25,$E34,0)</f>
        <v>6.0646698992933636</v>
      </c>
      <c r="L34" s="126">
        <f ca="1">OFFSET(IND!O$25,$E34,0)</f>
        <v>6.0646698992933636</v>
      </c>
      <c r="M34" s="126">
        <f ca="1">OFFSET(IND!P$25,$E34,0)</f>
        <v>6.0462560365815214</v>
      </c>
      <c r="N34" s="126">
        <f ca="1">OFFSET(IND!Q$25,$E34,0)</f>
        <v>5.9847472310275842</v>
      </c>
      <c r="O34" s="203">
        <f ca="1">OFFSET(IND!R$25,$E34,0)</f>
        <v>5.512103470777828</v>
      </c>
      <c r="P34" s="126">
        <f ca="1">OFFSET(IND!S$25,$E34,0)</f>
        <v>5.9638302330225041</v>
      </c>
      <c r="Q34" s="126">
        <f ca="1">OFFSET(IND!T$25,$E34,0)</f>
        <v>6.0168284241342906</v>
      </c>
      <c r="R34" s="126">
        <f ca="1">OFFSET(IND!U$25,$E34,0)</f>
        <v>6.0779010738089081</v>
      </c>
      <c r="S34" s="126">
        <f ca="1">OFFSET(IND!V$25,$E34,0)</f>
        <v>6.1494701747874636</v>
      </c>
      <c r="T34" s="203">
        <f ca="1">OFFSET(IND!W$25,$E34,0)</f>
        <v>6.2190967023995958</v>
      </c>
      <c r="U34" s="126">
        <f ca="1">OFFSET(IND!X$25,$E34,0)</f>
        <v>6.3326123579739573</v>
      </c>
      <c r="V34" s="126">
        <f ca="1">OFFSET(IND!Y$25,$E34,0)</f>
        <v>6.4464131510025311</v>
      </c>
      <c r="W34" s="126">
        <f ca="1">OFFSET(IND!Z$25,$E34,0)</f>
        <v>6.573050893957447</v>
      </c>
      <c r="X34" s="126">
        <f ca="1">OFFSET(IND!AA$25,$E34,0)</f>
        <v>6.7213390673795335</v>
      </c>
      <c r="Y34" s="205">
        <f ca="1">OFFSET(IND!AB$25,$E34,0)</f>
        <v>6.851148761293981</v>
      </c>
      <c r="Z34" s="126">
        <f ca="1">OFFSET(IND!AC$25,$E34,0)</f>
        <v>7.0198158411804004</v>
      </c>
      <c r="AA34" s="126">
        <f ca="1">OFFSET(IND!AD$25,$E34,0)</f>
        <v>7.2072875272611805</v>
      </c>
      <c r="AB34" s="126">
        <f ca="1">OFFSET(IND!AE$25,$E34,0)</f>
        <v>7.396485187110275</v>
      </c>
      <c r="AC34" s="126">
        <f ca="1">OFFSET(IND!AF$25,$E34,0)</f>
        <v>7.5885167183025555</v>
      </c>
      <c r="AD34" s="126">
        <f ca="1">OFFSET(IND!AG$25,$E34,0)</f>
        <v>7.8245100453949741</v>
      </c>
      <c r="AE34" s="126">
        <f ca="1">OFFSET(IND!AH$25,$E34,0)</f>
        <v>8.0377384851826541</v>
      </c>
      <c r="AF34" s="126">
        <f ca="1">OFFSET(IND!AI$25,$E34,0)</f>
        <v>8.2540406585904584</v>
      </c>
      <c r="AG34" s="126">
        <f ca="1">OFFSET(IND!AJ$25,$E34,0)</f>
        <v>8.4634067880576946</v>
      </c>
      <c r="AH34" s="126">
        <f ca="1">OFFSET(IND!AK$25,$E34,0)</f>
        <v>8.6775483955378903</v>
      </c>
      <c r="AI34" s="126">
        <f ca="1">OFFSET(IND!AL$25,$E34,0)</f>
        <v>8.9021003065359317</v>
      </c>
      <c r="AJ34" s="126">
        <f ca="1">OFFSET(IND!AM$25,$E34,0)</f>
        <v>10.072141078469789</v>
      </c>
      <c r="AK34" s="126">
        <f ca="1">OFFSET(IND!AN$25,$E34,0)</f>
        <v>11.340009494126766</v>
      </c>
      <c r="AL34" s="126">
        <f ca="1">OFFSET(IND!AO$25,$E34,0)</f>
        <v>13.761614074430371</v>
      </c>
      <c r="AM34" s="126">
        <f ca="1">OFFSET(IND!AP$25,$E34,0)</f>
        <v>16.199523262021206</v>
      </c>
      <c r="AQ34" s="4"/>
    </row>
    <row r="35" spans="1:43">
      <c r="A35" s="35" t="s">
        <v>335</v>
      </c>
      <c r="B35">
        <v>8.5041886448849997</v>
      </c>
      <c r="E35" s="129">
        <f ca="1">MATCH(F35,IND!$D$26:$D$255,0)</f>
        <v>50</v>
      </c>
      <c r="F35" s="4" t="str">
        <f t="shared" si="0"/>
        <v>IMIH</v>
      </c>
      <c r="G35" s="126">
        <f ca="1">OFFSET(IND!J$25,$E35,0)</f>
        <v>7.6954998524370488</v>
      </c>
      <c r="H35" s="126">
        <f ca="1">OFFSET(IND!K$25,$E35,0)</f>
        <v>7.9106547816547446</v>
      </c>
      <c r="I35" s="126">
        <f ca="1">OFFSET(IND!L$25,$E35,0)</f>
        <v>7.973499862969069</v>
      </c>
      <c r="J35" s="126">
        <f ca="1">OFFSET(IND!M$25,$E35,0)</f>
        <v>7.9251840000000016</v>
      </c>
      <c r="K35" s="126">
        <f ca="1">OFFSET(IND!N$25,$E35,0)</f>
        <v>7.9251840000000016</v>
      </c>
      <c r="L35" s="126">
        <f ca="1">OFFSET(IND!O$25,$E35,0)</f>
        <v>7.9251840000000016</v>
      </c>
      <c r="M35" s="126">
        <f ca="1">OFFSET(IND!P$25,$E35,0)</f>
        <v>7.9011211486716721</v>
      </c>
      <c r="N35" s="126">
        <f ca="1">OFFSET(IND!Q$25,$E35,0)</f>
        <v>7.8207427258176967</v>
      </c>
      <c r="O35" s="203">
        <f ca="1">OFFSET(IND!R$25,$E35,0)</f>
        <v>7.2031017282643663</v>
      </c>
      <c r="P35" s="126">
        <f ca="1">OFFSET(IND!S$25,$E35,0)</f>
        <v>7.793408829551189</v>
      </c>
      <c r="Q35" s="126">
        <f ca="1">OFFSET(IND!T$25,$E35,0)</f>
        <v>7.8626657591454956</v>
      </c>
      <c r="R35" s="126">
        <f ca="1">OFFSET(IND!U$25,$E35,0)</f>
        <v>7.9424742226028853</v>
      </c>
      <c r="S35" s="126">
        <f ca="1">OFFSET(IND!V$25,$E35,0)</f>
        <v>8.0359992294685885</v>
      </c>
      <c r="T35" s="203">
        <f ca="1">OFFSET(IND!W$25,$E35,0)</f>
        <v>8.1269857220180874</v>
      </c>
      <c r="U35" s="126">
        <f ca="1">OFFSET(IND!X$25,$E35,0)</f>
        <v>8.2753256106264139</v>
      </c>
      <c r="V35" s="126">
        <f ca="1">OFFSET(IND!Y$25,$E35,0)</f>
        <v>8.4240381109065119</v>
      </c>
      <c r="W35" s="126">
        <f ca="1">OFFSET(IND!Z$25,$E35,0)</f>
        <v>8.589525669327351</v>
      </c>
      <c r="X35" s="126">
        <f ca="1">OFFSET(IND!AA$25,$E35,0)</f>
        <v>8.7833055582428017</v>
      </c>
      <c r="Y35" s="205">
        <f ca="1">OFFSET(IND!AB$25,$E35,0)</f>
        <v>8.9529381559503118</v>
      </c>
      <c r="Z35" s="126">
        <f ca="1">OFFSET(IND!AC$25,$E35,0)</f>
        <v>9.1733487743416475</v>
      </c>
      <c r="AA35" s="126">
        <f ca="1">OFFSET(IND!AD$25,$E35,0)</f>
        <v>9.4183328594859237</v>
      </c>
      <c r="AB35" s="126">
        <f ca="1">OFFSET(IND!AE$25,$E35,0)</f>
        <v>9.6655724111139847</v>
      </c>
      <c r="AC35" s="126">
        <f ca="1">OFFSET(IND!AF$25,$E35,0)</f>
        <v>9.9165152066448492</v>
      </c>
      <c r="AD35" s="126">
        <f ca="1">OFFSET(IND!AG$25,$E35,0)</f>
        <v>10.224906359178563</v>
      </c>
      <c r="AE35" s="126">
        <f ca="1">OFFSET(IND!AH$25,$E35,0)</f>
        <v>10.503548832291102</v>
      </c>
      <c r="AF35" s="126">
        <f ca="1">OFFSET(IND!AI$25,$E35,0)</f>
        <v>10.786207996321858</v>
      </c>
      <c r="AG35" s="126">
        <f ca="1">OFFSET(IND!AJ$25,$E35,0)</f>
        <v>11.059803282948918</v>
      </c>
      <c r="AH35" s="126">
        <f ca="1">OFFSET(IND!AK$25,$E35,0)</f>
        <v>11.339639064535985</v>
      </c>
      <c r="AI35" s="126">
        <f ca="1">OFFSET(IND!AL$25,$E35,0)</f>
        <v>11.633078813403182</v>
      </c>
      <c r="AJ35" s="126">
        <f ca="1">OFFSET(IND!AM$25,$E35,0)</f>
        <v>13.162063664855408</v>
      </c>
      <c r="AK35" s="126">
        <f ca="1">OFFSET(IND!AN$25,$E35,0)</f>
        <v>14.818887638579154</v>
      </c>
      <c r="AL35" s="126">
        <f ca="1">OFFSET(IND!AO$25,$E35,0)</f>
        <v>17.983389943376483</v>
      </c>
      <c r="AM35" s="126">
        <f ca="1">OFFSET(IND!AP$25,$E35,0)</f>
        <v>21.169198768552459</v>
      </c>
      <c r="AQ35" s="4"/>
    </row>
    <row r="36" spans="1:43">
      <c r="A36" s="35" t="s">
        <v>336</v>
      </c>
      <c r="B36">
        <v>2.3622746235790002</v>
      </c>
      <c r="E36" s="129">
        <f ca="1">MATCH(F36,IND!$D$26:$D$255,0)</f>
        <v>46</v>
      </c>
      <c r="F36" s="4" t="str">
        <f t="shared" si="0"/>
        <v>IMIK</v>
      </c>
      <c r="G36" s="126">
        <f ca="1">OFFSET(IND!J$25,$E36,0)</f>
        <v>2.1376388478991801</v>
      </c>
      <c r="H36" s="126">
        <f ca="1">OFFSET(IND!K$25,$E36,0)</f>
        <v>2.1974041060152065</v>
      </c>
      <c r="I36" s="126">
        <f ca="1">OFFSET(IND!L$25,$E36,0)</f>
        <v>2.2148610730469636</v>
      </c>
      <c r="J36" s="126">
        <f ca="1">OFFSET(IND!M$25,$E36,0)</f>
        <v>2.2014400000000003</v>
      </c>
      <c r="K36" s="126">
        <f ca="1">OFFSET(IND!N$25,$E36,0)</f>
        <v>2.2014400000000003</v>
      </c>
      <c r="L36" s="126">
        <f ca="1">OFFSET(IND!O$25,$E36,0)</f>
        <v>2.2014400000000003</v>
      </c>
      <c r="M36" s="126">
        <f ca="1">OFFSET(IND!P$25,$E36,0)</f>
        <v>2.1947558746310198</v>
      </c>
      <c r="N36" s="126">
        <f ca="1">OFFSET(IND!Q$25,$E36,0)</f>
        <v>2.1724285349493599</v>
      </c>
      <c r="O36" s="203">
        <f ca="1">OFFSET(IND!R$25,$E36,0)</f>
        <v>2.0008615911845462</v>
      </c>
      <c r="P36" s="126">
        <f ca="1">OFFSET(IND!S$25,$E36,0)</f>
        <v>2.1648357859864413</v>
      </c>
      <c r="Q36" s="126">
        <f ca="1">OFFSET(IND!T$25,$E36,0)</f>
        <v>2.1840738219848599</v>
      </c>
      <c r="R36" s="126">
        <f ca="1">OFFSET(IND!U$25,$E36,0)</f>
        <v>2.2062428396119125</v>
      </c>
      <c r="S36" s="126">
        <f ca="1">OFFSET(IND!V$25,$E36,0)</f>
        <v>2.2322220081857189</v>
      </c>
      <c r="T36" s="203">
        <f ca="1">OFFSET(IND!W$25,$E36,0)</f>
        <v>2.2574960338939132</v>
      </c>
      <c r="U36" s="126">
        <f ca="1">OFFSET(IND!X$25,$E36,0)</f>
        <v>2.2987015585073372</v>
      </c>
      <c r="V36" s="126">
        <f ca="1">OFFSET(IND!Y$25,$E36,0)</f>
        <v>2.3400105863629199</v>
      </c>
      <c r="W36" s="126">
        <f ca="1">OFFSET(IND!Z$25,$E36,0)</f>
        <v>2.3859793525909305</v>
      </c>
      <c r="X36" s="126">
        <f ca="1">OFFSET(IND!AA$25,$E36,0)</f>
        <v>2.439807099511889</v>
      </c>
      <c r="Y36" s="205">
        <f ca="1">OFFSET(IND!AB$25,$E36,0)</f>
        <v>2.4869272655417531</v>
      </c>
      <c r="Z36" s="126">
        <f ca="1">OFFSET(IND!AC$25,$E36,0)</f>
        <v>2.5481524373171243</v>
      </c>
      <c r="AA36" s="126">
        <f ca="1">OFFSET(IND!AD$25,$E36,0)</f>
        <v>2.6162035720794234</v>
      </c>
      <c r="AB36" s="126">
        <f ca="1">OFFSET(IND!AE$25,$E36,0)</f>
        <v>2.6848812253094403</v>
      </c>
      <c r="AC36" s="126">
        <f ca="1">OFFSET(IND!AF$25,$E36,0)</f>
        <v>2.7545875574013472</v>
      </c>
      <c r="AD36" s="126">
        <f ca="1">OFFSET(IND!AG$25,$E36,0)</f>
        <v>2.8402517664384899</v>
      </c>
      <c r="AE36" s="126">
        <f ca="1">OFFSET(IND!AH$25,$E36,0)</f>
        <v>2.9176524534141954</v>
      </c>
      <c r="AF36" s="126">
        <f ca="1">OFFSET(IND!AI$25,$E36,0)</f>
        <v>2.9961688878671833</v>
      </c>
      <c r="AG36" s="126">
        <f ca="1">OFFSET(IND!AJ$25,$E36,0)</f>
        <v>3.0721675785969218</v>
      </c>
      <c r="AH36" s="126">
        <f ca="1">OFFSET(IND!AK$25,$E36,0)</f>
        <v>3.1498997401488849</v>
      </c>
      <c r="AI36" s="126">
        <f ca="1">OFFSET(IND!AL$25,$E36,0)</f>
        <v>3.2314107815008843</v>
      </c>
      <c r="AJ36" s="126">
        <f ca="1">OFFSET(IND!AM$25,$E36,0)</f>
        <v>3.6561287957931694</v>
      </c>
      <c r="AK36" s="126">
        <f ca="1">OFFSET(IND!AN$25,$E36,0)</f>
        <v>4.1163576773830988</v>
      </c>
      <c r="AL36" s="126">
        <f ca="1">OFFSET(IND!AO$25,$E36,0)</f>
        <v>4.995386095382357</v>
      </c>
      <c r="AM36" s="126">
        <f ca="1">OFFSET(IND!AP$25,$E36,0)</f>
        <v>5.8803329912645719</v>
      </c>
      <c r="AQ36" s="4"/>
    </row>
    <row r="37" spans="1:43">
      <c r="A37" s="35" t="s">
        <v>337</v>
      </c>
      <c r="B37">
        <v>1.594535370916</v>
      </c>
      <c r="E37" s="129">
        <f ca="1">MATCH(F37,IND!$D$26:$D$255,0)</f>
        <v>48</v>
      </c>
      <c r="F37" s="4" t="str">
        <f t="shared" si="0"/>
        <v>IMIL</v>
      </c>
      <c r="G37" s="126">
        <f ca="1">OFFSET(IND!J$25,$E37,0)</f>
        <v>1.4429062223319464</v>
      </c>
      <c r="H37" s="126">
        <f ca="1">OFFSET(IND!K$25,$E37,0)</f>
        <v>1.4832477715602643</v>
      </c>
      <c r="I37" s="126">
        <f ca="1">OFFSET(IND!L$25,$E37,0)</f>
        <v>1.4950312243067001</v>
      </c>
      <c r="J37" s="126">
        <f ca="1">OFFSET(IND!M$25,$E37,0)</f>
        <v>1.4859720000000001</v>
      </c>
      <c r="K37" s="126">
        <f ca="1">OFFSET(IND!N$25,$E37,0)</f>
        <v>1.4859720000000001</v>
      </c>
      <c r="L37" s="126">
        <f ca="1">OFFSET(IND!O$25,$E37,0)</f>
        <v>1.4859720000000001</v>
      </c>
      <c r="M37" s="126">
        <f ca="1">OFFSET(IND!P$25,$E37,0)</f>
        <v>1.4814602153759384</v>
      </c>
      <c r="N37" s="126">
        <f ca="1">OFFSET(IND!Q$25,$E37,0)</f>
        <v>1.466389261090818</v>
      </c>
      <c r="O37" s="203">
        <f ca="1">OFFSET(IND!R$25,$E37,0)</f>
        <v>1.3505815740495686</v>
      </c>
      <c r="P37" s="126">
        <f ca="1">OFFSET(IND!S$25,$E37,0)</f>
        <v>1.4612641555408479</v>
      </c>
      <c r="Q37" s="126">
        <f ca="1">OFFSET(IND!T$25,$E37,0)</f>
        <v>1.4742498298397804</v>
      </c>
      <c r="R37" s="126">
        <f ca="1">OFFSET(IND!U$25,$E37,0)</f>
        <v>1.4892139167380409</v>
      </c>
      <c r="S37" s="126">
        <f ca="1">OFFSET(IND!V$25,$E37,0)</f>
        <v>1.5067498555253602</v>
      </c>
      <c r="T37" s="203">
        <f ca="1">OFFSET(IND!W$25,$E37,0)</f>
        <v>1.5238098228783914</v>
      </c>
      <c r="U37" s="126">
        <f ca="1">OFFSET(IND!X$25,$E37,0)</f>
        <v>1.5516235519924524</v>
      </c>
      <c r="V37" s="126">
        <f ca="1">OFFSET(IND!Y$25,$E37,0)</f>
        <v>1.5795071457949708</v>
      </c>
      <c r="W37" s="126">
        <f ca="1">OFFSET(IND!Z$25,$E37,0)</f>
        <v>1.6105360629988781</v>
      </c>
      <c r="X37" s="126">
        <f ca="1">OFFSET(IND!AA$25,$E37,0)</f>
        <v>1.6468697921705251</v>
      </c>
      <c r="Y37" s="205">
        <f ca="1">OFFSET(IND!AB$25,$E37,0)</f>
        <v>1.6786759042406834</v>
      </c>
      <c r="Z37" s="126">
        <f ca="1">OFFSET(IND!AC$25,$E37,0)</f>
        <v>1.7200028951890589</v>
      </c>
      <c r="AA37" s="126">
        <f ca="1">OFFSET(IND!AD$25,$E37,0)</f>
        <v>1.7659374111536108</v>
      </c>
      <c r="AB37" s="126">
        <f ca="1">OFFSET(IND!AE$25,$E37,0)</f>
        <v>1.8122948270838721</v>
      </c>
      <c r="AC37" s="126">
        <f ca="1">OFFSET(IND!AF$25,$E37,0)</f>
        <v>1.8593466012459092</v>
      </c>
      <c r="AD37" s="126">
        <f ca="1">OFFSET(IND!AG$25,$E37,0)</f>
        <v>1.9171699423459805</v>
      </c>
      <c r="AE37" s="126">
        <f ca="1">OFFSET(IND!AH$25,$E37,0)</f>
        <v>1.9694154060545817</v>
      </c>
      <c r="AF37" s="126">
        <f ca="1">OFFSET(IND!AI$25,$E37,0)</f>
        <v>2.0224139993103485</v>
      </c>
      <c r="AG37" s="126">
        <f ca="1">OFFSET(IND!AJ$25,$E37,0)</f>
        <v>2.073713115552922</v>
      </c>
      <c r="AH37" s="126">
        <f ca="1">OFFSET(IND!AK$25,$E37,0)</f>
        <v>2.1261823246004972</v>
      </c>
      <c r="AI37" s="126">
        <f ca="1">OFFSET(IND!AL$25,$E37,0)</f>
        <v>2.1812022775130968</v>
      </c>
      <c r="AJ37" s="126">
        <f ca="1">OFFSET(IND!AM$25,$E37,0)</f>
        <v>2.4678869371603893</v>
      </c>
      <c r="AK37" s="126">
        <f ca="1">OFFSET(IND!AN$25,$E37,0)</f>
        <v>2.7785414322335917</v>
      </c>
      <c r="AL37" s="126">
        <f ca="1">OFFSET(IND!AO$25,$E37,0)</f>
        <v>3.3718856143830909</v>
      </c>
      <c r="AM37" s="126">
        <f ca="1">OFFSET(IND!AP$25,$E37,0)</f>
        <v>3.9692247691035862</v>
      </c>
      <c r="AQ37" s="4"/>
    </row>
    <row r="38" spans="1:43">
      <c r="A38" s="35" t="s">
        <v>338</v>
      </c>
      <c r="B38">
        <v>31.93143244434</v>
      </c>
      <c r="E38" s="129">
        <f ca="1">MATCH(F38,IND!$D$26:$D$255,0)</f>
        <v>53</v>
      </c>
      <c r="F38" s="4" t="str">
        <f t="shared" si="0"/>
        <v>IMIO</v>
      </c>
      <c r="G38" s="126">
        <f ca="1">OFFSET(IND!J$25,$E38,0)</f>
        <v>28.894976807848312</v>
      </c>
      <c r="H38" s="126">
        <f ca="1">OFFSET(IND!K$25,$E38,0)</f>
        <v>29.702838130575874</v>
      </c>
      <c r="I38" s="126">
        <f ca="1">OFFSET(IND!L$25,$E38,0)</f>
        <v>29.938808139267341</v>
      </c>
      <c r="J38" s="126">
        <f ca="1">OFFSET(IND!M$25,$E38,0)</f>
        <v>29.757392277177463</v>
      </c>
      <c r="K38" s="126">
        <f ca="1">OFFSET(IND!N$25,$E38,0)</f>
        <v>29.757392277177463</v>
      </c>
      <c r="L38" s="126">
        <f ca="1">OFFSET(IND!O$25,$E38,0)</f>
        <v>29.757392277177463</v>
      </c>
      <c r="M38" s="126">
        <f ca="1">OFFSET(IND!P$25,$E38,0)</f>
        <v>29.667041352040016</v>
      </c>
      <c r="N38" s="126">
        <f ca="1">OFFSET(IND!Q$25,$E38,0)</f>
        <v>29.365237348563682</v>
      </c>
      <c r="O38" s="203">
        <f ca="1">OFFSET(IND!R$25,$E38,0)</f>
        <v>27.04612583636893</v>
      </c>
      <c r="P38" s="126">
        <f ca="1">OFFSET(IND!S$25,$E38,0)</f>
        <v>29.262604340463664</v>
      </c>
      <c r="Q38" s="126">
        <f ca="1">OFFSET(IND!T$25,$E38,0)</f>
        <v>29.52264948539035</v>
      </c>
      <c r="R38" s="126">
        <f ca="1">OFFSET(IND!U$25,$E38,0)</f>
        <v>29.822313411696708</v>
      </c>
      <c r="S38" s="126">
        <f ca="1">OFFSET(IND!V$25,$E38,0)</f>
        <v>30.173480061837378</v>
      </c>
      <c r="T38" s="203">
        <f ca="1">OFFSET(IND!W$25,$E38,0)</f>
        <v>30.515115126804947</v>
      </c>
      <c r="U38" s="126">
        <f ca="1">OFFSET(IND!X$25,$E38,0)</f>
        <v>31.072100082065386</v>
      </c>
      <c r="V38" s="126">
        <f ca="1">OFFSET(IND!Y$25,$E38,0)</f>
        <v>31.630484115465084</v>
      </c>
      <c r="W38" s="126">
        <f ca="1">OFFSET(IND!Z$25,$E38,0)</f>
        <v>32.251854949621261</v>
      </c>
      <c r="X38" s="126">
        <f ca="1">OFFSET(IND!AA$25,$E38,0)</f>
        <v>32.979457510001552</v>
      </c>
      <c r="Y38" s="205">
        <f ca="1">OFFSET(IND!AB$25,$E38,0)</f>
        <v>33.6163920913285</v>
      </c>
      <c r="Z38" s="126">
        <f ca="1">OFFSET(IND!AC$25,$E38,0)</f>
        <v>34.443987417005005</v>
      </c>
      <c r="AA38" s="126">
        <f ca="1">OFFSET(IND!AD$25,$E38,0)</f>
        <v>35.363850920906451</v>
      </c>
      <c r="AB38" s="126">
        <f ca="1">OFFSET(IND!AE$25,$E38,0)</f>
        <v>36.292183225144392</v>
      </c>
      <c r="AC38" s="126">
        <f ca="1">OFFSET(IND!AF$25,$E38,0)</f>
        <v>37.23442042818516</v>
      </c>
      <c r="AD38" s="126">
        <f ca="1">OFFSET(IND!AG$25,$E38,0)</f>
        <v>38.392364079809724</v>
      </c>
      <c r="AE38" s="126">
        <f ca="1">OFFSET(IND!AH$25,$E38,0)</f>
        <v>39.438607722543153</v>
      </c>
      <c r="AF38" s="126">
        <f ca="1">OFFSET(IND!AI$25,$E38,0)</f>
        <v>40.499933191428454</v>
      </c>
      <c r="AG38" s="126">
        <f ca="1">OFFSET(IND!AJ$25,$E38,0)</f>
        <v>41.527225714775319</v>
      </c>
      <c r="AH38" s="126">
        <f ca="1">OFFSET(IND!AK$25,$E38,0)</f>
        <v>42.577949978827348</v>
      </c>
      <c r="AI38" s="126">
        <f ca="1">OFFSET(IND!AL$25,$E38,0)</f>
        <v>43.679754267126221</v>
      </c>
      <c r="AJ38" s="126">
        <f ca="1">OFFSET(IND!AM$25,$E38,0)</f>
        <v>49.420769492832754</v>
      </c>
      <c r="AK38" s="126">
        <f ca="1">OFFSET(IND!AN$25,$E38,0)</f>
        <v>55.641793625563238</v>
      </c>
      <c r="AL38" s="126">
        <f ca="1">OFFSET(IND!AO$25,$E38,0)</f>
        <v>67.52383149949604</v>
      </c>
      <c r="AM38" s="126">
        <f ca="1">OFFSET(IND!AP$25,$E38,0)</f>
        <v>79.485870857933051</v>
      </c>
      <c r="AQ38" s="4"/>
    </row>
    <row r="39" spans="1:43">
      <c r="A39" s="35" t="s">
        <v>339</v>
      </c>
      <c r="B39">
        <v>16.901755910559999</v>
      </c>
      <c r="E39" s="129">
        <f ca="1">MATCH(F39,IND!$D$26:$D$255,0)</f>
        <v>51</v>
      </c>
      <c r="F39" s="4" t="str">
        <f t="shared" si="0"/>
        <v>IMIP</v>
      </c>
      <c r="G39" s="126">
        <f ca="1">OFFSET(IND!J$25,$E39,0)</f>
        <v>15.294517272248457</v>
      </c>
      <c r="H39" s="126">
        <f ca="1">OFFSET(IND!K$25,$E39,0)</f>
        <v>15.722129622872741</v>
      </c>
      <c r="I39" s="126">
        <f ca="1">OFFSET(IND!L$25,$E39,0)</f>
        <v>15.847031864451422</v>
      </c>
      <c r="J39" s="126">
        <f ca="1">OFFSET(IND!M$25,$E39,0)</f>
        <v>15.751005899293361</v>
      </c>
      <c r="K39" s="126">
        <f ca="1">OFFSET(IND!N$25,$E39,0)</f>
        <v>15.751005899293361</v>
      </c>
      <c r="L39" s="126">
        <f ca="1">OFFSET(IND!O$25,$E39,0)</f>
        <v>15.751005899293361</v>
      </c>
      <c r="M39" s="126">
        <f ca="1">OFFSET(IND!P$25,$E39,0)</f>
        <v>15.703181884958004</v>
      </c>
      <c r="N39" s="126">
        <f ca="1">OFFSET(IND!Q$25,$E39,0)</f>
        <v>15.543432784804764</v>
      </c>
      <c r="O39" s="203">
        <f ca="1">OFFSET(IND!R$25,$E39,0)</f>
        <v>14.315894471989827</v>
      </c>
      <c r="P39" s="126">
        <f ca="1">OFFSET(IND!S$25,$E39,0)</f>
        <v>15.489107691362843</v>
      </c>
      <c r="Q39" s="126">
        <f ca="1">OFFSET(IND!T$25,$E39,0)</f>
        <v>15.626753240867671</v>
      </c>
      <c r="R39" s="126">
        <f ca="1">OFFSET(IND!U$25,$E39,0)</f>
        <v>15.785369568101322</v>
      </c>
      <c r="S39" s="126">
        <f ca="1">OFFSET(IND!V$25,$E39,0)</f>
        <v>15.971247010804626</v>
      </c>
      <c r="T39" s="203">
        <f ca="1">OFFSET(IND!W$25,$E39,0)</f>
        <v>16.152079251532815</v>
      </c>
      <c r="U39" s="126">
        <f ca="1">OFFSET(IND!X$25,$E39,0)</f>
        <v>16.446899215406241</v>
      </c>
      <c r="V39" s="126">
        <f ca="1">OFFSET(IND!Y$25,$E39,0)</f>
        <v>16.742459730999379</v>
      </c>
      <c r="W39" s="126">
        <f ca="1">OFFSET(IND!Z$25,$E39,0)</f>
        <v>17.07136004535754</v>
      </c>
      <c r="X39" s="126">
        <f ca="1">OFFSET(IND!AA$25,$E39,0)</f>
        <v>17.456490305231846</v>
      </c>
      <c r="Y39" s="205">
        <f ca="1">OFFSET(IND!AB$25,$E39,0)</f>
        <v>17.793628729677696</v>
      </c>
      <c r="Z39" s="126">
        <f ca="1">OFFSET(IND!AC$25,$E39,0)</f>
        <v>18.23168656537575</v>
      </c>
      <c r="AA39" s="126">
        <f ca="1">OFFSET(IND!AD$25,$E39,0)</f>
        <v>18.718583244410645</v>
      </c>
      <c r="AB39" s="126">
        <f ca="1">OFFSET(IND!AE$25,$E39,0)</f>
        <v>19.209962578471814</v>
      </c>
      <c r="AC39" s="126">
        <f ca="1">OFFSET(IND!AF$25,$E39,0)</f>
        <v>19.708701970868486</v>
      </c>
      <c r="AD39" s="126">
        <f ca="1">OFFSET(IND!AG$25,$E39,0)</f>
        <v>20.321617817724331</v>
      </c>
      <c r="AE39" s="126">
        <f ca="1">OFFSET(IND!AH$25,$E39,0)</f>
        <v>20.875409280205115</v>
      </c>
      <c r="AF39" s="126">
        <f ca="1">OFFSET(IND!AI$25,$E39,0)</f>
        <v>21.437183765206068</v>
      </c>
      <c r="AG39" s="126">
        <f ca="1">OFFSET(IND!AJ$25,$E39,0)</f>
        <v>21.980944133884154</v>
      </c>
      <c r="AH39" s="126">
        <f ca="1">OFFSET(IND!AK$25,$E39,0)</f>
        <v>22.537107252192989</v>
      </c>
      <c r="AI39" s="126">
        <f ca="1">OFFSET(IND!AL$25,$E39,0)</f>
        <v>23.120307745139826</v>
      </c>
      <c r="AJ39" s="126">
        <f ca="1">OFFSET(IND!AM$25,$E39,0)</f>
        <v>26.159107779959736</v>
      </c>
      <c r="AK39" s="126">
        <f ca="1">OFFSET(IND!AN$25,$E39,0)</f>
        <v>29.451983274612406</v>
      </c>
      <c r="AL39" s="126">
        <f ca="1">OFFSET(IND!AO$25,$E39,0)</f>
        <v>35.741312894112745</v>
      </c>
      <c r="AM39" s="126">
        <f ca="1">OFFSET(IND!AP$25,$E39,0)</f>
        <v>42.072988423585329</v>
      </c>
      <c r="AQ39" s="4"/>
    </row>
    <row r="40" spans="1:43">
      <c r="A40" s="35" t="s">
        <v>340</v>
      </c>
      <c r="B40">
        <v>28.149155918999998</v>
      </c>
      <c r="E40" s="129">
        <f ca="1">MATCH(F40,IND!$D$26:$D$255,0)</f>
        <v>63</v>
      </c>
      <c r="F40" s="4" t="str">
        <f t="shared" si="0"/>
        <v>IMIR</v>
      </c>
      <c r="G40" s="126">
        <f ca="1">OFFSET(IND!J$25,$E40,0)</f>
        <v>51.488523217763458</v>
      </c>
      <c r="H40" s="126">
        <f ca="1">OFFSET(IND!K$25,$E40,0)</f>
        <v>52.928067078573662</v>
      </c>
      <c r="I40" s="126">
        <f ca="1">OFFSET(IND!L$25,$E40,0)</f>
        <v>53.348546643309163</v>
      </c>
      <c r="J40" s="126">
        <f ca="1">OFFSET(IND!M$25,$E40,0)</f>
        <v>46.045999999999999</v>
      </c>
      <c r="K40" s="126">
        <f ca="1">OFFSET(IND!N$25,$E40,0)</f>
        <v>46.045999999999999</v>
      </c>
      <c r="L40" s="126">
        <f ca="1">OFFSET(IND!O$25,$E40,0)</f>
        <v>46.045999999999999</v>
      </c>
      <c r="M40" s="126">
        <f ca="1">OFFSET(IND!P$25,$E40,0)</f>
        <v>45.906192766216627</v>
      </c>
      <c r="N40" s="126">
        <f ca="1">OFFSET(IND!Q$25,$E40,0)</f>
        <v>45.439187223035027</v>
      </c>
      <c r="O40" s="203">
        <f ca="1">OFFSET(IND!R$25,$E40,0)</f>
        <v>41.850639957338657</v>
      </c>
      <c r="P40" s="126">
        <f ca="1">OFFSET(IND!S$25,$E40,0)</f>
        <v>45.28037493710103</v>
      </c>
      <c r="Q40" s="126">
        <f ca="1">OFFSET(IND!T$25,$E40,0)</f>
        <v>45.682763648845693</v>
      </c>
      <c r="R40" s="126">
        <f ca="1">OFFSET(IND!U$25,$E40,0)</f>
        <v>46.146457678960196</v>
      </c>
      <c r="S40" s="126">
        <f ca="1">OFFSET(IND!V$25,$E40,0)</f>
        <v>46.689846004851198</v>
      </c>
      <c r="T40" s="203">
        <f ca="1">OFFSET(IND!W$25,$E40,0)</f>
        <v>47.218485344446876</v>
      </c>
      <c r="U40" s="126">
        <f ca="1">OFFSET(IND!X$25,$E40,0)</f>
        <v>48.080352843152141</v>
      </c>
      <c r="V40" s="126">
        <f ca="1">OFFSET(IND!Y$25,$E40,0)</f>
        <v>48.944385247686519</v>
      </c>
      <c r="W40" s="126">
        <f ca="1">OFFSET(IND!Z$25,$E40,0)</f>
        <v>49.90588218139127</v>
      </c>
      <c r="X40" s="126">
        <f ca="1">OFFSET(IND!AA$25,$E40,0)</f>
        <v>51.031759986247387</v>
      </c>
      <c r="Y40" s="205">
        <f ca="1">OFFSET(IND!AB$25,$E40,0)</f>
        <v>52.017339954364218</v>
      </c>
      <c r="Z40" s="126">
        <f ca="1">OFFSET(IND!AC$25,$E40,0)</f>
        <v>53.297944585682238</v>
      </c>
      <c r="AA40" s="126">
        <f ca="1">OFFSET(IND!AD$25,$E40,0)</f>
        <v>54.721323170274516</v>
      </c>
      <c r="AB40" s="126">
        <f ca="1">OFFSET(IND!AE$25,$E40,0)</f>
        <v>56.157806208935277</v>
      </c>
      <c r="AC40" s="126">
        <f ca="1">OFFSET(IND!AF$25,$E40,0)</f>
        <v>57.615805412867225</v>
      </c>
      <c r="AD40" s="126">
        <f ca="1">OFFSET(IND!AG$25,$E40,0)</f>
        <v>59.407584507152905</v>
      </c>
      <c r="AE40" s="126">
        <f ca="1">OFFSET(IND!AH$25,$E40,0)</f>
        <v>61.026521217889211</v>
      </c>
      <c r="AF40" s="126">
        <f ca="1">OFFSET(IND!AI$25,$E40,0)</f>
        <v>62.668795247988733</v>
      </c>
      <c r="AG40" s="126">
        <f ca="1">OFFSET(IND!AJ$25,$E40,0)</f>
        <v>64.258407371572176</v>
      </c>
      <c r="AH40" s="126">
        <f ca="1">OFFSET(IND!AK$25,$E40,0)</f>
        <v>65.884277307078804</v>
      </c>
      <c r="AI40" s="126">
        <f ca="1">OFFSET(IND!AL$25,$E40,0)</f>
        <v>67.589187461384242</v>
      </c>
      <c r="AJ40" s="126">
        <f ca="1">OFFSET(IND!AM$25,$E40,0)</f>
        <v>76.472720824138875</v>
      </c>
      <c r="AK40" s="126">
        <f ca="1">OFFSET(IND!AN$25,$E40,0)</f>
        <v>86.099010471683172</v>
      </c>
      <c r="AL40" s="126">
        <f ca="1">OFFSET(IND!AO$25,$E40,0)</f>
        <v>104.48504076785015</v>
      </c>
      <c r="AM40" s="126">
        <f ca="1">OFFSET(IND!AP$25,$E40,0)</f>
        <v>122.99486377814908</v>
      </c>
      <c r="AQ40" s="4"/>
    </row>
    <row r="41" spans="1:43">
      <c r="A41" s="35" t="s">
        <v>341</v>
      </c>
      <c r="B41">
        <v>5.2585839407999997E-2</v>
      </c>
      <c r="E41" s="129">
        <f ca="1">MATCH(F41,IND!$D$26:$D$255,0)</f>
        <v>56</v>
      </c>
      <c r="F41" s="4" t="str">
        <f t="shared" si="0"/>
        <v>IMIS</v>
      </c>
      <c r="G41" s="126">
        <f ca="1">OFFSET(IND!J$25,$E41,0)</f>
        <v>20.275122960000004</v>
      </c>
      <c r="H41" s="126">
        <f ca="1">OFFSET(IND!K$25,$E41,0)</f>
        <v>20.841985766703509</v>
      </c>
      <c r="I41" s="126">
        <f ca="1">OFFSET(IND!L$25,$E41,0)</f>
        <v>21.007561983390151</v>
      </c>
      <c r="J41" s="126">
        <f ca="1">OFFSET(IND!M$25,$E41,0)</f>
        <v>0.90805719120000006</v>
      </c>
      <c r="K41" s="126">
        <f ca="1">OFFSET(IND!N$25,$E41,0)</f>
        <v>0.90805719120000006</v>
      </c>
      <c r="L41" s="126">
        <f ca="1">OFFSET(IND!O$25,$E41,0)</f>
        <v>0.90805719120000006</v>
      </c>
      <c r="M41" s="126">
        <f ca="1">OFFSET(IND!P$25,$E41,0)</f>
        <v>0.90530010124606763</v>
      </c>
      <c r="N41" s="126">
        <f ca="1">OFFSET(IND!Q$25,$E41,0)</f>
        <v>0.89609044694783724</v>
      </c>
      <c r="O41" s="203">
        <f ca="1">OFFSET(IND!R$25,$E41,0)</f>
        <v>0.82532195130051311</v>
      </c>
      <c r="P41" s="126">
        <f ca="1">OFFSET(IND!S$25,$E41,0)</f>
        <v>0.89295856495389025</v>
      </c>
      <c r="Q41" s="126">
        <f ca="1">OFFSET(IND!T$25,$E41,0)</f>
        <v>0.90089393313695609</v>
      </c>
      <c r="R41" s="126">
        <f ca="1">OFFSET(IND!U$25,$E41,0)</f>
        <v>0.91003828223485783</v>
      </c>
      <c r="S41" s="126">
        <f ca="1">OFFSET(IND!V$25,$E41,0)</f>
        <v>0.9207542548913199</v>
      </c>
      <c r="T41" s="203">
        <f ca="1">OFFSET(IND!W$25,$E41,0)</f>
        <v>0.93117936790593736</v>
      </c>
      <c r="U41" s="126">
        <f ca="1">OFFSET(IND!X$25,$E41,0)</f>
        <v>0.94817595783906661</v>
      </c>
      <c r="V41" s="126">
        <f ca="1">OFFSET(IND!Y$25,$E41,0)</f>
        <v>0.96521524112897827</v>
      </c>
      <c r="W41" s="126">
        <f ca="1">OFFSET(IND!Z$25,$E41,0)</f>
        <v>0.98417658858516011</v>
      </c>
      <c r="X41" s="126">
        <f ca="1">OFFSET(IND!AA$25,$E41,0)</f>
        <v>1.0063796341724438</v>
      </c>
      <c r="Y41" s="205">
        <f ca="1">OFFSET(IND!AB$25,$E41,0)</f>
        <v>1.0258159147951071</v>
      </c>
      <c r="Z41" s="126">
        <f ca="1">OFFSET(IND!AC$25,$E41,0)</f>
        <v>1.0510702744474625</v>
      </c>
      <c r="AA41" s="126">
        <f ca="1">OFFSET(IND!AD$25,$E41,0)</f>
        <v>1.079140229699582</v>
      </c>
      <c r="AB41" s="126">
        <f ca="1">OFFSET(IND!AE$25,$E41,0)</f>
        <v>1.1074686133440406</v>
      </c>
      <c r="AC41" s="126">
        <f ca="1">OFFSET(IND!AF$25,$E41,0)</f>
        <v>1.1362213098191802</v>
      </c>
      <c r="AD41" s="126">
        <f ca="1">OFFSET(IND!AG$25,$E41,0)</f>
        <v>1.1715563637132849</v>
      </c>
      <c r="AE41" s="126">
        <f ca="1">OFFSET(IND!AH$25,$E41,0)</f>
        <v>1.2034828529258501</v>
      </c>
      <c r="AF41" s="126">
        <f ca="1">OFFSET(IND!AI$25,$E41,0)</f>
        <v>1.23586956931713</v>
      </c>
      <c r="AG41" s="126">
        <f ca="1">OFFSET(IND!AJ$25,$E41,0)</f>
        <v>1.2672177585200717</v>
      </c>
      <c r="AH41" s="126">
        <f ca="1">OFFSET(IND!AK$25,$E41,0)</f>
        <v>1.2992809754529795</v>
      </c>
      <c r="AI41" s="126">
        <f ca="1">OFFSET(IND!AL$25,$E41,0)</f>
        <v>1.3329029171192905</v>
      </c>
      <c r="AJ41" s="126">
        <f ca="1">OFFSET(IND!AM$25,$E41,0)</f>
        <v>1.5080919965901343</v>
      </c>
      <c r="AK41" s="126">
        <f ca="1">OFFSET(IND!AN$25,$E41,0)</f>
        <v>1.6979287150678894</v>
      </c>
      <c r="AL41" s="126">
        <f ca="1">OFFSET(IND!AO$25,$E41,0)</f>
        <v>2.060513239848663</v>
      </c>
      <c r="AM41" s="126">
        <f ca="1">OFFSET(IND!AP$25,$E41,0)</f>
        <v>2.4255390377972619</v>
      </c>
      <c r="AQ41" s="4"/>
    </row>
    <row r="42" spans="1:43">
      <c r="A42" s="35" t="s">
        <v>342</v>
      </c>
      <c r="B42" t="s">
        <v>386</v>
      </c>
      <c r="E42" s="129">
        <f ca="1">MATCH(F42,IND!$D$26:$D$255,0)</f>
        <v>131</v>
      </c>
      <c r="F42" s="4" t="str">
        <f t="shared" si="0"/>
        <v>INFA</v>
      </c>
      <c r="G42" s="126">
        <f ca="1">OFFSET(IND!J$25,$E42,0)</f>
        <v>0</v>
      </c>
      <c r="H42" s="126">
        <f ca="1">OFFSET(IND!K$25,$E42,0)</f>
        <v>0</v>
      </c>
      <c r="I42" s="126">
        <f ca="1">OFFSET(IND!L$25,$E42,0)</f>
        <v>0</v>
      </c>
      <c r="J42" s="126">
        <f ca="1">OFFSET(IND!M$25,$E42,0)</f>
        <v>0</v>
      </c>
      <c r="K42" s="126">
        <f ca="1">OFFSET(IND!N$25,$E42,0)</f>
        <v>0</v>
      </c>
      <c r="L42" s="126">
        <f ca="1">OFFSET(IND!O$25,$E42,0)</f>
        <v>0</v>
      </c>
      <c r="M42" s="126">
        <f ca="1">OFFSET(IND!P$25,$E42,0)</f>
        <v>0</v>
      </c>
      <c r="N42" s="126">
        <f ca="1">OFFSET(IND!Q$25,$E42,0)</f>
        <v>0</v>
      </c>
      <c r="O42" s="203">
        <f ca="1">OFFSET(IND!R$25,$E42,0)</f>
        <v>0</v>
      </c>
      <c r="P42" s="126">
        <f ca="1">OFFSET(IND!S$25,$E42,0)</f>
        <v>0</v>
      </c>
      <c r="Q42" s="126">
        <f ca="1">OFFSET(IND!T$25,$E42,0)</f>
        <v>0</v>
      </c>
      <c r="R42" s="126">
        <f ca="1">OFFSET(IND!U$25,$E42,0)</f>
        <v>0</v>
      </c>
      <c r="S42" s="126">
        <f ca="1">OFFSET(IND!V$25,$E42,0)</f>
        <v>0</v>
      </c>
      <c r="T42" s="203">
        <f ca="1">OFFSET(IND!W$25,$E42,0)</f>
        <v>0</v>
      </c>
      <c r="U42" s="126">
        <f ca="1">OFFSET(IND!X$25,$E42,0)</f>
        <v>0</v>
      </c>
      <c r="V42" s="126">
        <f ca="1">OFFSET(IND!Y$25,$E42,0)</f>
        <v>0</v>
      </c>
      <c r="W42" s="126">
        <f ca="1">OFFSET(IND!Z$25,$E42,0)</f>
        <v>0</v>
      </c>
      <c r="X42" s="126">
        <f ca="1">OFFSET(IND!AA$25,$E42,0)</f>
        <v>0</v>
      </c>
      <c r="Y42" s="205">
        <f ca="1">OFFSET(IND!AB$25,$E42,0)</f>
        <v>0</v>
      </c>
      <c r="Z42" s="126">
        <f ca="1">OFFSET(IND!AC$25,$E42,0)</f>
        <v>0</v>
      </c>
      <c r="AA42" s="126">
        <f ca="1">OFFSET(IND!AD$25,$E42,0)</f>
        <v>0</v>
      </c>
      <c r="AB42" s="126">
        <f ca="1">OFFSET(IND!AE$25,$E42,0)</f>
        <v>0</v>
      </c>
      <c r="AC42" s="126">
        <f ca="1">OFFSET(IND!AF$25,$E42,0)</f>
        <v>0</v>
      </c>
      <c r="AD42" s="126">
        <f ca="1">OFFSET(IND!AG$25,$E42,0)</f>
        <v>0</v>
      </c>
      <c r="AE42" s="126">
        <f ca="1">OFFSET(IND!AH$25,$E42,0)</f>
        <v>0</v>
      </c>
      <c r="AF42" s="126">
        <f ca="1">OFFSET(IND!AI$25,$E42,0)</f>
        <v>0</v>
      </c>
      <c r="AG42" s="126">
        <f ca="1">OFFSET(IND!AJ$25,$E42,0)</f>
        <v>0</v>
      </c>
      <c r="AH42" s="126">
        <f ca="1">OFFSET(IND!AK$25,$E42,0)</f>
        <v>0</v>
      </c>
      <c r="AI42" s="126">
        <f ca="1">OFFSET(IND!AL$25,$E42,0)</f>
        <v>0</v>
      </c>
      <c r="AJ42" s="126">
        <f ca="1">OFFSET(IND!AM$25,$E42,0)</f>
        <v>0</v>
      </c>
      <c r="AK42" s="126">
        <f ca="1">OFFSET(IND!AN$25,$E42,0)</f>
        <v>0</v>
      </c>
      <c r="AL42" s="126">
        <f ca="1">OFFSET(IND!AO$25,$E42,0)</f>
        <v>0</v>
      </c>
      <c r="AM42" s="126">
        <f ca="1">OFFSET(IND!AP$25,$E42,0)</f>
        <v>0</v>
      </c>
      <c r="AQ42" s="4"/>
    </row>
    <row r="43" spans="1:43">
      <c r="A43" s="35" t="s">
        <v>343</v>
      </c>
      <c r="B43" t="s">
        <v>386</v>
      </c>
      <c r="E43" s="129">
        <f ca="1">MATCH(F43,IND!$D$26:$D$255,0)</f>
        <v>133</v>
      </c>
      <c r="F43" s="4" t="str">
        <f t="shared" si="0"/>
        <v>INFC</v>
      </c>
      <c r="G43" s="126">
        <f ca="1">OFFSET(IND!J$25,$E43,0)</f>
        <v>0</v>
      </c>
      <c r="H43" s="126">
        <f ca="1">OFFSET(IND!K$25,$E43,0)</f>
        <v>0</v>
      </c>
      <c r="I43" s="126">
        <f ca="1">OFFSET(IND!L$25,$E43,0)</f>
        <v>0</v>
      </c>
      <c r="J43" s="126">
        <f ca="1">OFFSET(IND!M$25,$E43,0)</f>
        <v>0</v>
      </c>
      <c r="K43" s="126">
        <f ca="1">OFFSET(IND!N$25,$E43,0)</f>
        <v>0</v>
      </c>
      <c r="L43" s="126">
        <f ca="1">OFFSET(IND!O$25,$E43,0)</f>
        <v>0</v>
      </c>
      <c r="M43" s="126">
        <f ca="1">OFFSET(IND!P$25,$E43,0)</f>
        <v>0</v>
      </c>
      <c r="N43" s="126">
        <f ca="1">OFFSET(IND!Q$25,$E43,0)</f>
        <v>0</v>
      </c>
      <c r="O43" s="203">
        <f ca="1">OFFSET(IND!R$25,$E43,0)</f>
        <v>0</v>
      </c>
      <c r="P43" s="126">
        <f ca="1">OFFSET(IND!S$25,$E43,0)</f>
        <v>0</v>
      </c>
      <c r="Q43" s="126">
        <f ca="1">OFFSET(IND!T$25,$E43,0)</f>
        <v>0</v>
      </c>
      <c r="R43" s="126">
        <f ca="1">OFFSET(IND!U$25,$E43,0)</f>
        <v>0</v>
      </c>
      <c r="S43" s="126">
        <f ca="1">OFFSET(IND!V$25,$E43,0)</f>
        <v>0</v>
      </c>
      <c r="T43" s="203">
        <f ca="1">OFFSET(IND!W$25,$E43,0)</f>
        <v>0</v>
      </c>
      <c r="U43" s="126">
        <f ca="1">OFFSET(IND!X$25,$E43,0)</f>
        <v>0</v>
      </c>
      <c r="V43" s="126">
        <f ca="1">OFFSET(IND!Y$25,$E43,0)</f>
        <v>0</v>
      </c>
      <c r="W43" s="126">
        <f ca="1">OFFSET(IND!Z$25,$E43,0)</f>
        <v>0</v>
      </c>
      <c r="X43" s="126">
        <f ca="1">OFFSET(IND!AA$25,$E43,0)</f>
        <v>0</v>
      </c>
      <c r="Y43" s="205">
        <f ca="1">OFFSET(IND!AB$25,$E43,0)</f>
        <v>0</v>
      </c>
      <c r="Z43" s="126">
        <f ca="1">OFFSET(IND!AC$25,$E43,0)</f>
        <v>0</v>
      </c>
      <c r="AA43" s="126">
        <f ca="1">OFFSET(IND!AD$25,$E43,0)</f>
        <v>0</v>
      </c>
      <c r="AB43" s="126">
        <f ca="1">OFFSET(IND!AE$25,$E43,0)</f>
        <v>0</v>
      </c>
      <c r="AC43" s="126">
        <f ca="1">OFFSET(IND!AF$25,$E43,0)</f>
        <v>0</v>
      </c>
      <c r="AD43" s="126">
        <f ca="1">OFFSET(IND!AG$25,$E43,0)</f>
        <v>0</v>
      </c>
      <c r="AE43" s="126">
        <f ca="1">OFFSET(IND!AH$25,$E43,0)</f>
        <v>0</v>
      </c>
      <c r="AF43" s="126">
        <f ca="1">OFFSET(IND!AI$25,$E43,0)</f>
        <v>0</v>
      </c>
      <c r="AG43" s="126">
        <f ca="1">OFFSET(IND!AJ$25,$E43,0)</f>
        <v>0</v>
      </c>
      <c r="AH43" s="126">
        <f ca="1">OFFSET(IND!AK$25,$E43,0)</f>
        <v>0</v>
      </c>
      <c r="AI43" s="126">
        <f ca="1">OFFSET(IND!AL$25,$E43,0)</f>
        <v>0</v>
      </c>
      <c r="AJ43" s="126">
        <f ca="1">OFFSET(IND!AM$25,$E43,0)</f>
        <v>0</v>
      </c>
      <c r="AK43" s="126">
        <f ca="1">OFFSET(IND!AN$25,$E43,0)</f>
        <v>0</v>
      </c>
      <c r="AL43" s="126">
        <f ca="1">OFFSET(IND!AO$25,$E43,0)</f>
        <v>0</v>
      </c>
      <c r="AM43" s="126">
        <f ca="1">OFFSET(IND!AP$25,$E43,0)</f>
        <v>0</v>
      </c>
      <c r="AQ43" s="4"/>
    </row>
    <row r="44" spans="1:43">
      <c r="A44" s="35" t="s">
        <v>344</v>
      </c>
      <c r="B44">
        <v>55.015944485879999</v>
      </c>
      <c r="E44" s="129">
        <f ca="1">MATCH(F44,IND!$D$26:$D$255,0)</f>
        <v>138</v>
      </c>
      <c r="F44" s="4" t="str">
        <f t="shared" si="0"/>
        <v>INFE</v>
      </c>
      <c r="G44" s="126">
        <f ca="1">OFFSET(IND!J$25,$E44,0)</f>
        <v>45.684078335879221</v>
      </c>
      <c r="H44" s="126">
        <f ca="1">OFFSET(IND!K$25,$E44,0)</f>
        <v>38.765923123988252</v>
      </c>
      <c r="I44" s="126">
        <f ca="1">OFFSET(IND!L$25,$E44,0)</f>
        <v>35.585500110436485</v>
      </c>
      <c r="J44" s="126">
        <f ca="1">OFFSET(IND!M$25,$E44,0)</f>
        <v>11.427588</v>
      </c>
      <c r="K44" s="126">
        <f ca="1">OFFSET(IND!N$25,$E44,0)</f>
        <v>11.427588</v>
      </c>
      <c r="L44" s="126">
        <f ca="1">OFFSET(IND!O$25,$E44,0)</f>
        <v>11.427588</v>
      </c>
      <c r="M44" s="126">
        <f ca="1">OFFSET(IND!P$25,$E44,0)</f>
        <v>11.216899002805611</v>
      </c>
      <c r="N44" s="126">
        <f ca="1">OFFSET(IND!Q$25,$E44,0)</f>
        <v>10.771093298597194</v>
      </c>
      <c r="O44" s="203">
        <f ca="1">OFFSET(IND!R$25,$E44,0)</f>
        <v>8.8474111503006014</v>
      </c>
      <c r="P44" s="126">
        <f ca="1">OFFSET(IND!S$25,$E44,0)</f>
        <v>9.9527043353365876</v>
      </c>
      <c r="Q44" s="126">
        <f ca="1">OFFSET(IND!T$25,$E44,0)</f>
        <v>9.8124135972921227</v>
      </c>
      <c r="R44" s="126">
        <f ca="1">OFFSET(IND!U$25,$E44,0)</f>
        <v>9.6987625552745911</v>
      </c>
      <c r="S44" s="126">
        <f ca="1">OFFSET(IND!V$25,$E44,0)</f>
        <v>9.6451710782548101</v>
      </c>
      <c r="T44" s="203">
        <f ca="1">OFFSET(IND!W$25,$E44,0)</f>
        <v>9.644500110847865</v>
      </c>
      <c r="U44" s="126">
        <f ca="1">OFFSET(IND!X$25,$E44,0)</f>
        <v>9.8719788927627032</v>
      </c>
      <c r="V44" s="126">
        <f ca="1">OFFSET(IND!Y$25,$E44,0)</f>
        <v>10.111150239424846</v>
      </c>
      <c r="W44" s="126">
        <f ca="1">OFFSET(IND!Z$25,$E44,0)</f>
        <v>10.382264365014601</v>
      </c>
      <c r="X44" s="126">
        <f ca="1">OFFSET(IND!AA$25,$E44,0)</f>
        <v>10.775835920640173</v>
      </c>
      <c r="Y44" s="205">
        <f ca="1">OFFSET(IND!AB$25,$E44,0)</f>
        <v>11.123331054739563</v>
      </c>
      <c r="Z44" s="126">
        <f ca="1">OFFSET(IND!AC$25,$E44,0)</f>
        <v>11.602067598605297</v>
      </c>
      <c r="AA44" s="126">
        <f ca="1">OFFSET(IND!AD$25,$E44,0)</f>
        <v>12.164629068316202</v>
      </c>
      <c r="AB44" s="126">
        <f ca="1">OFFSET(IND!AE$25,$E44,0)</f>
        <v>12.730534602596734</v>
      </c>
      <c r="AC44" s="126">
        <f ca="1">OFFSET(IND!AF$25,$E44,0)</f>
        <v>13.337141969475967</v>
      </c>
      <c r="AD44" s="126">
        <f ca="1">OFFSET(IND!AG$25,$E44,0)</f>
        <v>14.104124481075285</v>
      </c>
      <c r="AE44" s="126">
        <f ca="1">OFFSET(IND!AH$25,$E44,0)</f>
        <v>14.79445929935261</v>
      </c>
      <c r="AF44" s="126">
        <f ca="1">OFFSET(IND!AI$25,$E44,0)</f>
        <v>15.492494138629921</v>
      </c>
      <c r="AG44" s="126">
        <f ca="1">OFFSET(IND!AJ$25,$E44,0)</f>
        <v>16.166539016578977</v>
      </c>
      <c r="AH44" s="126">
        <f ca="1">OFFSET(IND!AK$25,$E44,0)</f>
        <v>16.847975199800562</v>
      </c>
      <c r="AI44" s="126">
        <f ca="1">OFFSET(IND!AL$25,$E44,0)</f>
        <v>17.550402121156285</v>
      </c>
      <c r="AJ44" s="126">
        <f ca="1">OFFSET(IND!AM$25,$E44,0)</f>
        <v>20.912077639452381</v>
      </c>
      <c r="AK44" s="126">
        <f ca="1">OFFSET(IND!AN$25,$E44,0)</f>
        <v>23.91402030592522</v>
      </c>
      <c r="AL44" s="126">
        <f ca="1">OFFSET(IND!AO$25,$E44,0)</f>
        <v>30.337593965998046</v>
      </c>
      <c r="AM44" s="126">
        <f ca="1">OFFSET(IND!AP$25,$E44,0)</f>
        <v>36.701212150766942</v>
      </c>
      <c r="AQ44" s="4"/>
    </row>
    <row r="45" spans="1:43">
      <c r="A45" s="35" t="s">
        <v>345</v>
      </c>
      <c r="B45" t="s">
        <v>386</v>
      </c>
      <c r="E45" s="129">
        <f ca="1">MATCH(F45,IND!$D$26:$D$255,0)</f>
        <v>136</v>
      </c>
      <c r="F45" s="4" t="str">
        <f t="shared" si="0"/>
        <v>INFF</v>
      </c>
      <c r="G45" s="126">
        <f ca="1">OFFSET(IND!J$25,$E45,0)</f>
        <v>0</v>
      </c>
      <c r="H45" s="126">
        <f ca="1">OFFSET(IND!K$25,$E45,0)</f>
        <v>0</v>
      </c>
      <c r="I45" s="126">
        <f ca="1">OFFSET(IND!L$25,$E45,0)</f>
        <v>0</v>
      </c>
      <c r="J45" s="126">
        <f ca="1">OFFSET(IND!M$25,$E45,0)</f>
        <v>0</v>
      </c>
      <c r="K45" s="126">
        <f ca="1">OFFSET(IND!N$25,$E45,0)</f>
        <v>0</v>
      </c>
      <c r="L45" s="126">
        <f ca="1">OFFSET(IND!O$25,$E45,0)</f>
        <v>0</v>
      </c>
      <c r="M45" s="126">
        <f ca="1">OFFSET(IND!P$25,$E45,0)</f>
        <v>0</v>
      </c>
      <c r="N45" s="126">
        <f ca="1">OFFSET(IND!Q$25,$E45,0)</f>
        <v>0</v>
      </c>
      <c r="O45" s="203">
        <f ca="1">OFFSET(IND!R$25,$E45,0)</f>
        <v>0</v>
      </c>
      <c r="P45" s="126">
        <f ca="1">OFFSET(IND!S$25,$E45,0)</f>
        <v>0</v>
      </c>
      <c r="Q45" s="126">
        <f ca="1">OFFSET(IND!T$25,$E45,0)</f>
        <v>0</v>
      </c>
      <c r="R45" s="126">
        <f ca="1">OFFSET(IND!U$25,$E45,0)</f>
        <v>0</v>
      </c>
      <c r="S45" s="126">
        <f ca="1">OFFSET(IND!V$25,$E45,0)</f>
        <v>0</v>
      </c>
      <c r="T45" s="203">
        <f ca="1">OFFSET(IND!W$25,$E45,0)</f>
        <v>0</v>
      </c>
      <c r="U45" s="126">
        <f ca="1">OFFSET(IND!X$25,$E45,0)</f>
        <v>0</v>
      </c>
      <c r="V45" s="126">
        <f ca="1">OFFSET(IND!Y$25,$E45,0)</f>
        <v>0</v>
      </c>
      <c r="W45" s="126">
        <f ca="1">OFFSET(IND!Z$25,$E45,0)</f>
        <v>0</v>
      </c>
      <c r="X45" s="126">
        <f ca="1">OFFSET(IND!AA$25,$E45,0)</f>
        <v>0</v>
      </c>
      <c r="Y45" s="205">
        <f ca="1">OFFSET(IND!AB$25,$E45,0)</f>
        <v>0</v>
      </c>
      <c r="Z45" s="126">
        <f ca="1">OFFSET(IND!AC$25,$E45,0)</f>
        <v>0</v>
      </c>
      <c r="AA45" s="126">
        <f ca="1">OFFSET(IND!AD$25,$E45,0)</f>
        <v>0</v>
      </c>
      <c r="AB45" s="126">
        <f ca="1">OFFSET(IND!AE$25,$E45,0)</f>
        <v>0</v>
      </c>
      <c r="AC45" s="126">
        <f ca="1">OFFSET(IND!AF$25,$E45,0)</f>
        <v>0</v>
      </c>
      <c r="AD45" s="126">
        <f ca="1">OFFSET(IND!AG$25,$E45,0)</f>
        <v>0</v>
      </c>
      <c r="AE45" s="126">
        <f ca="1">OFFSET(IND!AH$25,$E45,0)</f>
        <v>0</v>
      </c>
      <c r="AF45" s="126">
        <f ca="1">OFFSET(IND!AI$25,$E45,0)</f>
        <v>0</v>
      </c>
      <c r="AG45" s="126">
        <f ca="1">OFFSET(IND!AJ$25,$E45,0)</f>
        <v>0</v>
      </c>
      <c r="AH45" s="126">
        <f ca="1">OFFSET(IND!AK$25,$E45,0)</f>
        <v>0</v>
      </c>
      <c r="AI45" s="126">
        <f ca="1">OFFSET(IND!AL$25,$E45,0)</f>
        <v>0</v>
      </c>
      <c r="AJ45" s="126">
        <f ca="1">OFFSET(IND!AM$25,$E45,0)</f>
        <v>0</v>
      </c>
      <c r="AK45" s="126">
        <f ca="1">OFFSET(IND!AN$25,$E45,0)</f>
        <v>0</v>
      </c>
      <c r="AL45" s="126">
        <f ca="1">OFFSET(IND!AO$25,$E45,0)</f>
        <v>0</v>
      </c>
      <c r="AM45" s="126">
        <f ca="1">OFFSET(IND!AP$25,$E45,0)</f>
        <v>0</v>
      </c>
      <c r="AQ45" s="4"/>
    </row>
    <row r="46" spans="1:43">
      <c r="A46" s="35" t="s">
        <v>346</v>
      </c>
      <c r="B46">
        <v>0.72389400639309998</v>
      </c>
      <c r="E46" s="129">
        <f ca="1">MATCH(F46,IND!$D$26:$D$255,0)</f>
        <v>134</v>
      </c>
      <c r="F46" s="4" t="str">
        <f t="shared" si="0"/>
        <v>INFH</v>
      </c>
      <c r="G46" s="126">
        <f ca="1">OFFSET(IND!J$25,$E46,0)</f>
        <v>0.60110629389314751</v>
      </c>
      <c r="H46" s="126">
        <f ca="1">OFFSET(IND!K$25,$E46,0)</f>
        <v>0.5100779358419506</v>
      </c>
      <c r="I46" s="126">
        <f ca="1">OFFSET(IND!L$25,$E46,0)</f>
        <v>0.46823026461100631</v>
      </c>
      <c r="J46" s="126">
        <f ca="1">OFFSET(IND!M$25,$E46,0)</f>
        <v>0.15036300000000002</v>
      </c>
      <c r="K46" s="126">
        <f ca="1">OFFSET(IND!N$25,$E46,0)</f>
        <v>0.15036300000000002</v>
      </c>
      <c r="L46" s="126">
        <f ca="1">OFFSET(IND!O$25,$E46,0)</f>
        <v>0.15036300000000002</v>
      </c>
      <c r="M46" s="126">
        <f ca="1">OFFSET(IND!P$25,$E46,0)</f>
        <v>0.14759077635270543</v>
      </c>
      <c r="N46" s="126">
        <f ca="1">OFFSET(IND!Q$25,$E46,0)</f>
        <v>0.1417249118236473</v>
      </c>
      <c r="O46" s="203">
        <f ca="1">OFFSET(IND!R$25,$E46,0)</f>
        <v>0.11641330460921845</v>
      </c>
      <c r="P46" s="126">
        <f ca="1">OFFSET(IND!S$25,$E46,0)</f>
        <v>0.13095663599127089</v>
      </c>
      <c r="Q46" s="126">
        <f ca="1">OFFSET(IND!T$25,$E46,0)</f>
        <v>0.12911070522752793</v>
      </c>
      <c r="R46" s="126">
        <f ca="1">OFFSET(IND!U$25,$E46,0)</f>
        <v>0.12761529677992883</v>
      </c>
      <c r="S46" s="126">
        <f ca="1">OFFSET(IND!V$25,$E46,0)</f>
        <v>0.12691014576651066</v>
      </c>
      <c r="T46" s="203">
        <f ca="1">OFFSET(IND!W$25,$E46,0)</f>
        <v>0.12690131724799822</v>
      </c>
      <c r="U46" s="126">
        <f ca="1">OFFSET(IND!X$25,$E46,0)</f>
        <v>0.1298944591152987</v>
      </c>
      <c r="V46" s="126">
        <f ca="1">OFFSET(IND!Y$25,$E46,0)</f>
        <v>0.13304145051874794</v>
      </c>
      <c r="W46" s="126">
        <f ca="1">OFFSET(IND!Z$25,$E46,0)</f>
        <v>0.13660874164492892</v>
      </c>
      <c r="X46" s="126">
        <f ca="1">OFFSET(IND!AA$25,$E46,0)</f>
        <v>0.14178731474526537</v>
      </c>
      <c r="Y46" s="205">
        <f ca="1">OFFSET(IND!AB$25,$E46,0)</f>
        <v>0.14635961914130996</v>
      </c>
      <c r="Z46" s="126">
        <f ca="1">OFFSET(IND!AC$25,$E46,0)</f>
        <v>0.15265878419217488</v>
      </c>
      <c r="AA46" s="126">
        <f ca="1">OFFSET(IND!AD$25,$E46,0)</f>
        <v>0.16006090879363416</v>
      </c>
      <c r="AB46" s="126">
        <f ca="1">OFFSET(IND!AE$25,$E46,0)</f>
        <v>0.16750703424469379</v>
      </c>
      <c r="AC46" s="126">
        <f ca="1">OFFSET(IND!AF$25,$E46,0)</f>
        <v>0.1754887101246837</v>
      </c>
      <c r="AD46" s="126">
        <f ca="1">OFFSET(IND!AG$25,$E46,0)</f>
        <v>0.18558058527730631</v>
      </c>
      <c r="AE46" s="126">
        <f ca="1">OFFSET(IND!AH$25,$E46,0)</f>
        <v>0.19466393814937638</v>
      </c>
      <c r="AF46" s="126">
        <f ca="1">OFFSET(IND!AI$25,$E46,0)</f>
        <v>0.20384860708723573</v>
      </c>
      <c r="AG46" s="126">
        <f ca="1">OFFSET(IND!AJ$25,$E46,0)</f>
        <v>0.212717618639197</v>
      </c>
      <c r="AH46" s="126">
        <f ca="1">OFFSET(IND!AK$25,$E46,0)</f>
        <v>0.22168388420790205</v>
      </c>
      <c r="AI46" s="126">
        <f ca="1">OFFSET(IND!AL$25,$E46,0)</f>
        <v>0.23092634369942472</v>
      </c>
      <c r="AJ46" s="126">
        <f ca="1">OFFSET(IND!AM$25,$E46,0)</f>
        <v>0.27515891630858386</v>
      </c>
      <c r="AK46" s="126">
        <f ca="1">OFFSET(IND!AN$25,$E46,0)</f>
        <v>0.31465816192006857</v>
      </c>
      <c r="AL46" s="126">
        <f ca="1">OFFSET(IND!AO$25,$E46,0)</f>
        <v>0.39917886797365837</v>
      </c>
      <c r="AM46" s="126">
        <f ca="1">OFFSET(IND!AP$25,$E46,0)</f>
        <v>0.48291068619430166</v>
      </c>
      <c r="AQ46" s="4"/>
    </row>
    <row r="47" spans="1:43">
      <c r="A47" s="35" t="s">
        <v>347</v>
      </c>
      <c r="B47">
        <v>0.80432667377019995</v>
      </c>
      <c r="E47" s="129">
        <f ca="1">MATCH(F47,IND!$D$26:$D$255,0)</f>
        <v>130</v>
      </c>
      <c r="F47" s="4" t="str">
        <f t="shared" si="0"/>
        <v>INFK</v>
      </c>
      <c r="G47" s="126">
        <f ca="1">OFFSET(IND!J$25,$E47,0)</f>
        <v>0.66789588210349726</v>
      </c>
      <c r="H47" s="126">
        <f ca="1">OFFSET(IND!K$25,$E47,0)</f>
        <v>0.56675326204661181</v>
      </c>
      <c r="I47" s="126">
        <f ca="1">OFFSET(IND!L$25,$E47,0)</f>
        <v>0.52025584956778481</v>
      </c>
      <c r="J47" s="126">
        <f ca="1">OFFSET(IND!M$25,$E47,0)</f>
        <v>0.16707000000000002</v>
      </c>
      <c r="K47" s="126">
        <f ca="1">OFFSET(IND!N$25,$E47,0)</f>
        <v>0.16707000000000002</v>
      </c>
      <c r="L47" s="126">
        <f ca="1">OFFSET(IND!O$25,$E47,0)</f>
        <v>0.16707000000000002</v>
      </c>
      <c r="M47" s="126">
        <f ca="1">OFFSET(IND!P$25,$E47,0)</f>
        <v>0.16398975150300604</v>
      </c>
      <c r="N47" s="126">
        <f ca="1">OFFSET(IND!Q$25,$E47,0)</f>
        <v>0.15747212424849702</v>
      </c>
      <c r="O47" s="203">
        <f ca="1">OFFSET(IND!R$25,$E47,0)</f>
        <v>0.12934811623246498</v>
      </c>
      <c r="P47" s="126">
        <f ca="1">OFFSET(IND!S$25,$E47,0)</f>
        <v>0.14550737332363436</v>
      </c>
      <c r="Q47" s="126">
        <f ca="1">OFFSET(IND!T$25,$E47,0)</f>
        <v>0.14345633914169775</v>
      </c>
      <c r="R47" s="126">
        <f ca="1">OFFSET(IND!U$25,$E47,0)</f>
        <v>0.14179477419992098</v>
      </c>
      <c r="S47" s="126">
        <f ca="1">OFFSET(IND!V$25,$E47,0)</f>
        <v>0.14101127307390079</v>
      </c>
      <c r="T47" s="203">
        <f ca="1">OFFSET(IND!W$25,$E47,0)</f>
        <v>0.14100146360888699</v>
      </c>
      <c r="U47" s="126">
        <f ca="1">OFFSET(IND!X$25,$E47,0)</f>
        <v>0.14432717679477644</v>
      </c>
      <c r="V47" s="126">
        <f ca="1">OFFSET(IND!Y$25,$E47,0)</f>
        <v>0.14782383390972004</v>
      </c>
      <c r="W47" s="126">
        <f ca="1">OFFSET(IND!Z$25,$E47,0)</f>
        <v>0.15178749071658781</v>
      </c>
      <c r="X47" s="126">
        <f ca="1">OFFSET(IND!AA$25,$E47,0)</f>
        <v>0.15754146082807277</v>
      </c>
      <c r="Y47" s="205">
        <f ca="1">OFFSET(IND!AB$25,$E47,0)</f>
        <v>0.1626217990459001</v>
      </c>
      <c r="Z47" s="126">
        <f ca="1">OFFSET(IND!AC$25,$E47,0)</f>
        <v>0.16962087132463891</v>
      </c>
      <c r="AA47" s="126">
        <f ca="1">OFFSET(IND!AD$25,$E47,0)</f>
        <v>0.17784545421514922</v>
      </c>
      <c r="AB47" s="126">
        <f ca="1">OFFSET(IND!AE$25,$E47,0)</f>
        <v>0.18611892693854881</v>
      </c>
      <c r="AC47" s="126">
        <f ca="1">OFFSET(IND!AF$25,$E47,0)</f>
        <v>0.19498745569409315</v>
      </c>
      <c r="AD47" s="126">
        <f ca="1">OFFSET(IND!AG$25,$E47,0)</f>
        <v>0.20620065030811827</v>
      </c>
      <c r="AE47" s="126">
        <f ca="1">OFFSET(IND!AH$25,$E47,0)</f>
        <v>0.21629326461041837</v>
      </c>
      <c r="AF47" s="126">
        <f ca="1">OFFSET(IND!AI$25,$E47,0)</f>
        <v>0.226498452319151</v>
      </c>
      <c r="AG47" s="126">
        <f ca="1">OFFSET(IND!AJ$25,$E47,0)</f>
        <v>0.23635290959910796</v>
      </c>
      <c r="AH47" s="126">
        <f ca="1">OFFSET(IND!AK$25,$E47,0)</f>
        <v>0.24631542689766914</v>
      </c>
      <c r="AI47" s="126">
        <f ca="1">OFFSET(IND!AL$25,$E47,0)</f>
        <v>0.25658482633269436</v>
      </c>
      <c r="AJ47" s="126">
        <f ca="1">OFFSET(IND!AM$25,$E47,0)</f>
        <v>0.30573212923176013</v>
      </c>
      <c r="AK47" s="126">
        <f ca="1">OFFSET(IND!AN$25,$E47,0)</f>
        <v>0.3496201799111876</v>
      </c>
      <c r="AL47" s="126">
        <f ca="1">OFFSET(IND!AO$25,$E47,0)</f>
        <v>0.44353207552628743</v>
      </c>
      <c r="AM47" s="126">
        <f ca="1">OFFSET(IND!AP$25,$E47,0)</f>
        <v>0.53656742910478006</v>
      </c>
      <c r="AQ47" s="4"/>
    </row>
    <row r="48" spans="1:43">
      <c r="A48" s="35" t="s">
        <v>348</v>
      </c>
      <c r="B48">
        <v>0.241298002131</v>
      </c>
      <c r="E48" s="129">
        <f ca="1">MATCH(F48,IND!$D$26:$D$255,0)</f>
        <v>132</v>
      </c>
      <c r="F48" s="4" t="str">
        <f t="shared" si="0"/>
        <v>INFL</v>
      </c>
      <c r="G48" s="126">
        <f ca="1">OFFSET(IND!J$25,$E48,0)</f>
        <v>0.20036876463104916</v>
      </c>
      <c r="H48" s="126">
        <f ca="1">OFFSET(IND!K$25,$E48,0)</f>
        <v>0.17002597861398352</v>
      </c>
      <c r="I48" s="126">
        <f ca="1">OFFSET(IND!L$25,$E48,0)</f>
        <v>0.15607675487033543</v>
      </c>
      <c r="J48" s="126">
        <f ca="1">OFFSET(IND!M$25,$E48,0)</f>
        <v>5.0121000000000006E-2</v>
      </c>
      <c r="K48" s="126">
        <f ca="1">OFFSET(IND!N$25,$E48,0)</f>
        <v>5.0121000000000006E-2</v>
      </c>
      <c r="L48" s="126">
        <f ca="1">OFFSET(IND!O$25,$E48,0)</f>
        <v>5.0121000000000006E-2</v>
      </c>
      <c r="M48" s="126">
        <f ca="1">OFFSET(IND!P$25,$E48,0)</f>
        <v>4.9196925450901804E-2</v>
      </c>
      <c r="N48" s="126">
        <f ca="1">OFFSET(IND!Q$25,$E48,0)</f>
        <v>4.7241637274549095E-2</v>
      </c>
      <c r="O48" s="203">
        <f ca="1">OFFSET(IND!R$25,$E48,0)</f>
        <v>3.8804434869739481E-2</v>
      </c>
      <c r="P48" s="126">
        <f ca="1">OFFSET(IND!S$25,$E48,0)</f>
        <v>4.3652211997090296E-2</v>
      </c>
      <c r="Q48" s="126">
        <f ca="1">OFFSET(IND!T$25,$E48,0)</f>
        <v>4.3036901742509306E-2</v>
      </c>
      <c r="R48" s="126">
        <f ca="1">OFFSET(IND!U$25,$E48,0)</f>
        <v>4.2538432259976271E-2</v>
      </c>
      <c r="S48" s="126">
        <f ca="1">OFFSET(IND!V$25,$E48,0)</f>
        <v>4.2303381922170216E-2</v>
      </c>
      <c r="T48" s="203">
        <f ca="1">OFFSET(IND!W$25,$E48,0)</f>
        <v>4.2300439082666071E-2</v>
      </c>
      <c r="U48" s="126">
        <f ca="1">OFFSET(IND!X$25,$E48,0)</f>
        <v>4.3298153038432902E-2</v>
      </c>
      <c r="V48" s="126">
        <f ca="1">OFFSET(IND!Y$25,$E48,0)</f>
        <v>4.4347150172915982E-2</v>
      </c>
      <c r="W48" s="126">
        <f ca="1">OFFSET(IND!Z$25,$E48,0)</f>
        <v>4.553624721497631E-2</v>
      </c>
      <c r="X48" s="126">
        <f ca="1">OFFSET(IND!AA$25,$E48,0)</f>
        <v>4.7262438248421801E-2</v>
      </c>
      <c r="Y48" s="205">
        <f ca="1">OFFSET(IND!AB$25,$E48,0)</f>
        <v>4.8786539713769998E-2</v>
      </c>
      <c r="Z48" s="126">
        <f ca="1">OFFSET(IND!AC$25,$E48,0)</f>
        <v>5.0886261397391636E-2</v>
      </c>
      <c r="AA48" s="126">
        <f ca="1">OFFSET(IND!AD$25,$E48,0)</f>
        <v>5.3353636264544729E-2</v>
      </c>
      <c r="AB48" s="126">
        <f ca="1">OFFSET(IND!AE$25,$E48,0)</f>
        <v>5.5835678081564602E-2</v>
      </c>
      <c r="AC48" s="126">
        <f ca="1">OFFSET(IND!AF$25,$E48,0)</f>
        <v>5.84962367082279E-2</v>
      </c>
      <c r="AD48" s="126">
        <f ca="1">OFFSET(IND!AG$25,$E48,0)</f>
        <v>6.1860195092435434E-2</v>
      </c>
      <c r="AE48" s="126">
        <f ca="1">OFFSET(IND!AH$25,$E48,0)</f>
        <v>6.488797938312546E-2</v>
      </c>
      <c r="AF48" s="126">
        <f ca="1">OFFSET(IND!AI$25,$E48,0)</f>
        <v>6.7949535695745245E-2</v>
      </c>
      <c r="AG48" s="126">
        <f ca="1">OFFSET(IND!AJ$25,$E48,0)</f>
        <v>7.0905872879732323E-2</v>
      </c>
      <c r="AH48" s="126">
        <f ca="1">OFFSET(IND!AK$25,$E48,0)</f>
        <v>7.389462806930068E-2</v>
      </c>
      <c r="AI48" s="126">
        <f ca="1">OFFSET(IND!AL$25,$E48,0)</f>
        <v>7.6975447899808244E-2</v>
      </c>
      <c r="AJ48" s="126">
        <f ca="1">OFFSET(IND!AM$25,$E48,0)</f>
        <v>9.1719638769527961E-2</v>
      </c>
      <c r="AK48" s="126">
        <f ca="1">OFFSET(IND!AN$25,$E48,0)</f>
        <v>0.10488605397335619</v>
      </c>
      <c r="AL48" s="126">
        <f ca="1">OFFSET(IND!AO$25,$E48,0)</f>
        <v>0.13305962265788612</v>
      </c>
      <c r="AM48" s="126">
        <f ca="1">OFFSET(IND!AP$25,$E48,0)</f>
        <v>0.16097022873143388</v>
      </c>
      <c r="AQ48" s="4"/>
    </row>
    <row r="49" spans="1:43">
      <c r="A49" s="35" t="s">
        <v>349</v>
      </c>
      <c r="B49">
        <v>4.5042293731129996</v>
      </c>
      <c r="E49" s="129">
        <f ca="1">MATCH(F49,IND!$D$26:$D$255,0)</f>
        <v>137</v>
      </c>
      <c r="F49" s="4" t="str">
        <f t="shared" si="0"/>
        <v>INFO</v>
      </c>
      <c r="G49" s="126">
        <f ca="1">OFFSET(IND!J$25,$E49,0)</f>
        <v>3.7402169397795855</v>
      </c>
      <c r="H49" s="126">
        <f ca="1">OFFSET(IND!K$25,$E49,0)</f>
        <v>3.1738182674610265</v>
      </c>
      <c r="I49" s="126">
        <f ca="1">OFFSET(IND!L$25,$E49,0)</f>
        <v>2.9134327575795953</v>
      </c>
      <c r="J49" s="126">
        <f ca="1">OFFSET(IND!M$25,$E49,0)</f>
        <v>0.9355920000000002</v>
      </c>
      <c r="K49" s="126">
        <f ca="1">OFFSET(IND!N$25,$E49,0)</f>
        <v>0.9355920000000002</v>
      </c>
      <c r="L49" s="126">
        <f ca="1">OFFSET(IND!O$25,$E49,0)</f>
        <v>0.9355920000000002</v>
      </c>
      <c r="M49" s="126">
        <f ca="1">OFFSET(IND!P$25,$E49,0)</f>
        <v>0.91834260841683379</v>
      </c>
      <c r="N49" s="126">
        <f ca="1">OFFSET(IND!Q$25,$E49,0)</f>
        <v>0.88184389579158329</v>
      </c>
      <c r="O49" s="203">
        <f ca="1">OFFSET(IND!R$25,$E49,0)</f>
        <v>0.7243494509018038</v>
      </c>
      <c r="P49" s="126">
        <f ca="1">OFFSET(IND!S$25,$E49,0)</f>
        <v>0.81484129061235244</v>
      </c>
      <c r="Q49" s="126">
        <f ca="1">OFFSET(IND!T$25,$E49,0)</f>
        <v>0.80335549919350735</v>
      </c>
      <c r="R49" s="126">
        <f ca="1">OFFSET(IND!U$25,$E49,0)</f>
        <v>0.7940507355195574</v>
      </c>
      <c r="S49" s="126">
        <f ca="1">OFFSET(IND!V$25,$E49,0)</f>
        <v>0.78966312921384429</v>
      </c>
      <c r="T49" s="203">
        <f ca="1">OFFSET(IND!W$25,$E49,0)</f>
        <v>0.78960819620976697</v>
      </c>
      <c r="U49" s="126">
        <f ca="1">OFFSET(IND!X$25,$E49,0)</f>
        <v>0.80823219005074787</v>
      </c>
      <c r="V49" s="126">
        <f ca="1">OFFSET(IND!Y$25,$E49,0)</f>
        <v>0.82781346989443205</v>
      </c>
      <c r="W49" s="126">
        <f ca="1">OFFSET(IND!Z$25,$E49,0)</f>
        <v>0.85000994801289154</v>
      </c>
      <c r="X49" s="126">
        <f ca="1">OFFSET(IND!AA$25,$E49,0)</f>
        <v>0.88223218063720732</v>
      </c>
      <c r="Y49" s="205">
        <f ca="1">OFFSET(IND!AB$25,$E49,0)</f>
        <v>0.91068207465704032</v>
      </c>
      <c r="Z49" s="126">
        <f ca="1">OFFSET(IND!AC$25,$E49,0)</f>
        <v>0.9498768794179776</v>
      </c>
      <c r="AA49" s="126">
        <f ca="1">OFFSET(IND!AD$25,$E49,0)</f>
        <v>0.99593454360483535</v>
      </c>
      <c r="AB49" s="126">
        <f ca="1">OFFSET(IND!AE$25,$E49,0)</f>
        <v>1.0422659908558729</v>
      </c>
      <c r="AC49" s="126">
        <f ca="1">OFFSET(IND!AF$25,$E49,0)</f>
        <v>1.0919297518869211</v>
      </c>
      <c r="AD49" s="126">
        <f ca="1">OFFSET(IND!AG$25,$E49,0)</f>
        <v>1.1547236417254618</v>
      </c>
      <c r="AE49" s="126">
        <f ca="1">OFFSET(IND!AH$25,$E49,0)</f>
        <v>1.2112422818183424</v>
      </c>
      <c r="AF49" s="126">
        <f ca="1">OFFSET(IND!AI$25,$E49,0)</f>
        <v>1.2683913329872452</v>
      </c>
      <c r="AG49" s="126">
        <f ca="1">OFFSET(IND!AJ$25,$E49,0)</f>
        <v>1.3235762937550042</v>
      </c>
      <c r="AH49" s="126">
        <f ca="1">OFFSET(IND!AK$25,$E49,0)</f>
        <v>1.3793663906269469</v>
      </c>
      <c r="AI49" s="126">
        <f ca="1">OFFSET(IND!AL$25,$E49,0)</f>
        <v>1.4368750274630879</v>
      </c>
      <c r="AJ49" s="126">
        <f ca="1">OFFSET(IND!AM$25,$E49,0)</f>
        <v>1.712099923697856</v>
      </c>
      <c r="AK49" s="126">
        <f ca="1">OFFSET(IND!AN$25,$E49,0)</f>
        <v>1.9578730075026498</v>
      </c>
      <c r="AL49" s="126">
        <f ca="1">OFFSET(IND!AO$25,$E49,0)</f>
        <v>2.4837796229472087</v>
      </c>
      <c r="AM49" s="126">
        <f ca="1">OFFSET(IND!AP$25,$E49,0)</f>
        <v>3.004777602986767</v>
      </c>
      <c r="AQ49" s="4"/>
    </row>
    <row r="50" spans="1:43">
      <c r="A50" s="35" t="s">
        <v>350</v>
      </c>
      <c r="B50" t="s">
        <v>386</v>
      </c>
      <c r="E50" s="129">
        <f ca="1">MATCH(F50,IND!$D$26:$D$255,0)</f>
        <v>135</v>
      </c>
      <c r="F50" s="4" t="str">
        <f t="shared" si="0"/>
        <v>INFP</v>
      </c>
      <c r="G50" s="126">
        <f ca="1">OFFSET(IND!J$25,$E50,0)</f>
        <v>0</v>
      </c>
      <c r="H50" s="126">
        <f ca="1">OFFSET(IND!K$25,$E50,0)</f>
        <v>0</v>
      </c>
      <c r="I50" s="126">
        <f ca="1">OFFSET(IND!L$25,$E50,0)</f>
        <v>0</v>
      </c>
      <c r="J50" s="126">
        <f ca="1">OFFSET(IND!M$25,$E50,0)</f>
        <v>0</v>
      </c>
      <c r="K50" s="126">
        <f ca="1">OFFSET(IND!N$25,$E50,0)</f>
        <v>0</v>
      </c>
      <c r="L50" s="126">
        <f ca="1">OFFSET(IND!O$25,$E50,0)</f>
        <v>0</v>
      </c>
      <c r="M50" s="126">
        <f ca="1">OFFSET(IND!P$25,$E50,0)</f>
        <v>0</v>
      </c>
      <c r="N50" s="126">
        <f ca="1">OFFSET(IND!Q$25,$E50,0)</f>
        <v>0</v>
      </c>
      <c r="O50" s="203">
        <f ca="1">OFFSET(IND!R$25,$E50,0)</f>
        <v>0</v>
      </c>
      <c r="P50" s="126">
        <f ca="1">OFFSET(IND!S$25,$E50,0)</f>
        <v>0</v>
      </c>
      <c r="Q50" s="126">
        <f ca="1">OFFSET(IND!T$25,$E50,0)</f>
        <v>0</v>
      </c>
      <c r="R50" s="126">
        <f ca="1">OFFSET(IND!U$25,$E50,0)</f>
        <v>0</v>
      </c>
      <c r="S50" s="126">
        <f ca="1">OFFSET(IND!V$25,$E50,0)</f>
        <v>0</v>
      </c>
      <c r="T50" s="203">
        <f ca="1">OFFSET(IND!W$25,$E50,0)</f>
        <v>0</v>
      </c>
      <c r="U50" s="126">
        <f ca="1">OFFSET(IND!X$25,$E50,0)</f>
        <v>0</v>
      </c>
      <c r="V50" s="126">
        <f ca="1">OFFSET(IND!Y$25,$E50,0)</f>
        <v>0</v>
      </c>
      <c r="W50" s="126">
        <f ca="1">OFFSET(IND!Z$25,$E50,0)</f>
        <v>0</v>
      </c>
      <c r="X50" s="126">
        <f ca="1">OFFSET(IND!AA$25,$E50,0)</f>
        <v>0</v>
      </c>
      <c r="Y50" s="205">
        <f ca="1">OFFSET(IND!AB$25,$E50,0)</f>
        <v>0</v>
      </c>
      <c r="Z50" s="126">
        <f ca="1">OFFSET(IND!AC$25,$E50,0)</f>
        <v>0</v>
      </c>
      <c r="AA50" s="126">
        <f ca="1">OFFSET(IND!AD$25,$E50,0)</f>
        <v>0</v>
      </c>
      <c r="AB50" s="126">
        <f ca="1">OFFSET(IND!AE$25,$E50,0)</f>
        <v>0</v>
      </c>
      <c r="AC50" s="126">
        <f ca="1">OFFSET(IND!AF$25,$E50,0)</f>
        <v>0</v>
      </c>
      <c r="AD50" s="126">
        <f ca="1">OFFSET(IND!AG$25,$E50,0)</f>
        <v>0</v>
      </c>
      <c r="AE50" s="126">
        <f ca="1">OFFSET(IND!AH$25,$E50,0)</f>
        <v>0</v>
      </c>
      <c r="AF50" s="126">
        <f ca="1">OFFSET(IND!AI$25,$E50,0)</f>
        <v>0</v>
      </c>
      <c r="AG50" s="126">
        <f ca="1">OFFSET(IND!AJ$25,$E50,0)</f>
        <v>0</v>
      </c>
      <c r="AH50" s="126">
        <f ca="1">OFFSET(IND!AK$25,$E50,0)</f>
        <v>0</v>
      </c>
      <c r="AI50" s="126">
        <f ca="1">OFFSET(IND!AL$25,$E50,0)</f>
        <v>0</v>
      </c>
      <c r="AJ50" s="126">
        <f ca="1">OFFSET(IND!AM$25,$E50,0)</f>
        <v>0</v>
      </c>
      <c r="AK50" s="126">
        <f ca="1">OFFSET(IND!AN$25,$E50,0)</f>
        <v>0</v>
      </c>
      <c r="AL50" s="126">
        <f ca="1">OFFSET(IND!AO$25,$E50,0)</f>
        <v>0</v>
      </c>
      <c r="AM50" s="126">
        <f ca="1">OFFSET(IND!AP$25,$E50,0)</f>
        <v>0</v>
      </c>
      <c r="AQ50" s="4"/>
    </row>
    <row r="51" spans="1:43">
      <c r="A51" s="35" t="s">
        <v>351</v>
      </c>
      <c r="B51">
        <v>0.51839999999999997</v>
      </c>
      <c r="E51" s="129">
        <f ca="1">MATCH(F51,IND!$D$26:$D$255,0)</f>
        <v>140</v>
      </c>
      <c r="F51" s="4" t="str">
        <f t="shared" si="0"/>
        <v>INFS</v>
      </c>
      <c r="G51" s="126">
        <f ca="1">OFFSET(IND!J$25,$E51,0)</f>
        <v>2.487856608</v>
      </c>
      <c r="H51" s="126">
        <f ca="1">OFFSET(IND!K$25,$E51,0)</f>
        <v>2.1111087609157093</v>
      </c>
      <c r="I51" s="126">
        <f ca="1">OFFSET(IND!L$25,$E51,0)</f>
        <v>1.9379097668958214</v>
      </c>
      <c r="J51" s="126">
        <f ca="1">OFFSET(IND!M$25,$E51,0)</f>
        <v>0.65368000000000004</v>
      </c>
      <c r="K51" s="126">
        <f ca="1">OFFSET(IND!N$25,$E51,0)</f>
        <v>0.65368000000000004</v>
      </c>
      <c r="L51" s="126">
        <f ca="1">OFFSET(IND!O$25,$E51,0)</f>
        <v>0.65368000000000004</v>
      </c>
      <c r="M51" s="126">
        <f ca="1">OFFSET(IND!P$25,$E51,0)</f>
        <v>0.64162818436873748</v>
      </c>
      <c r="N51" s="126">
        <f ca="1">OFFSET(IND!Q$25,$E51,0)</f>
        <v>0.61612724114896456</v>
      </c>
      <c r="O51" s="203">
        <f ca="1">OFFSET(IND!R$25,$E51,0)</f>
        <v>0.50608892451569809</v>
      </c>
      <c r="P51" s="126">
        <f ca="1">OFFSET(IND!S$25,$E51,0)</f>
        <v>0.56931381932239955</v>
      </c>
      <c r="Q51" s="126">
        <f ca="1">OFFSET(IND!T$25,$E51,0)</f>
        <v>0.56128891943583503</v>
      </c>
      <c r="R51" s="126">
        <f ca="1">OFFSET(IND!U$25,$E51,0)</f>
        <v>0.55478786136951164</v>
      </c>
      <c r="S51" s="126">
        <f ca="1">OFFSET(IND!V$25,$E51,0)</f>
        <v>0.55172232586908143</v>
      </c>
      <c r="T51" s="203">
        <f ca="1">OFFSET(IND!W$25,$E51,0)</f>
        <v>0.55168394524365361</v>
      </c>
      <c r="U51" s="126">
        <f ca="1">OFFSET(IND!X$25,$E51,0)</f>
        <v>0.56469616883467655</v>
      </c>
      <c r="V51" s="126">
        <f ca="1">OFFSET(IND!Y$25,$E51,0)</f>
        <v>0.57837722960499038</v>
      </c>
      <c r="W51" s="126">
        <f ca="1">OFFSET(IND!Z$25,$E51,0)</f>
        <v>0.59388547873118491</v>
      </c>
      <c r="X51" s="126">
        <f ca="1">OFFSET(IND!AA$25,$E51,0)</f>
        <v>0.61639852824621155</v>
      </c>
      <c r="Y51" s="205">
        <f ca="1">OFFSET(IND!AB$25,$E51,0)</f>
        <v>0.63627591788067239</v>
      </c>
      <c r="Z51" s="126">
        <f ca="1">OFFSET(IND!AC$25,$E51,0)</f>
        <v>0.66366056842934051</v>
      </c>
      <c r="AA51" s="126">
        <f ca="1">OFFSET(IND!AD$25,$E51,0)</f>
        <v>0.69584016586675468</v>
      </c>
      <c r="AB51" s="126">
        <f ca="1">OFFSET(IND!AE$25,$E51,0)</f>
        <v>0.72821105022559729</v>
      </c>
      <c r="AC51" s="126">
        <f ca="1">OFFSET(IND!AF$25,$E51,0)</f>
        <v>0.7629101576471824</v>
      </c>
      <c r="AD51" s="126">
        <f ca="1">OFFSET(IND!AG$25,$E51,0)</f>
        <v>0.80678303162393428</v>
      </c>
      <c r="AE51" s="126">
        <f ca="1">OFFSET(IND!AH$25,$E51,0)</f>
        <v>0.84627151020852465</v>
      </c>
      <c r="AF51" s="126">
        <f ca="1">OFFSET(IND!AI$25,$E51,0)</f>
        <v>0.88620044479549021</v>
      </c>
      <c r="AG51" s="126">
        <f ca="1">OFFSET(IND!AJ$25,$E51,0)</f>
        <v>0.92475710748036632</v>
      </c>
      <c r="AH51" s="126">
        <f ca="1">OFFSET(IND!AK$25,$E51,0)</f>
        <v>0.96373656703458588</v>
      </c>
      <c r="AI51" s="126">
        <f ca="1">OFFSET(IND!AL$25,$E51,0)</f>
        <v>1.0039167371590083</v>
      </c>
      <c r="AJ51" s="126">
        <f ca="1">OFFSET(IND!AM$25,$E51,0)</f>
        <v>1.196211038703638</v>
      </c>
      <c r="AK51" s="126">
        <f ca="1">OFFSET(IND!AN$25,$E51,0)</f>
        <v>1.3679279296363496</v>
      </c>
      <c r="AL51" s="126">
        <f ca="1">OFFSET(IND!AO$25,$E51,0)</f>
        <v>1.7353686905490113</v>
      </c>
      <c r="AM51" s="126">
        <f ca="1">OFFSET(IND!AP$25,$E51,0)</f>
        <v>2.0993798830263501</v>
      </c>
      <c r="AQ51" s="4"/>
    </row>
    <row r="52" spans="1:43">
      <c r="A52" s="35" t="s">
        <v>352</v>
      </c>
      <c r="B52">
        <v>0.24189876324029999</v>
      </c>
      <c r="E52" s="129">
        <f ca="1">MATCH(F52,IND!$D$26:$D$255,0)</f>
        <v>209</v>
      </c>
      <c r="F52" s="4" t="str">
        <f t="shared" si="0"/>
        <v>IOTA</v>
      </c>
      <c r="G52" s="126">
        <f ca="1">OFFSET(IND!J$25,$E52,0)</f>
        <v>0.22789646617646991</v>
      </c>
      <c r="H52" s="126">
        <f ca="1">OFFSET(IND!K$25,$E52,0)</f>
        <v>0.23424276074370104</v>
      </c>
      <c r="I52" s="126">
        <f ca="1">OFFSET(IND!L$25,$E52,0)</f>
        <v>0.23873105239658002</v>
      </c>
      <c r="J52" s="126">
        <f ca="1">OFFSET(IND!M$25,$E52,0)</f>
        <v>0.12355272</v>
      </c>
      <c r="K52" s="126">
        <f ca="1">OFFSET(IND!N$25,$E52,0)</f>
        <v>0.12355272</v>
      </c>
      <c r="L52" s="126">
        <f ca="1">OFFSET(IND!O$25,$E52,0)</f>
        <v>0.12355272</v>
      </c>
      <c r="M52" s="126">
        <f ca="1">OFFSET(IND!P$25,$E52,0)</f>
        <v>0.12497625693493029</v>
      </c>
      <c r="N52" s="126">
        <f ca="1">OFFSET(IND!Q$25,$E52,0)</f>
        <v>0.12484234548501864</v>
      </c>
      <c r="O52" s="203">
        <f ca="1">OFFSET(IND!R$25,$E52,0)</f>
        <v>0.11314401588784606</v>
      </c>
      <c r="P52" s="126">
        <f ca="1">OFFSET(IND!S$25,$E52,0)</f>
        <v>0.11611051723861932</v>
      </c>
      <c r="Q52" s="126">
        <f ca="1">OFFSET(IND!T$25,$E52,0)</f>
        <v>0.11912682849731665</v>
      </c>
      <c r="R52" s="126">
        <f ca="1">OFFSET(IND!U$25,$E52,0)</f>
        <v>0.12235021906173718</v>
      </c>
      <c r="S52" s="126">
        <f ca="1">OFFSET(IND!V$25,$E52,0)</f>
        <v>0.12578256215131153</v>
      </c>
      <c r="T52" s="203">
        <f ca="1">OFFSET(IND!W$25,$E52,0)</f>
        <v>0.12919847893051947</v>
      </c>
      <c r="U52" s="126">
        <f ca="1">OFFSET(IND!X$25,$E52,0)</f>
        <v>0.13296866369675164</v>
      </c>
      <c r="V52" s="126">
        <f ca="1">OFFSET(IND!Y$25,$E52,0)</f>
        <v>0.13680413297611374</v>
      </c>
      <c r="W52" s="126">
        <f ca="1">OFFSET(IND!Z$25,$E52,0)</f>
        <v>0.14086031307001123</v>
      </c>
      <c r="X52" s="126">
        <f ca="1">OFFSET(IND!AA$25,$E52,0)</f>
        <v>0.14493227708277162</v>
      </c>
      <c r="Y52" s="205">
        <f ca="1">OFFSET(IND!AB$25,$E52,0)</f>
        <v>0.1483528684913393</v>
      </c>
      <c r="Z52" s="126">
        <f ca="1">OFFSET(IND!AC$25,$E52,0)</f>
        <v>0.15263544459496334</v>
      </c>
      <c r="AA52" s="126">
        <f ca="1">OFFSET(IND!AD$25,$E52,0)</f>
        <v>0.1570353904454373</v>
      </c>
      <c r="AB52" s="126">
        <f ca="1">OFFSET(IND!AE$25,$E52,0)</f>
        <v>0.16148418133565731</v>
      </c>
      <c r="AC52" s="126">
        <f ca="1">OFFSET(IND!AF$25,$E52,0)</f>
        <v>0.16581081609281415</v>
      </c>
      <c r="AD52" s="126">
        <f ca="1">OFFSET(IND!AG$25,$E52,0)</f>
        <v>0.17045709349306268</v>
      </c>
      <c r="AE52" s="126">
        <f ca="1">OFFSET(IND!AH$25,$E52,0)</f>
        <v>0.17518635038690694</v>
      </c>
      <c r="AF52" s="126">
        <f ca="1">OFFSET(IND!AI$25,$E52,0)</f>
        <v>0.18008223797630069</v>
      </c>
      <c r="AG52" s="126">
        <f ca="1">OFFSET(IND!AJ$25,$E52,0)</f>
        <v>0.18490469141823862</v>
      </c>
      <c r="AH52" s="126">
        <f ca="1">OFFSET(IND!AK$25,$E52,0)</f>
        <v>0.18989299507956273</v>
      </c>
      <c r="AI52" s="126">
        <f ca="1">OFFSET(IND!AL$25,$E52,0)</f>
        <v>0.1951778223015313</v>
      </c>
      <c r="AJ52" s="126">
        <f ca="1">OFFSET(IND!AM$25,$E52,0)</f>
        <v>0.22516055308328575</v>
      </c>
      <c r="AK52" s="126">
        <f ca="1">OFFSET(IND!AN$25,$E52,0)</f>
        <v>0.2590441614710719</v>
      </c>
      <c r="AL52" s="126">
        <f ca="1">OFFSET(IND!AO$25,$E52,0)</f>
        <v>0.32226035437294054</v>
      </c>
      <c r="AM52" s="126">
        <f ca="1">OFFSET(IND!AP$25,$E52,0)</f>
        <v>0.38612669354248141</v>
      </c>
      <c r="AQ52" s="4"/>
    </row>
    <row r="53" spans="1:43">
      <c r="A53" s="35" t="s">
        <v>353</v>
      </c>
      <c r="B53">
        <v>4.5502640185010002</v>
      </c>
      <c r="E53" s="129">
        <f ca="1">MATCH(F53,IND!$D$26:$D$255,0)</f>
        <v>211</v>
      </c>
      <c r="F53" s="4" t="str">
        <f t="shared" si="0"/>
        <v>IOTC</v>
      </c>
      <c r="G53" s="126">
        <f ca="1">OFFSET(IND!J$25,$E53,0)</f>
        <v>4.2868722274366169</v>
      </c>
      <c r="H53" s="126">
        <f ca="1">OFFSET(IND!K$25,$E53,0)</f>
        <v>4.4062499184725477</v>
      </c>
      <c r="I53" s="126">
        <f ca="1">OFFSET(IND!L$25,$E53,0)</f>
        <v>4.4906774357490269</v>
      </c>
      <c r="J53" s="126">
        <f ca="1">OFFSET(IND!M$25,$E53,0)</f>
        <v>2.3241024000000006</v>
      </c>
      <c r="K53" s="126">
        <f ca="1">OFFSET(IND!N$25,$E53,0)</f>
        <v>2.3241024000000006</v>
      </c>
      <c r="L53" s="126">
        <f ca="1">OFFSET(IND!O$25,$E53,0)</f>
        <v>2.3241024000000006</v>
      </c>
      <c r="M53" s="126">
        <f ca="1">OFFSET(IND!P$25,$E53,0)</f>
        <v>2.3508800023624588</v>
      </c>
      <c r="N53" s="126">
        <f ca="1">OFFSET(IND!Q$25,$E53,0)</f>
        <v>2.3483610459030047</v>
      </c>
      <c r="O53" s="203">
        <f ca="1">OFFSET(IND!R$25,$E53,0)</f>
        <v>2.1283082952004717</v>
      </c>
      <c r="P53" s="126">
        <f ca="1">OFFSET(IND!S$25,$E53,0)</f>
        <v>2.1841100040494177</v>
      </c>
      <c r="Q53" s="126">
        <f ca="1">OFFSET(IND!T$25,$E53,0)</f>
        <v>2.2408486677994794</v>
      </c>
      <c r="R53" s="126">
        <f ca="1">OFFSET(IND!U$25,$E53,0)</f>
        <v>2.3014826202281036</v>
      </c>
      <c r="S53" s="126">
        <f ca="1">OFFSET(IND!V$25,$E53,0)</f>
        <v>2.3660470977410482</v>
      </c>
      <c r="T53" s="203">
        <f ca="1">OFFSET(IND!W$25,$E53,0)</f>
        <v>2.4303025862868077</v>
      </c>
      <c r="U53" s="126">
        <f ca="1">OFFSET(IND!X$25,$E53,0)</f>
        <v>2.5012220728318519</v>
      </c>
      <c r="V53" s="126">
        <f ca="1">OFFSET(IND!Y$25,$E53,0)</f>
        <v>2.5733696010877392</v>
      </c>
      <c r="W53" s="126">
        <f ca="1">OFFSET(IND!Z$25,$E53,0)</f>
        <v>2.6496688350589492</v>
      </c>
      <c r="X53" s="126">
        <f ca="1">OFFSET(IND!AA$25,$E53,0)</f>
        <v>2.7262649742193825</v>
      </c>
      <c r="Y53" s="205">
        <f ca="1">OFFSET(IND!AB$25,$E53,0)</f>
        <v>2.7906083954089085</v>
      </c>
      <c r="Z53" s="126">
        <f ca="1">OFFSET(IND!AC$25,$E53,0)</f>
        <v>2.8711662771019646</v>
      </c>
      <c r="AA53" s="126">
        <f ca="1">OFFSET(IND!AD$25,$E53,0)</f>
        <v>2.9539319556799559</v>
      </c>
      <c r="AB53" s="126">
        <f ca="1">OFFSET(IND!AE$25,$E53,0)</f>
        <v>3.0376164393971781</v>
      </c>
      <c r="AC53" s="126">
        <f ca="1">OFFSET(IND!AF$25,$E53,0)</f>
        <v>3.1190030913707778</v>
      </c>
      <c r="AD53" s="126">
        <f ca="1">OFFSET(IND!AG$25,$E53,0)</f>
        <v>3.2064024173992407</v>
      </c>
      <c r="AE53" s="126">
        <f ca="1">OFFSET(IND!AH$25,$E53,0)</f>
        <v>3.2953626385679855</v>
      </c>
      <c r="AF53" s="126">
        <f ca="1">OFFSET(IND!AI$25,$E53,0)</f>
        <v>3.3874572852632601</v>
      </c>
      <c r="AG53" s="126">
        <f ca="1">OFFSET(IND!AJ$25,$E53,0)</f>
        <v>3.4781705906303633</v>
      </c>
      <c r="AH53" s="126">
        <f ca="1">OFFSET(IND!AK$25,$E53,0)</f>
        <v>3.5720036402889397</v>
      </c>
      <c r="AI53" s="126">
        <f ca="1">OFFSET(IND!AL$25,$E53,0)</f>
        <v>3.671414479889739</v>
      </c>
      <c r="AJ53" s="126">
        <f ca="1">OFFSET(IND!AM$25,$E53,0)</f>
        <v>4.2354080250616253</v>
      </c>
      <c r="AK53" s="126">
        <f ca="1">OFFSET(IND!AN$25,$E53,0)</f>
        <v>4.8727794692088189</v>
      </c>
      <c r="AL53" s="126">
        <f ca="1">OFFSET(IND!AO$25,$E53,0)</f>
        <v>6.0619148086986812</v>
      </c>
      <c r="AM53" s="126">
        <f ca="1">OFFSET(IND!AP$25,$E53,0)</f>
        <v>7.2632797980177672</v>
      </c>
      <c r="AQ53" s="4"/>
    </row>
    <row r="54" spans="1:43">
      <c r="A54" s="35" t="s">
        <v>354</v>
      </c>
      <c r="B54">
        <v>0.43799389606880001</v>
      </c>
      <c r="E54" s="129">
        <f ca="1">MATCH(F54,IND!$D$26:$D$255,0)</f>
        <v>216</v>
      </c>
      <c r="F54" s="4" t="str">
        <f t="shared" si="0"/>
        <v>IOTE</v>
      </c>
      <c r="G54" s="126">
        <f ca="1">OFFSET(IND!J$25,$E54,0)</f>
        <v>0.41264064265496897</v>
      </c>
      <c r="H54" s="126">
        <f ca="1">OFFSET(IND!K$25,$E54,0)</f>
        <v>0.42413155830028743</v>
      </c>
      <c r="I54" s="126">
        <f ca="1">OFFSET(IND!L$25,$E54,0)</f>
        <v>0.43225828173369424</v>
      </c>
      <c r="J54" s="126">
        <f ca="1">OFFSET(IND!M$25,$E54,0)</f>
        <v>0.22371068160000002</v>
      </c>
      <c r="K54" s="126">
        <f ca="1">OFFSET(IND!N$25,$E54,0)</f>
        <v>0.22371068160000002</v>
      </c>
      <c r="L54" s="126">
        <f ca="1">OFFSET(IND!O$25,$E54,0)</f>
        <v>0.22371068160000002</v>
      </c>
      <c r="M54" s="126">
        <f ca="1">OFFSET(IND!P$25,$E54,0)</f>
        <v>0.22628820816514589</v>
      </c>
      <c r="N54" s="126">
        <f ca="1">OFFSET(IND!Q$25,$E54,0)</f>
        <v>0.22604574145349615</v>
      </c>
      <c r="O54" s="203">
        <f ca="1">OFFSET(IND!R$25,$E54,0)</f>
        <v>0.20486416578470529</v>
      </c>
      <c r="P54" s="126">
        <f ca="1">OFFSET(IND!S$25,$E54,0)</f>
        <v>0.21023546023414197</v>
      </c>
      <c r="Q54" s="126">
        <f ca="1">OFFSET(IND!T$25,$E54,0)</f>
        <v>0.21569694297285411</v>
      </c>
      <c r="R54" s="126">
        <f ca="1">OFFSET(IND!U$25,$E54,0)</f>
        <v>0.22153337377121715</v>
      </c>
      <c r="S54" s="126">
        <f ca="1">OFFSET(IND!V$25,$E54,0)</f>
        <v>0.22774814437322191</v>
      </c>
      <c r="T54" s="203">
        <f ca="1">OFFSET(IND!W$25,$E54,0)</f>
        <v>0.23393317268312461</v>
      </c>
      <c r="U54" s="126">
        <f ca="1">OFFSET(IND!X$25,$E54,0)</f>
        <v>0.24075965617787676</v>
      </c>
      <c r="V54" s="126">
        <f ca="1">OFFSET(IND!Y$25,$E54,0)</f>
        <v>0.24770434704944927</v>
      </c>
      <c r="W54" s="126">
        <f ca="1">OFFSET(IND!Z$25,$E54,0)</f>
        <v>0.25504866786649127</v>
      </c>
      <c r="X54" s="126">
        <f ca="1">OFFSET(IND!AA$25,$E54,0)</f>
        <v>0.26242156782972392</v>
      </c>
      <c r="Y54" s="205">
        <f ca="1">OFFSET(IND!AB$25,$E54,0)</f>
        <v>0.26861506025535231</v>
      </c>
      <c r="Z54" s="126">
        <f ca="1">OFFSET(IND!AC$25,$E54,0)</f>
        <v>0.27636930491419598</v>
      </c>
      <c r="AA54" s="126">
        <f ca="1">OFFSET(IND!AD$25,$E54,0)</f>
        <v>0.28433606505685105</v>
      </c>
      <c r="AB54" s="126">
        <f ca="1">OFFSET(IND!AE$25,$E54,0)</f>
        <v>0.29239126645061231</v>
      </c>
      <c r="AC54" s="126">
        <f ca="1">OFFSET(IND!AF$25,$E54,0)</f>
        <v>0.30022528589233571</v>
      </c>
      <c r="AD54" s="126">
        <f ca="1">OFFSET(IND!AG$25,$E54,0)</f>
        <v>0.30863806615417272</v>
      </c>
      <c r="AE54" s="126">
        <f ca="1">OFFSET(IND!AH$25,$E54,0)</f>
        <v>0.3172010932019253</v>
      </c>
      <c r="AF54" s="126">
        <f ca="1">OFFSET(IND!AI$25,$E54,0)</f>
        <v>0.32606583004997086</v>
      </c>
      <c r="AG54" s="126">
        <f ca="1">OFFSET(IND!AJ$25,$E54,0)</f>
        <v>0.3347976033891592</v>
      </c>
      <c r="AH54" s="126">
        <f ca="1">OFFSET(IND!AK$25,$E54,0)</f>
        <v>0.34382967335979681</v>
      </c>
      <c r="AI54" s="126">
        <f ca="1">OFFSET(IND!AL$25,$E54,0)</f>
        <v>0.35339864359343326</v>
      </c>
      <c r="AJ54" s="126">
        <f ca="1">OFFSET(IND!AM$25,$E54,0)</f>
        <v>0.4076868627392003</v>
      </c>
      <c r="AK54" s="126">
        <f ca="1">OFFSET(IND!AN$25,$E54,0)</f>
        <v>0.46903820431629478</v>
      </c>
      <c r="AL54" s="126">
        <f ca="1">OFFSET(IND!AO$25,$E54,0)</f>
        <v>0.5835005779672684</v>
      </c>
      <c r="AM54" s="126">
        <f ca="1">OFFSET(IND!AP$25,$E54,0)</f>
        <v>0.69914013869013047</v>
      </c>
      <c r="AQ54" s="4"/>
    </row>
    <row r="55" spans="1:43">
      <c r="A55" s="35" t="s">
        <v>355</v>
      </c>
      <c r="B55">
        <v>1.959977536374</v>
      </c>
      <c r="E55" s="129">
        <f ca="1">MATCH(F55,IND!$D$26:$D$255,0)</f>
        <v>214</v>
      </c>
      <c r="F55" s="4" t="str">
        <f t="shared" si="0"/>
        <v>IOTF</v>
      </c>
      <c r="G55" s="126">
        <f ca="1">OFFSET(IND!J$25,$E55,0)</f>
        <v>1.8465243407674456</v>
      </c>
      <c r="H55" s="126">
        <f ca="1">OFFSET(IND!K$25,$E55,0)</f>
        <v>1.8979450037934282</v>
      </c>
      <c r="I55" s="126">
        <f ca="1">OFFSET(IND!L$25,$E55,0)</f>
        <v>1.9343112534529856</v>
      </c>
      <c r="J55" s="126">
        <f ca="1">OFFSET(IND!M$25,$E55,0)</f>
        <v>1.0010822400000001</v>
      </c>
      <c r="K55" s="126">
        <f ca="1">OFFSET(IND!N$25,$E55,0)</f>
        <v>1.0010822400000001</v>
      </c>
      <c r="L55" s="126">
        <f ca="1">OFFSET(IND!O$25,$E55,0)</f>
        <v>1.0010822400000001</v>
      </c>
      <c r="M55" s="126">
        <f ca="1">OFFSET(IND!P$25,$E55,0)</f>
        <v>1.0126164056868645</v>
      </c>
      <c r="N55" s="126">
        <f ca="1">OFFSET(IND!Q$25,$E55,0)</f>
        <v>1.0115313921457689</v>
      </c>
      <c r="O55" s="203">
        <f ca="1">OFFSET(IND!R$25,$E55,0)</f>
        <v>0.91674602443070907</v>
      </c>
      <c r="P55" s="126">
        <f ca="1">OFFSET(IND!S$25,$E55,0)</f>
        <v>0.9407820134173952</v>
      </c>
      <c r="Q55" s="126">
        <f ca="1">OFFSET(IND!T$25,$E55,0)</f>
        <v>0.96522158570195482</v>
      </c>
      <c r="R55" s="126">
        <f ca="1">OFFSET(IND!U$25,$E55,0)</f>
        <v>0.99133901190370066</v>
      </c>
      <c r="S55" s="126">
        <f ca="1">OFFSET(IND!V$25,$E55,0)</f>
        <v>1.0191494697273698</v>
      </c>
      <c r="T55" s="203">
        <f ca="1">OFFSET(IND!W$25,$E55,0)</f>
        <v>1.046826833859726</v>
      </c>
      <c r="U55" s="126">
        <f ca="1">OFFSET(IND!X$25,$E55,0)</f>
        <v>1.0773746438229026</v>
      </c>
      <c r="V55" s="126">
        <f ca="1">OFFSET(IND!Y$25,$E55,0)</f>
        <v>1.1084514196125008</v>
      </c>
      <c r="W55" s="126">
        <f ca="1">OFFSET(IND!Z$25,$E55,0)</f>
        <v>1.1413164982141075</v>
      </c>
      <c r="X55" s="126">
        <f ca="1">OFFSET(IND!AA$25,$E55,0)</f>
        <v>1.1743094655489712</v>
      </c>
      <c r="Y55" s="205">
        <f ca="1">OFFSET(IND!AB$25,$E55,0)</f>
        <v>1.2020247057267164</v>
      </c>
      <c r="Z55" s="126">
        <f ca="1">OFFSET(IND!AC$25,$E55,0)</f>
        <v>1.2367241512653209</v>
      </c>
      <c r="AA55" s="126">
        <f ca="1">OFFSET(IND!AD$25,$E55,0)</f>
        <v>1.2723745816878254</v>
      </c>
      <c r="AB55" s="126">
        <f ca="1">OFFSET(IND!AE$25,$E55,0)</f>
        <v>1.308420777592481</v>
      </c>
      <c r="AC55" s="126">
        <f ca="1">OFFSET(IND!AF$25,$E55,0)</f>
        <v>1.3434772070612651</v>
      </c>
      <c r="AD55" s="126">
        <f ca="1">OFFSET(IND!AG$25,$E55,0)</f>
        <v>1.3811235315412294</v>
      </c>
      <c r="AE55" s="126">
        <f ca="1">OFFSET(IND!AH$25,$E55,0)</f>
        <v>1.4194421949006848</v>
      </c>
      <c r="AF55" s="126">
        <f ca="1">OFFSET(IND!AI$25,$E55,0)</f>
        <v>1.4591109785161203</v>
      </c>
      <c r="AG55" s="126">
        <f ca="1">OFFSET(IND!AJ$25,$E55,0)</f>
        <v>1.4981847641353356</v>
      </c>
      <c r="AH55" s="126">
        <f ca="1">OFFSET(IND!AK$25,$E55,0)</f>
        <v>1.5386023462256251</v>
      </c>
      <c r="AI55" s="126">
        <f ca="1">OFFSET(IND!AL$25,$E55,0)</f>
        <v>1.5814225016490044</v>
      </c>
      <c r="AJ55" s="126">
        <f ca="1">OFFSET(IND!AM$25,$E55,0)</f>
        <v>1.8243566862814085</v>
      </c>
      <c r="AK55" s="126">
        <f ca="1">OFFSET(IND!AN$25,$E55,0)</f>
        <v>2.0988976157253556</v>
      </c>
      <c r="AL55" s="126">
        <f ca="1">OFFSET(IND!AO$25,$E55,0)</f>
        <v>2.6111049389997829</v>
      </c>
      <c r="AM55" s="126">
        <f ca="1">OFFSET(IND!AP$25,$E55,0)</f>
        <v>3.1285800530761367</v>
      </c>
      <c r="AQ55" s="4"/>
    </row>
    <row r="56" spans="1:43">
      <c r="A56" s="35" t="s">
        <v>356</v>
      </c>
      <c r="B56">
        <v>3.382156358499</v>
      </c>
      <c r="E56" s="129">
        <f ca="1">MATCH(F56,IND!$D$26:$D$255,0)</f>
        <v>212</v>
      </c>
      <c r="F56" s="4" t="str">
        <f t="shared" si="0"/>
        <v>IOTH</v>
      </c>
      <c r="G56" s="126">
        <f ca="1">OFFSET(IND!J$25,$E56,0)</f>
        <v>3.1863804172999206</v>
      </c>
      <c r="H56" s="126">
        <f ca="1">OFFSET(IND!K$25,$E56,0)</f>
        <v>3.2751124150825612</v>
      </c>
      <c r="I56" s="126">
        <f ca="1">OFFSET(IND!L$25,$E56,0)</f>
        <v>3.3378663702877733</v>
      </c>
      <c r="J56" s="126">
        <f ca="1">OFFSET(IND!M$25,$E56,0)</f>
        <v>1.7274772800000002</v>
      </c>
      <c r="K56" s="126">
        <f ca="1">OFFSET(IND!N$25,$E56,0)</f>
        <v>1.7274772800000002</v>
      </c>
      <c r="L56" s="126">
        <f ca="1">OFFSET(IND!O$25,$E56,0)</f>
        <v>1.7274772800000002</v>
      </c>
      <c r="M56" s="126">
        <f ca="1">OFFSET(IND!P$25,$E56,0)</f>
        <v>1.7473807488376989</v>
      </c>
      <c r="N56" s="126">
        <f ca="1">OFFSET(IND!Q$25,$E56,0)</f>
        <v>1.7455084388856863</v>
      </c>
      <c r="O56" s="203">
        <f ca="1">OFFSET(IND!R$25,$E56,0)</f>
        <v>1.5819458836212843</v>
      </c>
      <c r="P56" s="126">
        <f ca="1">OFFSET(IND!S$25,$E56,0)</f>
        <v>1.6234226207141633</v>
      </c>
      <c r="Q56" s="126">
        <f ca="1">OFFSET(IND!T$25,$E56,0)</f>
        <v>1.6655957850832508</v>
      </c>
      <c r="R56" s="126">
        <f ca="1">OFFSET(IND!U$25,$E56,0)</f>
        <v>1.7106642705411415</v>
      </c>
      <c r="S56" s="126">
        <f ca="1">OFFSET(IND!V$25,$E56,0)</f>
        <v>1.7586542678832047</v>
      </c>
      <c r="T56" s="203">
        <f ca="1">OFFSET(IND!W$25,$E56,0)</f>
        <v>1.8064145974530634</v>
      </c>
      <c r="U56" s="126">
        <f ca="1">OFFSET(IND!X$25,$E56,0)</f>
        <v>1.8591281963529354</v>
      </c>
      <c r="V56" s="126">
        <f ca="1">OFFSET(IND!Y$25,$E56,0)</f>
        <v>1.9127545838435225</v>
      </c>
      <c r="W56" s="126">
        <f ca="1">OFFSET(IND!Z$25,$E56,0)</f>
        <v>1.9694668841133682</v>
      </c>
      <c r="X56" s="126">
        <f ca="1">OFFSET(IND!AA$25,$E56,0)</f>
        <v>2.0263998704290169</v>
      </c>
      <c r="Y56" s="205">
        <f ca="1">OFFSET(IND!AB$25,$E56,0)</f>
        <v>2.0742255592723211</v>
      </c>
      <c r="Z56" s="126">
        <f ca="1">OFFSET(IND!AC$25,$E56,0)</f>
        <v>2.1341032610249129</v>
      </c>
      <c r="AA56" s="126">
        <f ca="1">OFFSET(IND!AD$25,$E56,0)</f>
        <v>2.195621991571064</v>
      </c>
      <c r="AB56" s="126">
        <f ca="1">OFFSET(IND!AE$25,$E56,0)</f>
        <v>2.2578236588943414</v>
      </c>
      <c r="AC56" s="126">
        <f ca="1">OFFSET(IND!AF$25,$E56,0)</f>
        <v>2.3183173755996211</v>
      </c>
      <c r="AD56" s="126">
        <f ca="1">OFFSET(IND!AG$25,$E56,0)</f>
        <v>2.3832802404034621</v>
      </c>
      <c r="AE56" s="126">
        <f ca="1">OFFSET(IND!AH$25,$E56,0)</f>
        <v>2.4494032997371566</v>
      </c>
      <c r="AF56" s="126">
        <f ca="1">OFFSET(IND!AI$25,$E56,0)</f>
        <v>2.5178561397564749</v>
      </c>
      <c r="AG56" s="126">
        <f ca="1">OFFSET(IND!AJ$25,$E56,0)</f>
        <v>2.5852822454286577</v>
      </c>
      <c r="AH56" s="126">
        <f ca="1">OFFSET(IND!AK$25,$E56,0)</f>
        <v>2.6550272194015352</v>
      </c>
      <c r="AI56" s="126">
        <f ca="1">OFFSET(IND!AL$25,$E56,0)</f>
        <v>2.7289180973577323</v>
      </c>
      <c r="AJ56" s="126">
        <f ca="1">OFFSET(IND!AM$25,$E56,0)</f>
        <v>3.1481276964490146</v>
      </c>
      <c r="AK56" s="126">
        <f ca="1">OFFSET(IND!AN$25,$E56,0)</f>
        <v>3.6218782027455814</v>
      </c>
      <c r="AL56" s="126">
        <f ca="1">OFFSET(IND!AO$25,$E56,0)</f>
        <v>4.5057481569325502</v>
      </c>
      <c r="AM56" s="126">
        <f ca="1">OFFSET(IND!AP$25,$E56,0)</f>
        <v>5.3987082623204037</v>
      </c>
      <c r="AQ56" s="4"/>
    </row>
    <row r="57" spans="1:43">
      <c r="A57" s="35" t="s">
        <v>357</v>
      </c>
      <c r="B57">
        <v>4.2714054259280001</v>
      </c>
      <c r="E57" s="129">
        <f ca="1">MATCH(F57,IND!$D$26:$D$255,0)</f>
        <v>208</v>
      </c>
      <c r="F57" s="4" t="str">
        <f t="shared" si="0"/>
        <v>IOTK</v>
      </c>
      <c r="G57" s="126">
        <f ca="1">OFFSET(IND!J$25,$E57,0)</f>
        <v>4.0241553496851505</v>
      </c>
      <c r="H57" s="126">
        <f ca="1">OFFSET(IND!K$25,$E57,0)</f>
        <v>4.1362170927295789</v>
      </c>
      <c r="I57" s="126">
        <f ca="1">OFFSET(IND!L$25,$E57,0)</f>
        <v>4.2154705500951453</v>
      </c>
      <c r="J57" s="126">
        <f ca="1">OFFSET(IND!M$25,$E57,0)</f>
        <v>2.1816720000000003</v>
      </c>
      <c r="K57" s="126">
        <f ca="1">OFFSET(IND!N$25,$E57,0)</f>
        <v>2.1816720000000003</v>
      </c>
      <c r="L57" s="126">
        <f ca="1">OFFSET(IND!O$25,$E57,0)</f>
        <v>2.1816720000000003</v>
      </c>
      <c r="M57" s="126">
        <f ca="1">OFFSET(IND!P$25,$E57,0)</f>
        <v>2.2068085625289617</v>
      </c>
      <c r="N57" s="126">
        <f ca="1">OFFSET(IND!Q$25,$E57,0)</f>
        <v>2.2044439779147851</v>
      </c>
      <c r="O57" s="203">
        <f ca="1">OFFSET(IND!R$25,$E57,0)</f>
        <v>1.9978769502611429</v>
      </c>
      <c r="P57" s="126">
        <f ca="1">OFFSET(IND!S$25,$E57,0)</f>
        <v>2.0502589045794628</v>
      </c>
      <c r="Q57" s="126">
        <f ca="1">OFFSET(IND!T$25,$E57,0)</f>
        <v>2.1035203934109896</v>
      </c>
      <c r="R57" s="126">
        <f ca="1">OFFSET(IND!U$25,$E57,0)</f>
        <v>2.1604384518678206</v>
      </c>
      <c r="S57" s="126">
        <f ca="1">OFFSET(IND!V$25,$E57,0)</f>
        <v>2.2210461569261781</v>
      </c>
      <c r="T57" s="203">
        <f ca="1">OFFSET(IND!W$25,$E57,0)</f>
        <v>2.2813638091116428</v>
      </c>
      <c r="U57" s="126">
        <f ca="1">OFFSET(IND!X$25,$E57,0)</f>
        <v>2.347937062531845</v>
      </c>
      <c r="V57" s="126">
        <f ca="1">OFFSET(IND!Y$25,$E57,0)</f>
        <v>2.4156630982973422</v>
      </c>
      <c r="W57" s="126">
        <f ca="1">OFFSET(IND!Z$25,$E57,0)</f>
        <v>2.4872864064512501</v>
      </c>
      <c r="X57" s="126">
        <f ca="1">OFFSET(IND!AA$25,$E57,0)</f>
        <v>2.5591884242429019</v>
      </c>
      <c r="Y57" s="205">
        <f ca="1">OFFSET(IND!AB$25,$E57,0)</f>
        <v>2.6195886202038867</v>
      </c>
      <c r="Z57" s="126">
        <f ca="1">OFFSET(IND!AC$25,$E57,0)</f>
        <v>2.6952095889138081</v>
      </c>
      <c r="AA57" s="126">
        <f ca="1">OFFSET(IND!AD$25,$E57,0)</f>
        <v>2.7729030517812805</v>
      </c>
      <c r="AB57" s="126">
        <f ca="1">OFFSET(IND!AE$25,$E57,0)</f>
        <v>2.8514590116909297</v>
      </c>
      <c r="AC57" s="126">
        <f ca="1">OFFSET(IND!AF$25,$E57,0)</f>
        <v>2.9278579602848245</v>
      </c>
      <c r="AD57" s="126">
        <f ca="1">OFFSET(IND!AG$25,$E57,0)</f>
        <v>3.0099011019360566</v>
      </c>
      <c r="AE57" s="126">
        <f ca="1">OFFSET(IND!AH$25,$E57,0)</f>
        <v>3.0934094807569115</v>
      </c>
      <c r="AF57" s="126">
        <f ca="1">OFFSET(IND!AI$25,$E57,0)</f>
        <v>3.179860194823974</v>
      </c>
      <c r="AG57" s="126">
        <f ca="1">OFFSET(IND!AJ$25,$E57,0)</f>
        <v>3.2650142217493192</v>
      </c>
      <c r="AH57" s="126">
        <f ca="1">OFFSET(IND!AK$25,$E57,0)</f>
        <v>3.3530968024113097</v>
      </c>
      <c r="AI57" s="126">
        <f ca="1">OFFSET(IND!AL$25,$E57,0)</f>
        <v>3.4464153434762625</v>
      </c>
      <c r="AJ57" s="126">
        <f ca="1">OFFSET(IND!AM$25,$E57,0)</f>
        <v>3.9758450818915061</v>
      </c>
      <c r="AK57" s="126">
        <f ca="1">OFFSET(IND!AN$25,$E57,0)</f>
        <v>4.5741558246950493</v>
      </c>
      <c r="AL57" s="126">
        <f ca="1">OFFSET(IND!AO$25,$E57,0)</f>
        <v>5.6904161385157863</v>
      </c>
      <c r="AM57" s="126">
        <f ca="1">OFFSET(IND!AP$25,$E57,0)</f>
        <v>6.8181566197345784</v>
      </c>
      <c r="AQ57" s="4"/>
    </row>
    <row r="58" spans="1:43">
      <c r="A58" s="35" t="s">
        <v>358</v>
      </c>
      <c r="B58">
        <v>1.0716137343180001</v>
      </c>
      <c r="E58" s="129">
        <f ca="1">MATCH(F58,IND!$D$26:$D$255,0)</f>
        <v>210</v>
      </c>
      <c r="F58" s="4" t="str">
        <f t="shared" si="0"/>
        <v>IOTL</v>
      </c>
      <c r="G58" s="126">
        <f ca="1">OFFSET(IND!J$25,$E58,0)</f>
        <v>1.0095834302163471</v>
      </c>
      <c r="H58" s="126">
        <f ca="1">OFFSET(IND!K$25,$E58,0)</f>
        <v>1.0376975732122602</v>
      </c>
      <c r="I58" s="126">
        <f ca="1">OFFSET(IND!L$25,$E58,0)</f>
        <v>1.0575807462984816</v>
      </c>
      <c r="J58" s="126">
        <f ca="1">OFFSET(IND!M$25,$E58,0)</f>
        <v>0.54733968</v>
      </c>
      <c r="K58" s="126">
        <f ca="1">OFFSET(IND!N$25,$E58,0)</f>
        <v>0.54733968</v>
      </c>
      <c r="L58" s="126">
        <f ca="1">OFFSET(IND!O$25,$E58,0)</f>
        <v>0.54733968</v>
      </c>
      <c r="M58" s="126">
        <f ca="1">OFFSET(IND!P$25,$E58,0)</f>
        <v>0.55364596164586688</v>
      </c>
      <c r="N58" s="126">
        <f ca="1">OFFSET(IND!Q$25,$E58,0)</f>
        <v>0.55305273269758493</v>
      </c>
      <c r="O58" s="203">
        <f ca="1">OFFSET(IND!R$25,$E58,0)</f>
        <v>0.50122902555256232</v>
      </c>
      <c r="P58" s="126">
        <f ca="1">OFFSET(IND!S$25,$E58,0)</f>
        <v>0.51437065367739676</v>
      </c>
      <c r="Q58" s="126">
        <f ca="1">OFFSET(IND!T$25,$E58,0)</f>
        <v>0.52773294015005234</v>
      </c>
      <c r="R58" s="126">
        <f ca="1">OFFSET(IND!U$25,$E58,0)</f>
        <v>0.54201258984165734</v>
      </c>
      <c r="S58" s="126">
        <f ca="1">OFFSET(IND!V$25,$E58,0)</f>
        <v>0.55721790113142766</v>
      </c>
      <c r="T58" s="203">
        <f ca="1">OFFSET(IND!W$25,$E58,0)</f>
        <v>0.57235044371598831</v>
      </c>
      <c r="U58" s="126">
        <f ca="1">OFFSET(IND!X$25,$E58,0)</f>
        <v>0.58905239672431053</v>
      </c>
      <c r="V58" s="126">
        <f ca="1">OFFSET(IND!Y$25,$E58,0)</f>
        <v>0.60604356072309484</v>
      </c>
      <c r="W58" s="126">
        <f ca="1">OFFSET(IND!Z$25,$E58,0)</f>
        <v>0.62401247564958306</v>
      </c>
      <c r="X58" s="126">
        <f ca="1">OFFSET(IND!AA$25,$E58,0)</f>
        <v>0.64205131348104305</v>
      </c>
      <c r="Y58" s="205">
        <f ca="1">OFFSET(IND!AB$25,$E58,0)</f>
        <v>0.65720456471643629</v>
      </c>
      <c r="Z58" s="126">
        <f ca="1">OFFSET(IND!AC$25,$E58,0)</f>
        <v>0.67617641603733991</v>
      </c>
      <c r="AA58" s="126">
        <f ca="1">OFFSET(IND!AD$25,$E58,0)</f>
        <v>0.69566821641061982</v>
      </c>
      <c r="AB58" s="126">
        <f ca="1">OFFSET(IND!AE$25,$E58,0)</f>
        <v>0.71537640075686448</v>
      </c>
      <c r="AC58" s="126">
        <f ca="1">OFFSET(IND!AF$25,$E58,0)</f>
        <v>0.73454343231601671</v>
      </c>
      <c r="AD58" s="126">
        <f ca="1">OFFSET(IND!AG$25,$E58,0)</f>
        <v>0.75512648370851754</v>
      </c>
      <c r="AE58" s="126">
        <f ca="1">OFFSET(IND!AH$25,$E58,0)</f>
        <v>0.77607713501683773</v>
      </c>
      <c r="AF58" s="126">
        <f ca="1">OFFSET(IND!AI$25,$E58,0)</f>
        <v>0.79776596183096804</v>
      </c>
      <c r="AG58" s="126">
        <f ca="1">OFFSET(IND!AJ$25,$E58,0)</f>
        <v>0.81912947470001063</v>
      </c>
      <c r="AH58" s="126">
        <f ca="1">OFFSET(IND!AK$25,$E58,0)</f>
        <v>0.84122770555831927</v>
      </c>
      <c r="AI58" s="126">
        <f ca="1">OFFSET(IND!AL$25,$E58,0)</f>
        <v>0.86463953850321573</v>
      </c>
      <c r="AJ58" s="126">
        <f ca="1">OFFSET(IND!AM$25,$E58,0)</f>
        <v>0.99746331018231471</v>
      </c>
      <c r="AK58" s="126">
        <f ca="1">OFFSET(IND!AN$25,$E58,0)</f>
        <v>1.1475680053457735</v>
      </c>
      <c r="AL58" s="126">
        <f ca="1">OFFSET(IND!AO$25,$E58,0)</f>
        <v>1.4276163182742714</v>
      </c>
      <c r="AM58" s="126">
        <f ca="1">OFFSET(IND!AP$25,$E58,0)</f>
        <v>1.7105447851168305</v>
      </c>
      <c r="AQ58" s="4"/>
    </row>
    <row r="59" spans="1:43">
      <c r="A59" s="35" t="s">
        <v>359</v>
      </c>
      <c r="B59">
        <v>13.06049710462</v>
      </c>
      <c r="E59" s="129">
        <f ca="1">MATCH(F59,IND!$D$26:$D$255,0)</f>
        <v>215</v>
      </c>
      <c r="F59" s="4" t="str">
        <f t="shared" si="0"/>
        <v>IOTO</v>
      </c>
      <c r="G59" s="126">
        <f ca="1">OFFSET(IND!J$25,$E59,0)</f>
        <v>12.304490923310874</v>
      </c>
      <c r="H59" s="126">
        <f ca="1">OFFSET(IND!K$25,$E59,0)</f>
        <v>12.647137411908401</v>
      </c>
      <c r="I59" s="126">
        <f ca="1">OFFSET(IND!L$25,$E59,0)</f>
        <v>12.889467382313724</v>
      </c>
      <c r="J59" s="126">
        <f ca="1">OFFSET(IND!M$25,$E59,0)</f>
        <v>6.6708069120000006</v>
      </c>
      <c r="K59" s="126">
        <f ca="1">OFFSET(IND!N$25,$E59,0)</f>
        <v>6.6708069120000006</v>
      </c>
      <c r="L59" s="126">
        <f ca="1">OFFSET(IND!O$25,$E59,0)</f>
        <v>6.6708069120000006</v>
      </c>
      <c r="M59" s="126">
        <f ca="1">OFFSET(IND!P$25,$E59,0)</f>
        <v>6.7476659242906267</v>
      </c>
      <c r="N59" s="126">
        <f ca="1">OFFSET(IND!Q$25,$E59,0)</f>
        <v>6.740435833154903</v>
      </c>
      <c r="O59" s="203">
        <f ca="1">OFFSET(IND!R$25,$E59,0)</f>
        <v>6.1088245020917498</v>
      </c>
      <c r="P59" s="126">
        <f ca="1">OFFSET(IND!S$25,$E59,0)</f>
        <v>6.2689906053972502</v>
      </c>
      <c r="Q59" s="126">
        <f ca="1">OFFSET(IND!T$25,$E59,0)</f>
        <v>6.4318460244706754</v>
      </c>
      <c r="R59" s="126">
        <f ca="1">OFFSET(IND!U$25,$E59,0)</f>
        <v>6.6058819830251458</v>
      </c>
      <c r="S59" s="126">
        <f ca="1">OFFSET(IND!V$25,$E59,0)</f>
        <v>6.7911996191426507</v>
      </c>
      <c r="T59" s="203">
        <f ca="1">OFFSET(IND!W$25,$E59,0)</f>
        <v>6.9756303727639146</v>
      </c>
      <c r="U59" s="126">
        <f ca="1">OFFSET(IND!X$25,$E59,0)</f>
        <v>7.1791886157398572</v>
      </c>
      <c r="V59" s="126">
        <f ca="1">OFFSET(IND!Y$25,$E59,0)</f>
        <v>7.3862716729119891</v>
      </c>
      <c r="W59" s="126">
        <f ca="1">OFFSET(IND!Z$25,$E59,0)</f>
        <v>7.6052712563018829</v>
      </c>
      <c r="X59" s="126">
        <f ca="1">OFFSET(IND!AA$25,$E59,0)</f>
        <v>7.825123038453965</v>
      </c>
      <c r="Y59" s="205">
        <f ca="1">OFFSET(IND!AB$25,$E59,0)</f>
        <v>8.0098061827133638</v>
      </c>
      <c r="Z59" s="126">
        <f ca="1">OFFSET(IND!AC$25,$E59,0)</f>
        <v>8.2410292450079154</v>
      </c>
      <c r="AA59" s="126">
        <f ca="1">OFFSET(IND!AD$25,$E59,0)</f>
        <v>8.4785892857076863</v>
      </c>
      <c r="AB59" s="126">
        <f ca="1">OFFSET(IND!AE$25,$E59,0)</f>
        <v>8.7187865474152577</v>
      </c>
      <c r="AC59" s="126">
        <f ca="1">OFFSET(IND!AF$25,$E59,0)</f>
        <v>8.9523884061500656</v>
      </c>
      <c r="AD59" s="126">
        <f ca="1">OFFSET(IND!AG$25,$E59,0)</f>
        <v>9.2032482771156516</v>
      </c>
      <c r="AE59" s="126">
        <f ca="1">OFFSET(IND!AH$25,$E59,0)</f>
        <v>9.4585883422803843</v>
      </c>
      <c r="AF59" s="126">
        <f ca="1">OFFSET(IND!AI$25,$E59,0)</f>
        <v>9.7229250624408365</v>
      </c>
      <c r="AG59" s="126">
        <f ca="1">OFFSET(IND!AJ$25,$E59,0)</f>
        <v>9.9832969567486085</v>
      </c>
      <c r="AH59" s="126">
        <f ca="1">OFFSET(IND!AK$25,$E59,0)</f>
        <v>10.252623366908708</v>
      </c>
      <c r="AI59" s="126">
        <f ca="1">OFFSET(IND!AL$25,$E59,0)</f>
        <v>10.537959553445383</v>
      </c>
      <c r="AJ59" s="126">
        <f ca="1">OFFSET(IND!AM$25,$E59,0)</f>
        <v>12.156774645007614</v>
      </c>
      <c r="AK59" s="126">
        <f ca="1">OFFSET(IND!AN$25,$E59,0)</f>
        <v>13.986204292827143</v>
      </c>
      <c r="AL59" s="126">
        <f ca="1">OFFSET(IND!AO$25,$E59,0)</f>
        <v>17.39934660616602</v>
      </c>
      <c r="AM59" s="126">
        <f ca="1">OFFSET(IND!AP$25,$E59,0)</f>
        <v>20.847591345547798</v>
      </c>
      <c r="AQ59" s="4"/>
    </row>
    <row r="60" spans="1:43">
      <c r="A60" s="35" t="s">
        <v>360</v>
      </c>
      <c r="B60">
        <v>4.6033799408959997</v>
      </c>
      <c r="E60" s="129">
        <f ca="1">MATCH(F60,IND!$D$26:$D$255,0)</f>
        <v>213</v>
      </c>
      <c r="F60" s="4" t="str">
        <f t="shared" si="0"/>
        <v>IOTP</v>
      </c>
      <c r="G60" s="126">
        <f ca="1">OFFSET(IND!J$25,$E60,0)</f>
        <v>4.3369135374845138</v>
      </c>
      <c r="H60" s="126">
        <f ca="1">OFFSET(IND!K$25,$E60,0)</f>
        <v>4.457684742423587</v>
      </c>
      <c r="I60" s="126">
        <f ca="1">OFFSET(IND!L$25,$E60,0)</f>
        <v>4.5430977949211924</v>
      </c>
      <c r="J60" s="126">
        <f ca="1">OFFSET(IND!M$25,$E60,0)</f>
        <v>2.3512320000000004</v>
      </c>
      <c r="K60" s="126">
        <f ca="1">OFFSET(IND!N$25,$E60,0)</f>
        <v>2.3512320000000004</v>
      </c>
      <c r="L60" s="126">
        <f ca="1">OFFSET(IND!O$25,$E60,0)</f>
        <v>2.3512320000000004</v>
      </c>
      <c r="M60" s="126">
        <f ca="1">OFFSET(IND!P$25,$E60,0)</f>
        <v>2.3783221813783628</v>
      </c>
      <c r="N60" s="126">
        <f ca="1">OFFSET(IND!Q$25,$E60,0)</f>
        <v>2.3757738207579031</v>
      </c>
      <c r="O60" s="203">
        <f ca="1">OFFSET(IND!R$25,$E60,0)</f>
        <v>2.1531523609032006</v>
      </c>
      <c r="P60" s="126">
        <f ca="1">OFFSET(IND!S$25,$E60,0)</f>
        <v>2.2096054515675041</v>
      </c>
      <c r="Q60" s="126">
        <f ca="1">OFFSET(IND!T$25,$E60,0)</f>
        <v>2.2670064343496676</v>
      </c>
      <c r="R60" s="126">
        <f ca="1">OFFSET(IND!U$25,$E60,0)</f>
        <v>2.3283481761062523</v>
      </c>
      <c r="S60" s="126">
        <f ca="1">OFFSET(IND!V$25,$E60,0)</f>
        <v>2.3936663245629277</v>
      </c>
      <c r="T60" s="203">
        <f ca="1">OFFSET(IND!W$25,$E60,0)</f>
        <v>2.4586718771773146</v>
      </c>
      <c r="U60" s="126">
        <f ca="1">OFFSET(IND!X$25,$E60,0)</f>
        <v>2.5304192176509002</v>
      </c>
      <c r="V60" s="126">
        <f ca="1">OFFSET(IND!Y$25,$E60,0)</f>
        <v>2.6034089349525762</v>
      </c>
      <c r="W60" s="126">
        <f ca="1">OFFSET(IND!Z$25,$E60,0)</f>
        <v>2.6805988214604151</v>
      </c>
      <c r="X60" s="126">
        <f ca="1">OFFSET(IND!AA$25,$E60,0)</f>
        <v>2.7580890789768064</v>
      </c>
      <c r="Y60" s="205">
        <f ca="1">OFFSET(IND!AB$25,$E60,0)</f>
        <v>2.8231835906860545</v>
      </c>
      <c r="Z60" s="126">
        <f ca="1">OFFSET(IND!AC$25,$E60,0)</f>
        <v>2.9046818367568505</v>
      </c>
      <c r="AA60" s="126">
        <f ca="1">OFFSET(IND!AD$25,$E60,0)</f>
        <v>2.9884136516606552</v>
      </c>
      <c r="AB60" s="126">
        <f ca="1">OFFSET(IND!AE$25,$E60,0)</f>
        <v>3.0730749970555102</v>
      </c>
      <c r="AC60" s="126">
        <f ca="1">OFFSET(IND!AF$25,$E60,0)</f>
        <v>3.1554116877681015</v>
      </c>
      <c r="AD60" s="126">
        <f ca="1">OFFSET(IND!AG$25,$E60,0)</f>
        <v>3.2438312393922275</v>
      </c>
      <c r="AE60" s="126">
        <f ca="1">OFFSET(IND!AH$25,$E60,0)</f>
        <v>3.3338299067224755</v>
      </c>
      <c r="AF60" s="126">
        <f ca="1">OFFSET(IND!AI$25,$E60,0)</f>
        <v>3.4269995882040765</v>
      </c>
      <c r="AG60" s="126">
        <f ca="1">OFFSET(IND!AJ$25,$E60,0)</f>
        <v>3.5187718037505622</v>
      </c>
      <c r="AH60" s="126">
        <f ca="1">OFFSET(IND!AK$25,$E60,0)</f>
        <v>3.6137001808370597</v>
      </c>
      <c r="AI60" s="126">
        <f ca="1">OFFSET(IND!AL$25,$E60,0)</f>
        <v>3.7142714582542107</v>
      </c>
      <c r="AJ60" s="126">
        <f ca="1">OFFSET(IND!AM$25,$E60,0)</f>
        <v>4.2848485856654577</v>
      </c>
      <c r="AK60" s="126">
        <f ca="1">OFFSET(IND!AN$25,$E60,0)</f>
        <v>4.9296601634019188</v>
      </c>
      <c r="AL60" s="126">
        <f ca="1">OFFSET(IND!AO$25,$E60,0)</f>
        <v>6.1326764601620916</v>
      </c>
      <c r="AM60" s="126">
        <f ca="1">OFFSET(IND!AP$25,$E60,0)</f>
        <v>7.3480651653098059</v>
      </c>
      <c r="AQ60" s="4"/>
    </row>
    <row r="61" spans="1:43">
      <c r="A61" s="35" t="s">
        <v>361</v>
      </c>
      <c r="B61">
        <v>109.842732955</v>
      </c>
      <c r="E61" s="129">
        <f ca="1">MATCH(F61,IND!$D$26:$D$255,0)</f>
        <v>218</v>
      </c>
      <c r="F61" s="4" t="str">
        <f t="shared" si="0"/>
        <v>IOTS</v>
      </c>
      <c r="G61" s="126">
        <f ca="1">OFFSET(IND!J$25,$E61,0)</f>
        <v>73.690487252999532</v>
      </c>
      <c r="H61" s="126">
        <f ca="1">OFFSET(IND!K$25,$E61,0)</f>
        <v>75.742566193741837</v>
      </c>
      <c r="I61" s="126">
        <f ca="1">OFFSET(IND!L$25,$E61,0)</f>
        <v>77.193858547604464</v>
      </c>
      <c r="J61" s="126">
        <f ca="1">OFFSET(IND!M$25,$E61,0)</f>
        <v>61.561340800000004</v>
      </c>
      <c r="K61" s="126">
        <f ca="1">OFFSET(IND!N$25,$E61,0)</f>
        <v>61.561340800000004</v>
      </c>
      <c r="L61" s="126">
        <f ca="1">OFFSET(IND!O$25,$E61,0)</f>
        <v>61.561340800000004</v>
      </c>
      <c r="M61" s="126">
        <f ca="1">OFFSET(IND!P$25,$E61,0)</f>
        <v>62.270631881512664</v>
      </c>
      <c r="N61" s="126">
        <f ca="1">OFFSET(IND!Q$25,$E61,0)</f>
        <v>62.203909203088159</v>
      </c>
      <c r="O61" s="203">
        <f ca="1">OFFSET(IND!R$25,$E61,0)</f>
        <v>56.375103045504027</v>
      </c>
      <c r="P61" s="126">
        <f ca="1">OFFSET(IND!S$25,$E61,0)</f>
        <v>57.853191108952672</v>
      </c>
      <c r="Q61" s="126">
        <f ca="1">OFFSET(IND!T$25,$E61,0)</f>
        <v>59.356097442018779</v>
      </c>
      <c r="R61" s="126">
        <f ca="1">OFFSET(IND!U$25,$E61,0)</f>
        <v>60.962183047158</v>
      </c>
      <c r="S61" s="126">
        <f ca="1">OFFSET(IND!V$25,$E61,0)</f>
        <v>62.672381274115779</v>
      </c>
      <c r="T61" s="203">
        <f ca="1">OFFSET(IND!W$25,$E61,0)</f>
        <v>64.37439493265164</v>
      </c>
      <c r="U61" s="126">
        <f ca="1">OFFSET(IND!X$25,$E61,0)</f>
        <v>66.252926050970899</v>
      </c>
      <c r="V61" s="126">
        <f ca="1">OFFSET(IND!Y$25,$E61,0)</f>
        <v>68.163985811004835</v>
      </c>
      <c r="W61" s="126">
        <f ca="1">OFFSET(IND!Z$25,$E61,0)</f>
        <v>70.185016874558912</v>
      </c>
      <c r="X61" s="126">
        <f ca="1">OFFSET(IND!AA$25,$E61,0)</f>
        <v>72.213912428739164</v>
      </c>
      <c r="Y61" s="205">
        <f ca="1">OFFSET(IND!AB$25,$E61,0)</f>
        <v>73.918255266682252</v>
      </c>
      <c r="Z61" s="126">
        <f ca="1">OFFSET(IND!AC$25,$E61,0)</f>
        <v>76.052090337388393</v>
      </c>
      <c r="AA61" s="126">
        <f ca="1">OFFSET(IND!AD$25,$E61,0)</f>
        <v>78.244406022567759</v>
      </c>
      <c r="AB61" s="126">
        <f ca="1">OFFSET(IND!AE$25,$E61,0)</f>
        <v>80.461059222438791</v>
      </c>
      <c r="AC61" s="126">
        <f ca="1">OFFSET(IND!AF$25,$E61,0)</f>
        <v>82.616846944493446</v>
      </c>
      <c r="AD61" s="126">
        <f ca="1">OFFSET(IND!AG$25,$E61,0)</f>
        <v>84.931899712963755</v>
      </c>
      <c r="AE61" s="126">
        <f ca="1">OFFSET(IND!AH$25,$E61,0)</f>
        <v>87.288297818749669</v>
      </c>
      <c r="AF61" s="126">
        <f ca="1">OFFSET(IND!AI$25,$E61,0)</f>
        <v>89.727721284369508</v>
      </c>
      <c r="AG61" s="126">
        <f ca="1">OFFSET(IND!AJ$25,$E61,0)</f>
        <v>92.130555473946828</v>
      </c>
      <c r="AH61" s="126">
        <f ca="1">OFFSET(IND!AK$25,$E61,0)</f>
        <v>94.616026143541646</v>
      </c>
      <c r="AI61" s="126">
        <f ca="1">OFFSET(IND!AL$25,$E61,0)</f>
        <v>97.249242552542796</v>
      </c>
      <c r="AJ61" s="126">
        <f ca="1">OFFSET(IND!AM$25,$E61,0)</f>
        <v>112.18842889963605</v>
      </c>
      <c r="AK61" s="126">
        <f ca="1">OFFSET(IND!AN$25,$E61,0)</f>
        <v>129.07126533977464</v>
      </c>
      <c r="AL61" s="126">
        <f ca="1">OFFSET(IND!AO$25,$E61,0)</f>
        <v>160.56934644483226</v>
      </c>
      <c r="AM61" s="126">
        <f ca="1">OFFSET(IND!AP$25,$E61,0)</f>
        <v>192.39136923206428</v>
      </c>
      <c r="AQ61" s="4"/>
    </row>
    <row r="62" spans="1:43">
      <c r="A62" s="35" t="s">
        <v>362</v>
      </c>
      <c r="B62">
        <v>9.3435013244270007</v>
      </c>
      <c r="E62" s="128">
        <f>MATCH(F62,RES!$D$96:$D$134,0)</f>
        <v>28</v>
      </c>
      <c r="F62" s="4" t="str">
        <f t="shared" si="0"/>
        <v>RHEH</v>
      </c>
      <c r="G62" s="126">
        <f ca="1">OFFSET(RES!J$95,$E62,0)</f>
        <v>7.0843020492948998</v>
      </c>
      <c r="H62" s="126">
        <f ca="1">OFFSET(RES!K$95,$E62,0)</f>
        <v>7.2331507185231221</v>
      </c>
      <c r="I62" s="126">
        <f ca="1">OFFSET(RES!L$95,$E62,0)</f>
        <v>7.3819993877513435</v>
      </c>
      <c r="J62" s="126">
        <f ca="1">OFFSET(RES!M$95,$E62,0)</f>
        <v>7.5308480569795657</v>
      </c>
      <c r="K62" s="126">
        <f ca="1">OFFSET(RES!N$95,$E62,0)</f>
        <v>7.6796967262077871</v>
      </c>
      <c r="L62" s="126">
        <f ca="1">OFFSET(RES!O$95,$E62,0)</f>
        <v>7.8285453954360094</v>
      </c>
      <c r="M62" s="126">
        <f ca="1">OFFSET(RES!P$95,$E62,0)</f>
        <v>8.1179448012939073</v>
      </c>
      <c r="N62" s="126">
        <f ca="1">OFFSET(RES!Q$95,$E62,0)</f>
        <v>8.2379928360979573</v>
      </c>
      <c r="O62" s="203">
        <f ca="1">OFFSET(RES!R$95,$E62,0)</f>
        <v>7.0526785445469491</v>
      </c>
      <c r="P62" s="126">
        <f ca="1">OFFSET(RES!S$95,$E62,0)</f>
        <v>7.2374045981301922</v>
      </c>
      <c r="Q62" s="126">
        <f ca="1">OFFSET(RES!T$95,$E62,0)</f>
        <v>7.4970062223994436</v>
      </c>
      <c r="R62" s="126">
        <f ca="1">OFFSET(RES!U$95,$E62,0)</f>
        <v>7.7909709930795437</v>
      </c>
      <c r="S62" s="126">
        <f ca="1">OFFSET(RES!V$95,$E62,0)</f>
        <v>8.1131872385210517</v>
      </c>
      <c r="T62" s="203">
        <f ca="1">OFFSET(RES!W$95,$E62,0)</f>
        <v>8.4182508710871939</v>
      </c>
      <c r="U62" s="126">
        <f ca="1">OFFSET(RES!X$95,$E62,0)</f>
        <v>8.783395113111764</v>
      </c>
      <c r="V62" s="126">
        <f ca="1">OFFSET(RES!Y$95,$E62,0)</f>
        <v>9.1463771976324608</v>
      </c>
      <c r="W62" s="126">
        <f ca="1">OFFSET(RES!Z$95,$E62,0)</f>
        <v>9.506072885434385</v>
      </c>
      <c r="X62" s="126">
        <f ca="1">OFFSET(RES!AA$95,$E62,0)</f>
        <v>9.8354175344441686</v>
      </c>
      <c r="Y62" s="205">
        <f ca="1">OFFSET(RES!AB$95,$E62,0)</f>
        <v>10.070219714689349</v>
      </c>
      <c r="Z62" s="126">
        <f ca="1">OFFSET(RES!AC$95,$E62,0)</f>
        <v>10.400559163438063</v>
      </c>
      <c r="AA62" s="126">
        <f ca="1">OFFSET(RES!AD$95,$E62,0)</f>
        <v>10.722448618085338</v>
      </c>
      <c r="AB62" s="126">
        <f ca="1">OFFSET(RES!AE$95,$E62,0)</f>
        <v>11.045069520875037</v>
      </c>
      <c r="AC62" s="126">
        <f ca="1">OFFSET(RES!AF$95,$E62,0)</f>
        <v>11.332539299515073</v>
      </c>
      <c r="AD62" s="126">
        <f ca="1">OFFSET(RES!AG$95,$E62,0)</f>
        <v>11.615751433267608</v>
      </c>
      <c r="AE62" s="126">
        <f ca="1">OFFSET(RES!AH$95,$E62,0)</f>
        <v>11.93542217670144</v>
      </c>
      <c r="AF62" s="126">
        <f ca="1">OFFSET(RES!AI$95,$E62,0)</f>
        <v>12.254238189640212</v>
      </c>
      <c r="AG62" s="126">
        <f ca="1">OFFSET(RES!AJ$95,$E62,0)</f>
        <v>12.552833963678131</v>
      </c>
      <c r="AH62" s="126">
        <f ca="1">OFFSET(RES!AK$95,$E62,0)</f>
        <v>12.850805361937539</v>
      </c>
      <c r="AI62" s="126">
        <f ca="1">OFFSET(RES!AL$95,$E62,0)</f>
        <v>13.156215945148309</v>
      </c>
      <c r="AJ62" s="126">
        <f ca="1">OFFSET(RES!AM$95,$E62,0)</f>
        <v>14.776867800480296</v>
      </c>
      <c r="AK62" s="126">
        <f ca="1">OFFSET(RES!AN$95,$E62,0)</f>
        <v>16.207387613157479</v>
      </c>
      <c r="AL62" s="126">
        <f ca="1">OFFSET(RES!AO$95,$E62,0)</f>
        <v>16.207387613157479</v>
      </c>
      <c r="AM62" s="126">
        <f ca="1">OFFSET(RES!AP$95,$E62,0)</f>
        <v>16.207387613157479</v>
      </c>
      <c r="AQ62" s="4"/>
    </row>
    <row r="63" spans="1:43">
      <c r="A63" s="35" t="s">
        <v>363</v>
      </c>
      <c r="B63">
        <v>3.5355599850489998</v>
      </c>
      <c r="E63" s="129">
        <f>MATCH(F63,RES!$D$96:$D$134,0)</f>
        <v>27</v>
      </c>
      <c r="F63" s="4" t="str">
        <f t="shared" si="0"/>
        <v>RHEK</v>
      </c>
      <c r="G63" s="126">
        <f ca="1">OFFSET(RES!J$95,$E63,0)</f>
        <v>3.8919384966800701</v>
      </c>
      <c r="H63" s="126">
        <f ca="1">OFFSET(RES!K$95,$E63,0)</f>
        <v>4.2255463871795502</v>
      </c>
      <c r="I63" s="126">
        <f ca="1">OFFSET(RES!L$95,$E63,0)</f>
        <v>4.5591542776790295</v>
      </c>
      <c r="J63" s="126">
        <f ca="1">OFFSET(RES!M$95,$E63,0)</f>
        <v>4.8927621681785096</v>
      </c>
      <c r="K63" s="126">
        <f ca="1">OFFSET(RES!N$95,$E63,0)</f>
        <v>5.2263700586779898</v>
      </c>
      <c r="L63" s="126">
        <f ca="1">OFFSET(RES!O$95,$E63,0)</f>
        <v>5.559977949177469</v>
      </c>
      <c r="M63" s="126">
        <f ca="1">OFFSET(RES!P$95,$E63,0)</f>
        <v>5.7655147678070247</v>
      </c>
      <c r="N63" s="126">
        <f ca="1">OFFSET(RES!Q$95,$E63,0)</f>
        <v>5.8507751057928949</v>
      </c>
      <c r="O63" s="203">
        <f ca="1">OFFSET(RES!R$95,$E63,0)</f>
        <v>5.0089429401761976</v>
      </c>
      <c r="P63" s="126">
        <f ca="1">OFFSET(RES!S$95,$E63,0)</f>
        <v>5.1401388051398449</v>
      </c>
      <c r="Q63" s="126">
        <f ca="1">OFFSET(RES!T$95,$E63,0)</f>
        <v>5.3245126873362958</v>
      </c>
      <c r="R63" s="126">
        <f ca="1">OFFSET(RES!U$95,$E63,0)</f>
        <v>5.5332919126275275</v>
      </c>
      <c r="S63" s="126">
        <f ca="1">OFFSET(RES!V$95,$E63,0)</f>
        <v>5.762135858600681</v>
      </c>
      <c r="T63" s="203">
        <f ca="1">OFFSET(RES!W$95,$E63,0)</f>
        <v>5.9787977011892899</v>
      </c>
      <c r="U63" s="126">
        <f ca="1">OFFSET(RES!X$95,$E63,0)</f>
        <v>6.2381299054975541</v>
      </c>
      <c r="V63" s="126">
        <f ca="1">OFFSET(RES!Y$95,$E63,0)</f>
        <v>6.4959265054965947</v>
      </c>
      <c r="W63" s="126">
        <f ca="1">OFFSET(RES!Z$95,$E63,0)</f>
        <v>6.7513890456715355</v>
      </c>
      <c r="X63" s="126">
        <f ca="1">OFFSET(RES!AA$95,$E63,0)</f>
        <v>6.985295715899384</v>
      </c>
      <c r="Y63" s="205">
        <f ca="1">OFFSET(RES!AB$95,$E63,0)</f>
        <v>7.1520565735860613</v>
      </c>
      <c r="Z63" s="126">
        <f ca="1">OFFSET(RES!AC$95,$E63,0)</f>
        <v>7.3866697690153238</v>
      </c>
      <c r="AA63" s="126">
        <f ca="1">OFFSET(RES!AD$95,$E63,0)</f>
        <v>7.6152816221132174</v>
      </c>
      <c r="AB63" s="126">
        <f ca="1">OFFSET(RES!AE$95,$E63,0)</f>
        <v>7.8444129632305861</v>
      </c>
      <c r="AC63" s="126">
        <f ca="1">OFFSET(RES!AF$95,$E63,0)</f>
        <v>8.0485793248672373</v>
      </c>
      <c r="AD63" s="126">
        <f ca="1">OFFSET(RES!AG$95,$E63,0)</f>
        <v>8.24972182823978</v>
      </c>
      <c r="AE63" s="126">
        <f ca="1">OFFSET(RES!AH$95,$E63,0)</f>
        <v>8.476757911536362</v>
      </c>
      <c r="AF63" s="126">
        <f ca="1">OFFSET(RES!AI$95,$E63,0)</f>
        <v>8.7031869494030492</v>
      </c>
      <c r="AG63" s="126">
        <f ca="1">OFFSET(RES!AJ$95,$E63,0)</f>
        <v>8.9152551990597839</v>
      </c>
      <c r="AH63" s="126">
        <f ca="1">OFFSET(RES!AK$95,$E63,0)</f>
        <v>9.1268800054732129</v>
      </c>
      <c r="AI63" s="126">
        <f ca="1">OFFSET(RES!AL$95,$E63,0)</f>
        <v>9.3437882588362555</v>
      </c>
      <c r="AJ63" s="126">
        <f ca="1">OFFSET(RES!AM$95,$E63,0)</f>
        <v>10.49480522607421</v>
      </c>
      <c r="AK63" s="126">
        <f ca="1">OFFSET(RES!AN$95,$E63,0)</f>
        <v>11.510786894773934</v>
      </c>
      <c r="AL63" s="126">
        <f ca="1">OFFSET(RES!AO$95,$E63,0)</f>
        <v>11.510786894773934</v>
      </c>
      <c r="AM63" s="126">
        <f ca="1">OFFSET(RES!AP$95,$E63,0)</f>
        <v>11.510786894773934</v>
      </c>
      <c r="AQ63" s="4"/>
    </row>
    <row r="64" spans="1:43">
      <c r="A64" s="35" t="s">
        <v>364</v>
      </c>
      <c r="B64">
        <v>27.200595464100001</v>
      </c>
      <c r="E64" s="129">
        <f>MATCH(F64,RES!$D$96:$D$134,0)</f>
        <v>26</v>
      </c>
      <c r="F64" s="4" t="str">
        <f t="shared" si="0"/>
        <v>RHEL</v>
      </c>
      <c r="G64" s="126">
        <f ca="1">OFFSET(RES!J$95,$E64,0)</f>
        <v>29.155130644409116</v>
      </c>
      <c r="H64" s="126">
        <f ca="1">OFFSET(RES!K$95,$E64,0)</f>
        <v>29.929626969295743</v>
      </c>
      <c r="I64" s="126">
        <f ca="1">OFFSET(RES!L$95,$E64,0)</f>
        <v>30.70412329418237</v>
      </c>
      <c r="J64" s="126">
        <f ca="1">OFFSET(RES!M$95,$E64,0)</f>
        <v>31.478619619069001</v>
      </c>
      <c r="K64" s="126">
        <f ca="1">OFFSET(RES!N$95,$E64,0)</f>
        <v>32.253115943955628</v>
      </c>
      <c r="L64" s="126">
        <f ca="1">OFFSET(RES!O$95,$E64,0)</f>
        <v>33.027612268842255</v>
      </c>
      <c r="M64" s="126">
        <f ca="1">OFFSET(RES!P$95,$E64,0)</f>
        <v>34.248550627720562</v>
      </c>
      <c r="N64" s="126">
        <f ca="1">OFFSET(RES!Q$95,$E64,0)</f>
        <v>34.755017633641756</v>
      </c>
      <c r="O64" s="203">
        <f ca="1">OFFSET(RES!R$95,$E64,0)</f>
        <v>29.75433118927532</v>
      </c>
      <c r="P64" s="126">
        <f ca="1">OFFSET(RES!S$95,$E64,0)</f>
        <v>30.533666323137812</v>
      </c>
      <c r="Q64" s="126">
        <f ca="1">OFFSET(RES!T$95,$E64,0)</f>
        <v>31.628891726790076</v>
      </c>
      <c r="R64" s="126">
        <f ca="1">OFFSET(RES!U$95,$E64,0)</f>
        <v>32.869090764580896</v>
      </c>
      <c r="S64" s="126">
        <f ca="1">OFFSET(RES!V$95,$E64,0)</f>
        <v>34.2284790907147</v>
      </c>
      <c r="T64" s="203">
        <f ca="1">OFFSET(RES!W$95,$E64,0)</f>
        <v>35.515502779635646</v>
      </c>
      <c r="U64" s="126">
        <f ca="1">OFFSET(RES!X$95,$E64,0)</f>
        <v>37.055998726024185</v>
      </c>
      <c r="V64" s="126">
        <f ca="1">OFFSET(RES!Y$95,$E64,0)</f>
        <v>38.587372811824963</v>
      </c>
      <c r="W64" s="126">
        <f ca="1">OFFSET(RES!Z$95,$E64,0)</f>
        <v>40.104882018378504</v>
      </c>
      <c r="X64" s="126">
        <f ca="1">OFFSET(RES!AA$95,$E64,0)</f>
        <v>41.494344149702997</v>
      </c>
      <c r="Y64" s="205">
        <f ca="1">OFFSET(RES!AB$95,$E64,0)</f>
        <v>42.484943932587022</v>
      </c>
      <c r="Z64" s="126">
        <f ca="1">OFFSET(RES!AC$95,$E64,0)</f>
        <v>43.878602994299335</v>
      </c>
      <c r="AA64" s="126">
        <f ca="1">OFFSET(RES!AD$95,$E64,0)</f>
        <v>45.236612632682125</v>
      </c>
      <c r="AB64" s="126">
        <f ca="1">OFFSET(RES!AE$95,$E64,0)</f>
        <v>46.597708155405165</v>
      </c>
      <c r="AC64" s="126">
        <f ca="1">OFFSET(RES!AF$95,$E64,0)</f>
        <v>47.81050566865305</v>
      </c>
      <c r="AD64" s="126">
        <f ca="1">OFFSET(RES!AG$95,$E64,0)</f>
        <v>49.005340733269705</v>
      </c>
      <c r="AE64" s="126">
        <f ca="1">OFFSET(RES!AH$95,$E64,0)</f>
        <v>50.35398991833803</v>
      </c>
      <c r="AF64" s="126">
        <f ca="1">OFFSET(RES!AI$95,$E64,0)</f>
        <v>51.699033106894966</v>
      </c>
      <c r="AG64" s="126">
        <f ca="1">OFFSET(RES!AJ$95,$E64,0)</f>
        <v>52.958769744021531</v>
      </c>
      <c r="AH64" s="126">
        <f ca="1">OFFSET(RES!AK$95,$E64,0)</f>
        <v>54.215872221150157</v>
      </c>
      <c r="AI64" s="126">
        <f ca="1">OFFSET(RES!AL$95,$E64,0)</f>
        <v>55.504359649602314</v>
      </c>
      <c r="AJ64" s="126">
        <f ca="1">OFFSET(RES!AM$95,$E64,0)</f>
        <v>62.341678512425815</v>
      </c>
      <c r="AK64" s="126">
        <f ca="1">OFFSET(RES!AN$95,$E64,0)</f>
        <v>68.376855078374234</v>
      </c>
      <c r="AL64" s="126">
        <f ca="1">OFFSET(RES!AO$95,$E64,0)</f>
        <v>68.376855078374234</v>
      </c>
      <c r="AM64" s="126">
        <f ca="1">OFFSET(RES!AP$95,$E64,0)</f>
        <v>68.376855078374234</v>
      </c>
      <c r="AQ64" s="4"/>
    </row>
    <row r="65" spans="1:39">
      <c r="A65" s="35" t="s">
        <v>365</v>
      </c>
      <c r="B65">
        <v>11.63227160329</v>
      </c>
      <c r="E65" s="129">
        <f>MATCH(F65,RES!$D$96:$D$134,0)</f>
        <v>32</v>
      </c>
      <c r="F65" s="4" t="str">
        <f t="shared" si="0"/>
        <v>RHEO</v>
      </c>
      <c r="G65" s="126">
        <f ca="1">OFFSET(RES!J$95,$E65,0)</f>
        <v>11.690422995158354</v>
      </c>
      <c r="H65" s="126">
        <f ca="1">OFFSET(RES!K$95,$E65,0)</f>
        <v>12.004282116591277</v>
      </c>
      <c r="I65" s="126">
        <f ca="1">OFFSET(RES!L$95,$E65,0)</f>
        <v>12.3181412380242</v>
      </c>
      <c r="J65" s="126">
        <f ca="1">OFFSET(RES!M$95,$E65,0)</f>
        <v>12.632000359457125</v>
      </c>
      <c r="K65" s="126">
        <f ca="1">OFFSET(RES!N$95,$E65,0)</f>
        <v>12.945859480890048</v>
      </c>
      <c r="L65" s="126">
        <f ca="1">OFFSET(RES!O$95,$E65,0)</f>
        <v>13.259718602322971</v>
      </c>
      <c r="M65" s="126">
        <f ca="1">OFFSET(RES!P$95,$E65,0)</f>
        <v>13.749893276099831</v>
      </c>
      <c r="N65" s="126">
        <f ca="1">OFFSET(RES!Q$95,$E65,0)</f>
        <v>13.953226472735771</v>
      </c>
      <c r="O65" s="203">
        <f ca="1">OFFSET(RES!R$95,$E65,0)</f>
        <v>11.945582246716331</v>
      </c>
      <c r="P65" s="126">
        <f ca="1">OFFSET(RES!S$95,$E65,0)</f>
        <v>12.258464827745934</v>
      </c>
      <c r="Q65" s="126">
        <f ca="1">OFFSET(RES!T$95,$E65,0)</f>
        <v>12.698169052814752</v>
      </c>
      <c r="R65" s="126">
        <f ca="1">OFFSET(RES!U$95,$E65,0)</f>
        <v>13.19607638314549</v>
      </c>
      <c r="S65" s="126">
        <f ca="1">OFFSET(RES!V$95,$E65,0)</f>
        <v>13.741835081324881</v>
      </c>
      <c r="T65" s="203">
        <f ca="1">OFFSET(RES!W$95,$E65,0)</f>
        <v>14.258541278875674</v>
      </c>
      <c r="U65" s="126">
        <f ca="1">OFFSET(RES!X$95,$E65,0)</f>
        <v>14.877009928406276</v>
      </c>
      <c r="V65" s="126">
        <f ca="1">OFFSET(RES!Y$95,$E65,0)</f>
        <v>15.491816390566541</v>
      </c>
      <c r="W65" s="126">
        <f ca="1">OFFSET(RES!Z$95,$E65,0)</f>
        <v>16.101056467976463</v>
      </c>
      <c r="X65" s="126">
        <f ca="1">OFFSET(RES!AA$95,$E65,0)</f>
        <v>16.658889008820704</v>
      </c>
      <c r="Y65" s="205">
        <f ca="1">OFFSET(RES!AB$95,$E65,0)</f>
        <v>17.056588795945668</v>
      </c>
      <c r="Z65" s="126">
        <f ca="1">OFFSET(RES!AC$95,$E65,0)</f>
        <v>17.616106294076044</v>
      </c>
      <c r="AA65" s="126">
        <f ca="1">OFFSET(RES!AD$95,$E65,0)</f>
        <v>18.161311485345212</v>
      </c>
      <c r="AB65" s="126">
        <f ca="1">OFFSET(RES!AE$95,$E65,0)</f>
        <v>18.707755578102567</v>
      </c>
      <c r="AC65" s="126">
        <f ca="1">OFFSET(RES!AF$95,$E65,0)</f>
        <v>19.19466191624058</v>
      </c>
      <c r="AD65" s="126">
        <f ca="1">OFFSET(RES!AG$95,$E65,0)</f>
        <v>19.674356803174671</v>
      </c>
      <c r="AE65" s="126">
        <f ca="1">OFFSET(RES!AH$95,$E65,0)</f>
        <v>20.215804018362203</v>
      </c>
      <c r="AF65" s="126">
        <f ca="1">OFFSET(RES!AI$95,$E65,0)</f>
        <v>20.755803520689575</v>
      </c>
      <c r="AG65" s="126">
        <f ca="1">OFFSET(RES!AJ$95,$E65,0)</f>
        <v>21.261554683848679</v>
      </c>
      <c r="AH65" s="126">
        <f ca="1">OFFSET(RES!AK$95,$E65,0)</f>
        <v>21.766248300975032</v>
      </c>
      <c r="AI65" s="126">
        <f ca="1">OFFSET(RES!AL$95,$E65,0)</f>
        <v>22.283542151491257</v>
      </c>
      <c r="AJ65" s="126">
        <f ca="1">OFFSET(RES!AM$95,$E65,0)</f>
        <v>25.028546040280478</v>
      </c>
      <c r="AK65" s="126">
        <f ca="1">OFFSET(RES!AN$95,$E65,0)</f>
        <v>27.45151087129565</v>
      </c>
      <c r="AL65" s="126">
        <f ca="1">OFFSET(RES!AO$95,$E65,0)</f>
        <v>27.45151087129565</v>
      </c>
      <c r="AM65" s="126">
        <f ca="1">OFFSET(RES!AP$95,$E65,0)</f>
        <v>27.45151087129565</v>
      </c>
    </row>
    <row r="66" spans="1:39">
      <c r="A66" s="35" t="s">
        <v>366</v>
      </c>
      <c r="B66">
        <v>4.337948126733</v>
      </c>
      <c r="E66" s="129">
        <f>MATCH(F66,RES!$D$96:$D$134,0)</f>
        <v>31</v>
      </c>
      <c r="F66" s="4" t="str">
        <f t="shared" si="0"/>
        <v>RHER</v>
      </c>
      <c r="G66" s="126">
        <f ca="1">OFFSET(RES!J$95,$E66,0)</f>
        <v>5.2230494700907748</v>
      </c>
      <c r="H66" s="126">
        <f ca="1">OFFSET(RES!K$95,$E66,0)</f>
        <v>5.3632755096927909</v>
      </c>
      <c r="I66" s="126">
        <f ca="1">OFFSET(RES!L$95,$E66,0)</f>
        <v>5.5035015492948061</v>
      </c>
      <c r="J66" s="126">
        <f ca="1">OFFSET(RES!M$95,$E66,0)</f>
        <v>5.6437275888968221</v>
      </c>
      <c r="K66" s="126">
        <f ca="1">OFFSET(RES!N$95,$E66,0)</f>
        <v>5.7839536284988373</v>
      </c>
      <c r="L66" s="126">
        <f ca="1">OFFSET(RES!O$95,$E66,0)</f>
        <v>5.9241796681008534</v>
      </c>
      <c r="M66" s="126">
        <f ca="1">OFFSET(RES!P$95,$E66,0)</f>
        <v>6.1431800046312306</v>
      </c>
      <c r="N66" s="126">
        <f ca="1">OFFSET(RES!Q$95,$E66,0)</f>
        <v>6.2340252499556339</v>
      </c>
      <c r="O66" s="203">
        <f ca="1">OFFSET(RES!R$95,$E66,0)</f>
        <v>5.3370495703600813</v>
      </c>
      <c r="P66" s="126">
        <f ca="1">OFFSET(RES!S$95,$E66,0)</f>
        <v>5.4768393110498854</v>
      </c>
      <c r="Q66" s="126">
        <f ca="1">OFFSET(RES!T$95,$E66,0)</f>
        <v>5.6732904506445356</v>
      </c>
      <c r="R66" s="126">
        <f ca="1">OFFSET(RES!U$95,$E66,0)</f>
        <v>5.8957455849810199</v>
      </c>
      <c r="S66" s="126">
        <f ca="1">OFFSET(RES!V$95,$E66,0)</f>
        <v>6.1395797627951048</v>
      </c>
      <c r="T66" s="203">
        <f ca="1">OFFSET(RES!W$95,$E66,0)</f>
        <v>6.3704338587014719</v>
      </c>
      <c r="U66" s="126">
        <f ca="1">OFFSET(RES!X$95,$E66,0)</f>
        <v>6.646753402787807</v>
      </c>
      <c r="V66" s="126">
        <f ca="1">OFFSET(RES!Y$95,$E66,0)</f>
        <v>6.9214367540852306</v>
      </c>
      <c r="W66" s="126">
        <f ca="1">OFFSET(RES!Z$95,$E66,0)</f>
        <v>7.1936331549162222</v>
      </c>
      <c r="X66" s="126">
        <f ca="1">OFFSET(RES!AA$95,$E66,0)</f>
        <v>7.442861686515343</v>
      </c>
      <c r="Y66" s="205">
        <f ca="1">OFFSET(RES!AB$95,$E66,0)</f>
        <v>7.6205460751177521</v>
      </c>
      <c r="Z66" s="126">
        <f ca="1">OFFSET(RES!AC$95,$E66,0)</f>
        <v>7.8705274122624127</v>
      </c>
      <c r="AA66" s="126">
        <f ca="1">OFFSET(RES!AD$95,$E66,0)</f>
        <v>8.1141142941509923</v>
      </c>
      <c r="AB66" s="126">
        <f ca="1">OFFSET(RES!AE$95,$E66,0)</f>
        <v>8.3582546926885453</v>
      </c>
      <c r="AC66" s="126">
        <f ca="1">OFFSET(RES!AF$95,$E66,0)</f>
        <v>8.5757948015835641</v>
      </c>
      <c r="AD66" s="126">
        <f ca="1">OFFSET(RES!AG$95,$E66,0)</f>
        <v>8.7901129769005735</v>
      </c>
      <c r="AE66" s="126">
        <f ca="1">OFFSET(RES!AH$95,$E66,0)</f>
        <v>9.0320208695010891</v>
      </c>
      <c r="AF66" s="126">
        <f ca="1">OFFSET(RES!AI$95,$E66,0)</f>
        <v>9.2732819526670589</v>
      </c>
      <c r="AG66" s="126">
        <f ca="1">OFFSET(RES!AJ$95,$E66,0)</f>
        <v>9.4992415561672896</v>
      </c>
      <c r="AH66" s="126">
        <f ca="1">OFFSET(RES!AK$95,$E66,0)</f>
        <v>9.724728669044362</v>
      </c>
      <c r="AI66" s="126">
        <f ca="1">OFFSET(RES!AL$95,$E66,0)</f>
        <v>9.9558453166574523</v>
      </c>
      <c r="AJ66" s="126">
        <f ca="1">OFFSET(RES!AM$95,$E66,0)</f>
        <v>11.182258690465698</v>
      </c>
      <c r="AK66" s="126">
        <f ca="1">OFFSET(RES!AN$95,$E66,0)</f>
        <v>12.264791391115077</v>
      </c>
      <c r="AL66" s="126">
        <f ca="1">OFFSET(RES!AO$95,$E66,0)</f>
        <v>12.264791391115077</v>
      </c>
      <c r="AM66" s="126">
        <f ca="1">OFFSET(RES!AP$95,$E66,0)</f>
        <v>12.264791391115077</v>
      </c>
    </row>
    <row r="67" spans="1:39">
      <c r="A67" s="35" t="s">
        <v>521</v>
      </c>
      <c r="B67">
        <v>25.581294669590001</v>
      </c>
      <c r="E67" s="129">
        <f>MATCH(F67,RES!$D$96:$D$134,0)</f>
        <v>29</v>
      </c>
      <c r="F67" s="4" t="str">
        <f t="shared" si="0"/>
        <v>RHEWG</v>
      </c>
      <c r="G67" s="126">
        <f ca="1">OFFSET(RES!J$95,$E67,0)</f>
        <v>31.741961474336566</v>
      </c>
      <c r="H67" s="126">
        <f ca="1">OFFSET(RES!K$95,$E67,0)</f>
        <v>32.218961379660456</v>
      </c>
      <c r="I67" s="126">
        <f ca="1">OFFSET(RES!L$95,$E67,0)</f>
        <v>32.695961284984342</v>
      </c>
      <c r="J67" s="126">
        <f ca="1">OFFSET(RES!M$95,$E67,0)</f>
        <v>33.172961190308229</v>
      </c>
      <c r="K67" s="126">
        <f ca="1">OFFSET(RES!N$95,$E67,0)</f>
        <v>33.649961095632122</v>
      </c>
      <c r="L67" s="126">
        <f ca="1">OFFSET(RES!O$95,$E67,0)</f>
        <v>34.126961000956008</v>
      </c>
      <c r="M67" s="126">
        <f ca="1">OFFSET(RES!P$95,$E67,0)</f>
        <v>35.388539204637389</v>
      </c>
      <c r="N67" s="126">
        <f ca="1">OFFSET(RES!Q$95,$E67,0)</f>
        <v>35.911864342968663</v>
      </c>
      <c r="O67" s="203">
        <f ca="1">OFFSET(RES!R$95,$E67,0)</f>
        <v>30.744726316890429</v>
      </c>
      <c r="P67" s="126">
        <f ca="1">OFFSET(RES!S$95,$E67,0)</f>
        <v>31.711653395032034</v>
      </c>
      <c r="Q67" s="126">
        <f ca="1">OFFSET(RES!T$95,$E67,0)</f>
        <v>33.016582060783271</v>
      </c>
      <c r="R67" s="126">
        <f ca="1">OFFSET(RES!U$95,$E67,0)</f>
        <v>34.485209146866559</v>
      </c>
      <c r="S67" s="126">
        <f ca="1">OFFSET(RES!V$95,$E67,0)</f>
        <v>36.092648583032144</v>
      </c>
      <c r="T67" s="203">
        <f ca="1">OFFSET(RES!W$95,$E67,0)</f>
        <v>37.637792842954831</v>
      </c>
      <c r="U67" s="126">
        <f ca="1">OFFSET(RES!X$95,$E67,0)</f>
        <v>39.732347823418209</v>
      </c>
      <c r="V67" s="126">
        <f ca="1">OFFSET(RES!Y$95,$E67,0)</f>
        <v>41.855421356277539</v>
      </c>
      <c r="W67" s="126">
        <f ca="1">OFFSET(RES!Z$95,$E67,0)</f>
        <v>44.001468405068103</v>
      </c>
      <c r="X67" s="126">
        <f ca="1">OFFSET(RES!AA$95,$E67,0)</f>
        <v>46.043270659989204</v>
      </c>
      <c r="Y67" s="205">
        <f ca="1">OFFSET(RES!AB$95,$E67,0)</f>
        <v>47.672158193623467</v>
      </c>
      <c r="Z67" s="126">
        <f ca="1">OFFSET(RES!AC$95,$E67,0)</f>
        <v>49.673629676468515</v>
      </c>
      <c r="AA67" s="126">
        <f ca="1">OFFSET(RES!AD$95,$E67,0)</f>
        <v>51.662189174685643</v>
      </c>
      <c r="AB67" s="126">
        <f ca="1">OFFSET(RES!AE$95,$E67,0)</f>
        <v>53.681393734545672</v>
      </c>
      <c r="AC67" s="126">
        <f ca="1">OFFSET(RES!AF$95,$E67,0)</f>
        <v>55.555428808280006</v>
      </c>
      <c r="AD67" s="126">
        <f ca="1">OFFSET(RES!AG$95,$E67,0)</f>
        <v>57.432605821939468</v>
      </c>
      <c r="AE67" s="126">
        <f ca="1">OFFSET(RES!AH$95,$E67,0)</f>
        <v>59.515416966917918</v>
      </c>
      <c r="AF67" s="126">
        <f ca="1">OFFSET(RES!AI$95,$E67,0)</f>
        <v>61.620833413880192</v>
      </c>
      <c r="AG67" s="126">
        <f ca="1">OFFSET(RES!AJ$95,$E67,0)</f>
        <v>63.650552280233178</v>
      </c>
      <c r="AH67" s="126">
        <f ca="1">OFFSET(RES!AK$95,$E67,0)</f>
        <v>65.70220858786314</v>
      </c>
      <c r="AI67" s="126">
        <f ca="1">OFFSET(RES!AL$95,$E67,0)</f>
        <v>67.817289330470942</v>
      </c>
      <c r="AJ67" s="126">
        <f ca="1">OFFSET(RES!AM$95,$E67,0)</f>
        <v>76.948638588243313</v>
      </c>
      <c r="AK67" s="126">
        <f ca="1">OFFSET(RES!AN$95,$E67,0)</f>
        <v>85.250390435073456</v>
      </c>
      <c r="AL67" s="126">
        <f ca="1">OFFSET(RES!AO$95,$E67,0)</f>
        <v>85.250390435073456</v>
      </c>
      <c r="AM67" s="126">
        <f ca="1">OFFSET(RES!AP$95,$E67,0)</f>
        <v>85.250390435073456</v>
      </c>
    </row>
    <row r="68" spans="1:39">
      <c r="A68" s="35" t="s">
        <v>367</v>
      </c>
      <c r="B68">
        <v>14.738241842140001</v>
      </c>
      <c r="E68" s="129">
        <f>MATCH(F68,RES!$D$96:$D$134,0)</f>
        <v>7</v>
      </c>
      <c r="F68" s="4" t="str">
        <f t="shared" si="0"/>
        <v>RLEH</v>
      </c>
      <c r="G68" s="126">
        <f ca="1">OFFSET(RES!J$95,$E68,0)</f>
        <v>14.6766565883431</v>
      </c>
      <c r="H68" s="126">
        <f ca="1">OFFSET(RES!K$95,$E68,0)</f>
        <v>14.06071286343999</v>
      </c>
      <c r="I68" s="126">
        <f ca="1">OFFSET(RES!L$95,$E68,0)</f>
        <v>13.444769138536881</v>
      </c>
      <c r="J68" s="126">
        <f ca="1">OFFSET(RES!M$95,$E68,0)</f>
        <v>12.828825413633773</v>
      </c>
      <c r="K68" s="126">
        <f ca="1">OFFSET(RES!N$95,$E68,0)</f>
        <v>12.212881688730663</v>
      </c>
      <c r="L68" s="126">
        <f ca="1">OFFSET(RES!O$95,$E68,0)</f>
        <v>11.596937963827553</v>
      </c>
      <c r="M68" s="126">
        <f ca="1">OFFSET(RES!P$95,$E68,0)</f>
        <v>11.574729540883233</v>
      </c>
      <c r="N68" s="126">
        <f ca="1">OFFSET(RES!Q$95,$E68,0)</f>
        <v>11.683096844035036</v>
      </c>
      <c r="O68" s="203">
        <f ca="1">OFFSET(RES!R$95,$E68,0)</f>
        <v>12.156583663250711</v>
      </c>
      <c r="P68" s="126">
        <f ca="1">OFFSET(RES!S$95,$E68,0)</f>
        <v>13.187196775000475</v>
      </c>
      <c r="Q68" s="126">
        <f ca="1">OFFSET(RES!T$95,$E68,0)</f>
        <v>13.167107350652484</v>
      </c>
      <c r="R68" s="126">
        <f ca="1">OFFSET(RES!U$95,$E68,0)</f>
        <v>13.111911513572245</v>
      </c>
      <c r="S68" s="126">
        <f ca="1">OFFSET(RES!V$95,$E68,0)</f>
        <v>13.019601735405013</v>
      </c>
      <c r="T68" s="203">
        <f ca="1">OFFSET(RES!W$95,$E68,0)</f>
        <v>12.924473568193823</v>
      </c>
      <c r="U68" s="126">
        <f ca="1">OFFSET(RES!X$95,$E68,0)</f>
        <v>12.802537541200557</v>
      </c>
      <c r="V68" s="126">
        <f ca="1">OFFSET(RES!Y$95,$E68,0)</f>
        <v>12.649616757400606</v>
      </c>
      <c r="W68" s="126">
        <f ca="1">OFFSET(RES!Z$95,$E68,0)</f>
        <v>12.495571188388116</v>
      </c>
      <c r="X68" s="126">
        <f ca="1">OFFSET(RES!AA$95,$E68,0)</f>
        <v>12.358192580548739</v>
      </c>
      <c r="Y68" s="205">
        <f ca="1">OFFSET(RES!AB$95,$E68,0)</f>
        <v>12.278118323455077</v>
      </c>
      <c r="Z68" s="126">
        <f ca="1">OFFSET(RES!AC$95,$E68,0)</f>
        <v>12.180505515218833</v>
      </c>
      <c r="AA68" s="126">
        <f ca="1">OFFSET(RES!AD$95,$E68,0)</f>
        <v>12.040390392994471</v>
      </c>
      <c r="AB68" s="126">
        <f ca="1">OFFSET(RES!AE$95,$E68,0)</f>
        <v>11.90334810809455</v>
      </c>
      <c r="AC68" s="126">
        <f ca="1">OFFSET(RES!AF$95,$E68,0)</f>
        <v>11.781890287151597</v>
      </c>
      <c r="AD68" s="126">
        <f ca="1">OFFSET(RES!AG$95,$E68,0)</f>
        <v>11.670449895862784</v>
      </c>
      <c r="AE68" s="126">
        <f ca="1">OFFSET(RES!AH$95,$E68,0)</f>
        <v>11.538044276442596</v>
      </c>
      <c r="AF68" s="126">
        <f ca="1">OFFSET(RES!AI$95,$E68,0)</f>
        <v>11.389238797909822</v>
      </c>
      <c r="AG68" s="126">
        <f ca="1">OFFSET(RES!AJ$95,$E68,0)</f>
        <v>11.249337947668653</v>
      </c>
      <c r="AH68" s="126">
        <f ca="1">OFFSET(RES!AK$95,$E68,0)</f>
        <v>11.113324472555446</v>
      </c>
      <c r="AI68" s="126">
        <f ca="1">OFFSET(RES!AL$95,$E68,0)</f>
        <v>10.970284356059416</v>
      </c>
      <c r="AJ68" s="126">
        <f ca="1">OFFSET(RES!AM$95,$E68,0)</f>
        <v>10.118314874206119</v>
      </c>
      <c r="AK68" s="126">
        <f ca="1">OFFSET(RES!AN$95,$E68,0)</f>
        <v>9.3256488762356078</v>
      </c>
      <c r="AL68" s="126">
        <f ca="1">OFFSET(RES!AO$95,$E68,0)</f>
        <v>9.3256488762356078</v>
      </c>
      <c r="AM68" s="126">
        <f ca="1">OFFSET(RES!AP$95,$E68,0)</f>
        <v>9.3256488762356078</v>
      </c>
    </row>
    <row r="69" spans="1:39">
      <c r="A69" s="35" t="s">
        <v>368</v>
      </c>
      <c r="B69">
        <v>8.0953817121640004</v>
      </c>
      <c r="E69" s="129">
        <f>MATCH(F69,RES!$D$96:$D$134,0)</f>
        <v>6</v>
      </c>
      <c r="F69" s="4" t="str">
        <f t="shared" ref="F69:F131" si="1">A69</f>
        <v>RLEK</v>
      </c>
      <c r="G69" s="126">
        <f ca="1">OFFSET(RES!J$95,$E69,0)</f>
        <v>10.057139730159809</v>
      </c>
      <c r="H69" s="126">
        <f ca="1">OFFSET(RES!K$95,$E69,0)</f>
        <v>10.611604337611492</v>
      </c>
      <c r="I69" s="126">
        <f ca="1">OFFSET(RES!L$95,$E69,0)</f>
        <v>11.166068945063177</v>
      </c>
      <c r="J69" s="126">
        <f ca="1">OFFSET(RES!M$95,$E69,0)</f>
        <v>11.72053355251486</v>
      </c>
      <c r="K69" s="126">
        <f ca="1">OFFSET(RES!N$95,$E69,0)</f>
        <v>12.274998159966543</v>
      </c>
      <c r="L69" s="126">
        <f ca="1">OFFSET(RES!O$95,$E69,0)</f>
        <v>12.829462767418228</v>
      </c>
      <c r="M69" s="126">
        <f ca="1">OFFSET(RES!P$95,$E69,0)</f>
        <v>12.804894028999867</v>
      </c>
      <c r="N69" s="126">
        <f ca="1">OFFSET(RES!Q$95,$E69,0)</f>
        <v>12.92477863003232</v>
      </c>
      <c r="O69" s="203">
        <f ca="1">OFFSET(RES!R$95,$E69,0)</f>
        <v>13.448587719719463</v>
      </c>
      <c r="P69" s="126">
        <f ca="1">OFFSET(RES!S$95,$E69,0)</f>
        <v>14.588734591768665</v>
      </c>
      <c r="Q69" s="126">
        <f ca="1">OFFSET(RES!T$95,$E69,0)</f>
        <v>14.566510059526161</v>
      </c>
      <c r="R69" s="126">
        <f ca="1">OFFSET(RES!U$95,$E69,0)</f>
        <v>14.505447998234967</v>
      </c>
      <c r="S69" s="126">
        <f ca="1">OFFSET(RES!V$95,$E69,0)</f>
        <v>14.403327519039587</v>
      </c>
      <c r="T69" s="203">
        <f ca="1">OFFSET(RES!W$95,$E69,0)</f>
        <v>14.298089111869055</v>
      </c>
      <c r="U69" s="126">
        <f ca="1">OFFSET(RES!X$95,$E69,0)</f>
        <v>14.163193700408158</v>
      </c>
      <c r="V69" s="126">
        <f ca="1">OFFSET(RES!Y$95,$E69,0)</f>
        <v>13.99402046621088</v>
      </c>
      <c r="W69" s="126">
        <f ca="1">OFFSET(RES!Z$95,$E69,0)</f>
        <v>13.823602904411729</v>
      </c>
      <c r="X69" s="126">
        <f ca="1">OFFSET(RES!AA$95,$E69,0)</f>
        <v>13.671623671633862</v>
      </c>
      <c r="Y69" s="205">
        <f ca="1">OFFSET(RES!AB$95,$E69,0)</f>
        <v>13.583039107051716</v>
      </c>
      <c r="Z69" s="126">
        <f ca="1">OFFSET(RES!AC$95,$E69,0)</f>
        <v>13.475051990728753</v>
      </c>
      <c r="AA69" s="126">
        <f ca="1">OFFSET(RES!AD$95,$E69,0)</f>
        <v>13.32004540628925</v>
      </c>
      <c r="AB69" s="126">
        <f ca="1">OFFSET(RES!AE$95,$E69,0)</f>
        <v>13.168438240917713</v>
      </c>
      <c r="AC69" s="126">
        <f ca="1">OFFSET(RES!AF$95,$E69,0)</f>
        <v>13.034071859338393</v>
      </c>
      <c r="AD69" s="126">
        <f ca="1">OFFSET(RES!AG$95,$E69,0)</f>
        <v>12.910787561768997</v>
      </c>
      <c r="AE69" s="126">
        <f ca="1">OFFSET(RES!AH$95,$E69,0)</f>
        <v>12.764309847578689</v>
      </c>
      <c r="AF69" s="126">
        <f ca="1">OFFSET(RES!AI$95,$E69,0)</f>
        <v>12.599689294086138</v>
      </c>
      <c r="AG69" s="126">
        <f ca="1">OFFSET(RES!AJ$95,$E69,0)</f>
        <v>12.444919754497532</v>
      </c>
      <c r="AH69" s="126">
        <f ca="1">OFFSET(RES!AK$95,$E69,0)</f>
        <v>12.294450741015275</v>
      </c>
      <c r="AI69" s="126">
        <f ca="1">OFFSET(RES!AL$95,$E69,0)</f>
        <v>12.136208293348746</v>
      </c>
      <c r="AJ69" s="126">
        <f ca="1">OFFSET(RES!AM$95,$E69,0)</f>
        <v>11.193691330637845</v>
      </c>
      <c r="AK69" s="126">
        <f ca="1">OFFSET(RES!AN$95,$E69,0)</f>
        <v>10.316780637515137</v>
      </c>
      <c r="AL69" s="126">
        <f ca="1">OFFSET(RES!AO$95,$E69,0)</f>
        <v>10.316780637515137</v>
      </c>
      <c r="AM69" s="126">
        <f ca="1">OFFSET(RES!AP$95,$E69,0)</f>
        <v>10.316780637515137</v>
      </c>
    </row>
    <row r="70" spans="1:39">
      <c r="A70" s="35" t="s">
        <v>369</v>
      </c>
      <c r="B70">
        <v>8.4652619723960001</v>
      </c>
      <c r="E70" s="129">
        <f>MATCH(F70,RES!$D$96:$D$134,0)</f>
        <v>4</v>
      </c>
      <c r="F70" s="4" t="str">
        <f t="shared" si="1"/>
        <v>RLEL</v>
      </c>
      <c r="G70" s="126">
        <f ca="1">OFFSET(RES!J$95,$E70,0)</f>
        <v>10.675871970797223</v>
      </c>
      <c r="H70" s="126">
        <f ca="1">OFFSET(RES!K$95,$E70,0)</f>
        <v>12.571540561475462</v>
      </c>
      <c r="I70" s="126">
        <f ca="1">OFFSET(RES!L$95,$E70,0)</f>
        <v>14.467209152153703</v>
      </c>
      <c r="J70" s="126">
        <f ca="1">OFFSET(RES!M$95,$E70,0)</f>
        <v>16.362877742831945</v>
      </c>
      <c r="K70" s="126">
        <f ca="1">OFFSET(RES!N$95,$E70,0)</f>
        <v>18.258546333510182</v>
      </c>
      <c r="L70" s="126">
        <f ca="1">OFFSET(RES!O$95,$E70,0)</f>
        <v>20.154214924188423</v>
      </c>
      <c r="M70" s="126">
        <f ca="1">OFFSET(RES!P$95,$E70,0)</f>
        <v>20.115619104279475</v>
      </c>
      <c r="N70" s="126">
        <f ca="1">OFFSET(RES!Q$95,$E70,0)</f>
        <v>20.303949672683693</v>
      </c>
      <c r="O70" s="203">
        <f ca="1">OFFSET(RES!R$95,$E70,0)</f>
        <v>21.126818187459595</v>
      </c>
      <c r="P70" s="126">
        <f ca="1">OFFSET(RES!S$95,$E70,0)</f>
        <v>22.917911510773006</v>
      </c>
      <c r="Q70" s="126">
        <f ca="1">OFFSET(RES!T$95,$E70,0)</f>
        <v>22.882998279601509</v>
      </c>
      <c r="R70" s="126">
        <f ca="1">OFFSET(RES!U$95,$E70,0)</f>
        <v>22.787073927250443</v>
      </c>
      <c r="S70" s="126">
        <f ca="1">OFFSET(RES!V$95,$E70,0)</f>
        <v>22.626649588119761</v>
      </c>
      <c r="T70" s="203">
        <f ca="1">OFFSET(RES!W$95,$E70,0)</f>
        <v>22.461327195838408</v>
      </c>
      <c r="U70" s="126">
        <f ca="1">OFFSET(RES!X$95,$E70,0)</f>
        <v>22.249415663441727</v>
      </c>
      <c r="V70" s="126">
        <f ca="1">OFFSET(RES!Y$95,$E70,0)</f>
        <v>21.983655998891244</v>
      </c>
      <c r="W70" s="126">
        <f ca="1">OFFSET(RES!Z$95,$E70,0)</f>
        <v>21.715941580164461</v>
      </c>
      <c r="X70" s="126">
        <f ca="1">OFFSET(RES!AA$95,$E70,0)</f>
        <v>21.477192524420889</v>
      </c>
      <c r="Y70" s="205">
        <f ca="1">OFFSET(RES!AB$95,$E70,0)</f>
        <v>21.338032188098133</v>
      </c>
      <c r="Z70" s="126">
        <f ca="1">OFFSET(RES!AC$95,$E70,0)</f>
        <v>21.168391760367712</v>
      </c>
      <c r="AA70" s="126">
        <f ca="1">OFFSET(RES!AD$95,$E70,0)</f>
        <v>20.924886940712135</v>
      </c>
      <c r="AB70" s="126">
        <f ca="1">OFFSET(RES!AE$95,$E70,0)</f>
        <v>20.686722377601608</v>
      </c>
      <c r="AC70" s="126">
        <f ca="1">OFFSET(RES!AF$95,$E70,0)</f>
        <v>20.475641915229289</v>
      </c>
      <c r="AD70" s="126">
        <f ca="1">OFFSET(RES!AG$95,$E70,0)</f>
        <v>20.281970654395099</v>
      </c>
      <c r="AE70" s="126">
        <f ca="1">OFFSET(RES!AH$95,$E70,0)</f>
        <v>20.05186411081538</v>
      </c>
      <c r="AF70" s="126">
        <f ca="1">OFFSET(RES!AI$95,$E70,0)</f>
        <v>19.793256398538166</v>
      </c>
      <c r="AG70" s="126">
        <f ca="1">OFFSET(RES!AJ$95,$E70,0)</f>
        <v>19.550123960248687</v>
      </c>
      <c r="AH70" s="126">
        <f ca="1">OFFSET(RES!AK$95,$E70,0)</f>
        <v>19.313747356478999</v>
      </c>
      <c r="AI70" s="126">
        <f ca="1">OFFSET(RES!AL$95,$E70,0)</f>
        <v>19.065159215399518</v>
      </c>
      <c r="AJ70" s="126">
        <f ca="1">OFFSET(RES!AM$95,$E70,0)</f>
        <v>17.584529061157181</v>
      </c>
      <c r="AK70" s="126">
        <f ca="1">OFFSET(RES!AN$95,$E70,0)</f>
        <v>16.206961901961886</v>
      </c>
      <c r="AL70" s="126">
        <f ca="1">OFFSET(RES!AO$95,$E70,0)</f>
        <v>16.206961901961886</v>
      </c>
      <c r="AM70" s="126">
        <f ca="1">OFFSET(RES!AP$95,$E70,0)</f>
        <v>16.206961901961886</v>
      </c>
    </row>
    <row r="71" spans="1:39">
      <c r="A71" s="35" t="s">
        <v>370</v>
      </c>
      <c r="B71">
        <v>1.2001829018570001</v>
      </c>
      <c r="E71" s="129">
        <f>MATCH(F71,RES!$D$96:$D$134,0)</f>
        <v>11</v>
      </c>
      <c r="F71" s="4" t="str">
        <f t="shared" si="1"/>
        <v>RLEO</v>
      </c>
      <c r="G71" s="126">
        <f ca="1">OFFSET(RES!J$95,$E71,0)</f>
        <v>1.9876880086386437</v>
      </c>
      <c r="H71" s="126">
        <f ca="1">OFFSET(RES!K$95,$E71,0)</f>
        <v>2.1471472243624685</v>
      </c>
      <c r="I71" s="126">
        <f ca="1">OFFSET(RES!L$95,$E71,0)</f>
        <v>2.3066064400862931</v>
      </c>
      <c r="J71" s="126">
        <f ca="1">OFFSET(RES!M$95,$E71,0)</f>
        <v>2.4660656558101177</v>
      </c>
      <c r="K71" s="126">
        <f ca="1">OFFSET(RES!N$95,$E71,0)</f>
        <v>2.6255248715339423</v>
      </c>
      <c r="L71" s="126">
        <f ca="1">OFFSET(RES!O$95,$E71,0)</f>
        <v>2.7849840872577669</v>
      </c>
      <c r="M71" s="126">
        <f ca="1">OFFSET(RES!P$95,$E71,0)</f>
        <v>2.7796507738697032</v>
      </c>
      <c r="N71" s="126">
        <f ca="1">OFFSET(RES!Q$95,$E71,0)</f>
        <v>2.8056749895547544</v>
      </c>
      <c r="O71" s="203">
        <f ca="1">OFFSET(RES!R$95,$E71,0)</f>
        <v>2.9193820095590874</v>
      </c>
      <c r="P71" s="126">
        <f ca="1">OFFSET(RES!S$95,$E71,0)</f>
        <v>3.1668819207679753</v>
      </c>
      <c r="Q71" s="126">
        <f ca="1">OFFSET(RES!T$95,$E71,0)</f>
        <v>3.1620574811352178</v>
      </c>
      <c r="R71" s="126">
        <f ca="1">OFFSET(RES!U$95,$E71,0)</f>
        <v>3.1488022987387256</v>
      </c>
      <c r="S71" s="126">
        <f ca="1">OFFSET(RES!V$95,$E71,0)</f>
        <v>3.1266342692040405</v>
      </c>
      <c r="T71" s="203">
        <f ca="1">OFFSET(RES!W$95,$E71,0)</f>
        <v>3.103789408538276</v>
      </c>
      <c r="U71" s="126">
        <f ca="1">OFFSET(RES!X$95,$E71,0)</f>
        <v>3.0745066878840044</v>
      </c>
      <c r="V71" s="126">
        <f ca="1">OFFSET(RES!Y$95,$E71,0)</f>
        <v>3.0377830328276234</v>
      </c>
      <c r="W71" s="126">
        <f ca="1">OFFSET(RES!Z$95,$E71,0)</f>
        <v>3.0007892625970238</v>
      </c>
      <c r="X71" s="126">
        <f ca="1">OFFSET(RES!AA$95,$E71,0)</f>
        <v>2.9677980335367611</v>
      </c>
      <c r="Y71" s="205">
        <f ca="1">OFFSET(RES!AB$95,$E71,0)</f>
        <v>2.9485683426907445</v>
      </c>
      <c r="Z71" s="126">
        <f ca="1">OFFSET(RES!AC$95,$E71,0)</f>
        <v>2.9251267998888064</v>
      </c>
      <c r="AA71" s="126">
        <f ca="1">OFFSET(RES!AD$95,$E71,0)</f>
        <v>2.8914784017516282</v>
      </c>
      <c r="AB71" s="126">
        <f ca="1">OFFSET(RES!AE$95,$E71,0)</f>
        <v>2.8585679400488773</v>
      </c>
      <c r="AC71" s="126">
        <f ca="1">OFFSET(RES!AF$95,$E71,0)</f>
        <v>2.8294000597295899</v>
      </c>
      <c r="AD71" s="126">
        <f ca="1">OFFSET(RES!AG$95,$E71,0)</f>
        <v>2.8026378473779179</v>
      </c>
      <c r="AE71" s="126">
        <f ca="1">OFFSET(RES!AH$95,$E71,0)</f>
        <v>2.7708408726679634</v>
      </c>
      <c r="AF71" s="126">
        <f ca="1">OFFSET(RES!AI$95,$E71,0)</f>
        <v>2.7351055008738583</v>
      </c>
      <c r="AG71" s="126">
        <f ca="1">OFFSET(RES!AJ$95,$E71,0)</f>
        <v>2.7015085597734774</v>
      </c>
      <c r="AH71" s="126">
        <f ca="1">OFFSET(RES!AK$95,$E71,0)</f>
        <v>2.6688451649166258</v>
      </c>
      <c r="AI71" s="126">
        <f ca="1">OFFSET(RES!AL$95,$E71,0)</f>
        <v>2.6344943345919751</v>
      </c>
      <c r="AJ71" s="126">
        <f ca="1">OFFSET(RES!AM$95,$E71,0)</f>
        <v>2.429895374315433</v>
      </c>
      <c r="AK71" s="126">
        <f ca="1">OFFSET(RES!AN$95,$E71,0)</f>
        <v>2.2395380405309582</v>
      </c>
      <c r="AL71" s="126">
        <f ca="1">OFFSET(RES!AO$95,$E71,0)</f>
        <v>2.2395380405309582</v>
      </c>
      <c r="AM71" s="126">
        <f ca="1">OFFSET(RES!AP$95,$E71,0)</f>
        <v>2.2395380405309582</v>
      </c>
    </row>
    <row r="72" spans="1:39">
      <c r="A72" s="35" t="s">
        <v>371</v>
      </c>
      <c r="B72">
        <v>1.9088027674250001</v>
      </c>
      <c r="E72" s="129">
        <f>MATCH(F72,RES!$D$96:$D$134,0)</f>
        <v>10</v>
      </c>
      <c r="F72" s="4" t="str">
        <f t="shared" si="1"/>
        <v>RLER</v>
      </c>
      <c r="G72" s="126">
        <f ca="1">OFFSET(RES!J$95,$E72,0)</f>
        <v>1.4352211531349246</v>
      </c>
      <c r="H72" s="126">
        <f ca="1">OFFSET(RES!K$95,$E72,0)</f>
        <v>1.6892782081608682</v>
      </c>
      <c r="I72" s="126">
        <f ca="1">OFFSET(RES!L$95,$E72,0)</f>
        <v>1.9433352631868117</v>
      </c>
      <c r="J72" s="126">
        <f ca="1">OFFSET(RES!M$95,$E72,0)</f>
        <v>2.197392318212755</v>
      </c>
      <c r="K72" s="126">
        <f ca="1">OFFSET(RES!N$95,$E72,0)</f>
        <v>2.4514493732386988</v>
      </c>
      <c r="L72" s="126">
        <f ca="1">OFFSET(RES!O$95,$E72,0)</f>
        <v>2.7055064282646422</v>
      </c>
      <c r="M72" s="126">
        <f ca="1">OFFSET(RES!P$95,$E72,0)</f>
        <v>2.7003253165586991</v>
      </c>
      <c r="N72" s="126">
        <f ca="1">OFFSET(RES!Q$95,$E72,0)</f>
        <v>2.7256068552032446</v>
      </c>
      <c r="O72" s="203">
        <f ca="1">OFFSET(RES!R$95,$E72,0)</f>
        <v>2.8360689131259713</v>
      </c>
      <c r="P72" s="126">
        <f ca="1">OFFSET(RES!S$95,$E72,0)</f>
        <v>3.0765056911435824</v>
      </c>
      <c r="Q72" s="126">
        <f ca="1">OFFSET(RES!T$95,$E72,0)</f>
        <v>3.0718189309933468</v>
      </c>
      <c r="R72" s="126">
        <f ca="1">OFFSET(RES!U$95,$E72,0)</f>
        <v>3.0589420239597986</v>
      </c>
      <c r="S72" s="126">
        <f ca="1">OFFSET(RES!V$95,$E72,0)</f>
        <v>3.0374066239255724</v>
      </c>
      <c r="T72" s="203">
        <f ca="1">OFFSET(RES!W$95,$E72,0)</f>
        <v>3.0152137081143748</v>
      </c>
      <c r="U72" s="126">
        <f ca="1">OFFSET(RES!X$95,$E72,0)</f>
        <v>2.9867666554616545</v>
      </c>
      <c r="V72" s="126">
        <f ca="1">OFFSET(RES!Y$95,$E72,0)</f>
        <v>2.9510910172133071</v>
      </c>
      <c r="W72" s="126">
        <f ca="1">OFFSET(RES!Z$95,$E72,0)</f>
        <v>2.9151529723165468</v>
      </c>
      <c r="X72" s="126">
        <f ca="1">OFFSET(RES!AA$95,$E72,0)</f>
        <v>2.8831032443819145</v>
      </c>
      <c r="Y72" s="205">
        <f ca="1">OFFSET(RES!AB$95,$E72,0)</f>
        <v>2.8644223289556914</v>
      </c>
      <c r="Z72" s="126">
        <f ca="1">OFFSET(RES!AC$95,$E72,0)</f>
        <v>2.8416497590766543</v>
      </c>
      <c r="AA72" s="126">
        <f ca="1">OFFSET(RES!AD$95,$E72,0)</f>
        <v>2.8089616163050444</v>
      </c>
      <c r="AB72" s="126">
        <f ca="1">OFFSET(RES!AE$95,$E72,0)</f>
        <v>2.7769903507953648</v>
      </c>
      <c r="AC72" s="126">
        <f ca="1">OFFSET(RES!AF$95,$E72,0)</f>
        <v>2.7486548611730925</v>
      </c>
      <c r="AD72" s="126">
        <f ca="1">OFFSET(RES!AG$95,$E72,0)</f>
        <v>2.7226563867533242</v>
      </c>
      <c r="AE72" s="126">
        <f ca="1">OFFSET(RES!AH$95,$E72,0)</f>
        <v>2.691766831631357</v>
      </c>
      <c r="AF72" s="126">
        <f ca="1">OFFSET(RES!AI$95,$E72,0)</f>
        <v>2.6570512730945124</v>
      </c>
      <c r="AG72" s="126">
        <f ca="1">OFFSET(RES!AJ$95,$E72,0)</f>
        <v>2.6244131188827908</v>
      </c>
      <c r="AH72" s="126">
        <f ca="1">OFFSET(RES!AK$95,$E72,0)</f>
        <v>2.5926818694446037</v>
      </c>
      <c r="AI72" s="126">
        <f ca="1">OFFSET(RES!AL$95,$E72,0)</f>
        <v>2.5593113404405834</v>
      </c>
      <c r="AJ72" s="126">
        <f ca="1">OFFSET(RES!AM$95,$E72,0)</f>
        <v>2.3605512093586518</v>
      </c>
      <c r="AK72" s="126">
        <f ca="1">OFFSET(RES!AN$95,$E72,0)</f>
        <v>2.1756262783410669</v>
      </c>
      <c r="AL72" s="126">
        <f ca="1">OFFSET(RES!AO$95,$E72,0)</f>
        <v>2.1756262783410669</v>
      </c>
      <c r="AM72" s="126">
        <f ca="1">OFFSET(RES!AP$95,$E72,0)</f>
        <v>2.1756262783410669</v>
      </c>
    </row>
    <row r="73" spans="1:39">
      <c r="A73" s="35" t="s">
        <v>372</v>
      </c>
      <c r="B73">
        <v>7.6914136780069997</v>
      </c>
      <c r="E73" s="129">
        <f>MATCH(F73,RES!$D$96:$D$134,0)</f>
        <v>9</v>
      </c>
      <c r="F73" s="4" t="str">
        <f t="shared" si="1"/>
        <v>RLEW</v>
      </c>
      <c r="G73" s="126">
        <f ca="1">OFFSET(RES!J$95,$E73,0)</f>
        <v>5.6663373040102876</v>
      </c>
      <c r="H73" s="126">
        <f ca="1">OFFSET(RES!K$95,$E73,0)</f>
        <v>6.0182587332743145</v>
      </c>
      <c r="I73" s="126">
        <f ca="1">OFFSET(RES!L$95,$E73,0)</f>
        <v>6.3701801625383423</v>
      </c>
      <c r="J73" s="126">
        <f ca="1">OFFSET(RES!M$95,$E73,0)</f>
        <v>6.7221015918023692</v>
      </c>
      <c r="K73" s="126">
        <f ca="1">OFFSET(RES!N$95,$E73,0)</f>
        <v>7.074023021066397</v>
      </c>
      <c r="L73" s="126">
        <f ca="1">OFFSET(RES!O$95,$E73,0)</f>
        <v>7.4259444503304239</v>
      </c>
      <c r="M73" s="126">
        <f ca="1">OFFSET(RES!P$95,$E73,0)</f>
        <v>7.4117235830956094</v>
      </c>
      <c r="N73" s="126">
        <f ca="1">OFFSET(RES!Q$95,$E73,0)</f>
        <v>7.4811151393794724</v>
      </c>
      <c r="O73" s="203">
        <f ca="1">OFFSET(RES!R$95,$E73,0)</f>
        <v>7.7843061048245241</v>
      </c>
      <c r="P73" s="126">
        <f ca="1">OFFSET(RES!S$95,$E73,0)</f>
        <v>8.4442454561867155</v>
      </c>
      <c r="Q73" s="126">
        <f ca="1">OFFSET(RES!T$95,$E73,0)</f>
        <v>8.4313814614225286</v>
      </c>
      <c r="R73" s="126">
        <f ca="1">OFFSET(RES!U$95,$E73,0)</f>
        <v>8.3960375438017039</v>
      </c>
      <c r="S73" s="126">
        <f ca="1">OFFSET(RES!V$95,$E73,0)</f>
        <v>8.3369282093351131</v>
      </c>
      <c r="T73" s="203">
        <f ca="1">OFFSET(RES!W$95,$E73,0)</f>
        <v>8.2760141570589489</v>
      </c>
      <c r="U73" s="126">
        <f ca="1">OFFSET(RES!X$95,$E73,0)</f>
        <v>8.1979340495538189</v>
      </c>
      <c r="V73" s="126">
        <f ca="1">OFFSET(RES!Y$95,$E73,0)</f>
        <v>8.1000132665556297</v>
      </c>
      <c r="W73" s="126">
        <f ca="1">OFFSET(RES!Z$95,$E73,0)</f>
        <v>8.0013722423581743</v>
      </c>
      <c r="X73" s="126">
        <f ca="1">OFFSET(RES!AA$95,$E73,0)</f>
        <v>7.9134036843076805</v>
      </c>
      <c r="Y73" s="205">
        <f ca="1">OFFSET(RES!AB$95,$E73,0)</f>
        <v>7.8621292024630991</v>
      </c>
      <c r="Z73" s="126">
        <f ca="1">OFFSET(RES!AC$95,$E73,0)</f>
        <v>7.7996241434670033</v>
      </c>
      <c r="AA73" s="126">
        <f ca="1">OFFSET(RES!AD$95,$E73,0)</f>
        <v>7.7099032949520945</v>
      </c>
      <c r="AB73" s="126">
        <f ca="1">OFFSET(RES!AE$95,$E73,0)</f>
        <v>7.6221500968072551</v>
      </c>
      <c r="AC73" s="126">
        <f ca="1">OFFSET(RES!AF$95,$E73,0)</f>
        <v>7.5443762021642202</v>
      </c>
      <c r="AD73" s="126">
        <f ca="1">OFFSET(RES!AG$95,$E73,0)</f>
        <v>7.473016834905807</v>
      </c>
      <c r="AE73" s="126">
        <f ca="1">OFFSET(RES!AH$95,$E73,0)</f>
        <v>7.3882326636191475</v>
      </c>
      <c r="AF73" s="126">
        <f ca="1">OFFSET(RES!AI$95,$E73,0)</f>
        <v>7.2929470614251954</v>
      </c>
      <c r="AG73" s="126">
        <f ca="1">OFFSET(RES!AJ$95,$E73,0)</f>
        <v>7.2033634191150124</v>
      </c>
      <c r="AH73" s="126">
        <f ca="1">OFFSET(RES!AK$95,$E73,0)</f>
        <v>7.1162690055864157</v>
      </c>
      <c r="AI73" s="126">
        <f ca="1">OFFSET(RES!AL$95,$E73,0)</f>
        <v>7.0246751760271406</v>
      </c>
      <c r="AJ73" s="126">
        <f ca="1">OFFSET(RES!AM$95,$E73,0)</f>
        <v>6.4791278888593409</v>
      </c>
      <c r="AK73" s="126">
        <f ca="1">OFFSET(RES!AN$95,$E73,0)</f>
        <v>5.9715547961209898</v>
      </c>
      <c r="AL73" s="126">
        <f ca="1">OFFSET(RES!AO$95,$E73,0)</f>
        <v>5.9715547961209898</v>
      </c>
      <c r="AM73" s="126">
        <f ca="1">OFFSET(RES!AP$95,$E73,0)</f>
        <v>5.9715547961209898</v>
      </c>
    </row>
    <row r="74" spans="1:39">
      <c r="A74" s="35" t="s">
        <v>373</v>
      </c>
      <c r="B74">
        <v>0.1043575899953</v>
      </c>
      <c r="E74" s="129">
        <f>MATCH(F74,RES!$D$96:$D$134,0)</f>
        <v>5</v>
      </c>
      <c r="F74" s="4" t="str">
        <f t="shared" si="1"/>
        <v>RLNL</v>
      </c>
      <c r="G74" s="126">
        <f ca="1">OFFSET(RES!J$95,$E74,0)</f>
        <v>4.742986727829742E-2</v>
      </c>
      <c r="H74" s="126">
        <f ca="1">OFFSET(RES!K$95,$E74,0)</f>
        <v>4.5715902117421117E-2</v>
      </c>
      <c r="I74" s="126">
        <f ca="1">OFFSET(RES!L$95,$E74,0)</f>
        <v>4.4001936956544814E-2</v>
      </c>
      <c r="J74" s="126">
        <f ca="1">OFFSET(RES!M$95,$E74,0)</f>
        <v>4.2287971795668518E-2</v>
      </c>
      <c r="K74" s="126">
        <f ca="1">OFFSET(RES!N$95,$E74,0)</f>
        <v>4.0574006634792215E-2</v>
      </c>
      <c r="L74" s="126">
        <f ca="1">OFFSET(RES!O$95,$E74,0)</f>
        <v>3.8860041473915911E-2</v>
      </c>
      <c r="M74" s="126">
        <f ca="1">OFFSET(RES!P$95,$E74,0)</f>
        <v>3.8785623533647673E-2</v>
      </c>
      <c r="N74" s="126">
        <f ca="1">OFFSET(RES!Q$95,$E74,0)</f>
        <v>3.9148750240717303E-2</v>
      </c>
      <c r="O74" s="203">
        <f ca="1">OFFSET(RES!R$95,$E74,0)</f>
        <v>4.0735351590958625E-2</v>
      </c>
      <c r="P74" s="126">
        <f ca="1">OFFSET(RES!S$95,$E74,0)</f>
        <v>4.4188820807667187E-2</v>
      </c>
      <c r="Q74" s="126">
        <f ca="1">OFFSET(RES!T$95,$E74,0)</f>
        <v>4.412150339458927E-2</v>
      </c>
      <c r="R74" s="126">
        <f ca="1">OFFSET(RES!U$95,$E74,0)</f>
        <v>4.3936548320688225E-2</v>
      </c>
      <c r="S74" s="126">
        <f ca="1">OFFSET(RES!V$95,$E74,0)</f>
        <v>4.3627228583080289E-2</v>
      </c>
      <c r="T74" s="203">
        <f ca="1">OFFSET(RES!W$95,$E74,0)</f>
        <v>4.3308464739150551E-2</v>
      </c>
      <c r="U74" s="126">
        <f ca="1">OFFSET(RES!X$95,$E74,0)</f>
        <v>4.2899870756764623E-2</v>
      </c>
      <c r="V74" s="126">
        <f ca="1">OFFSET(RES!Y$95,$E74,0)</f>
        <v>4.2387450321368196E-2</v>
      </c>
      <c r="W74" s="126">
        <f ca="1">OFFSET(RES!Z$95,$E74,0)</f>
        <v>4.1871260856582736E-2</v>
      </c>
      <c r="X74" s="126">
        <f ca="1">OFFSET(RES!AA$95,$E74,0)</f>
        <v>4.1410920513733733E-2</v>
      </c>
      <c r="Y74" s="205">
        <f ca="1">OFFSET(RES!AB$95,$E74,0)</f>
        <v>4.114260063814601E-2</v>
      </c>
      <c r="Z74" s="126">
        <f ca="1">OFFSET(RES!AC$95,$E74,0)</f>
        <v>4.0815511040160964E-2</v>
      </c>
      <c r="AA74" s="126">
        <f ca="1">OFFSET(RES!AD$95,$E74,0)</f>
        <v>4.0346000943810974E-2</v>
      </c>
      <c r="AB74" s="126">
        <f ca="1">OFFSET(RES!AE$95,$E74,0)</f>
        <v>3.9886787581499127E-2</v>
      </c>
      <c r="AC74" s="126">
        <f ca="1">OFFSET(RES!AF$95,$E74,0)</f>
        <v>3.9479796014078791E-2</v>
      </c>
      <c r="AD74" s="126">
        <f ca="1">OFFSET(RES!AG$95,$E74,0)</f>
        <v>3.9106371732526166E-2</v>
      </c>
      <c r="AE74" s="126">
        <f ca="1">OFFSET(RES!AH$95,$E74,0)</f>
        <v>3.866269531741582E-2</v>
      </c>
      <c r="AF74" s="126">
        <f ca="1">OFFSET(RES!AI$95,$E74,0)</f>
        <v>3.8164064809486385E-2</v>
      </c>
      <c r="AG74" s="126">
        <f ca="1">OFFSET(RES!AJ$95,$E74,0)</f>
        <v>3.7695272714576053E-2</v>
      </c>
      <c r="AH74" s="126">
        <f ca="1">OFFSET(RES!AK$95,$E74,0)</f>
        <v>3.7239506778740508E-2</v>
      </c>
      <c r="AI74" s="126">
        <f ca="1">OFFSET(RES!AL$95,$E74,0)</f>
        <v>3.6760195353879276E-2</v>
      </c>
      <c r="AJ74" s="126">
        <f ca="1">OFFSET(RES!AM$95,$E74,0)</f>
        <v>3.3905340951570932E-2</v>
      </c>
      <c r="AK74" s="126">
        <f ca="1">OFFSET(RES!AN$95,$E74,0)</f>
        <v>3.1249205887972604E-2</v>
      </c>
      <c r="AL74" s="126">
        <f ca="1">OFFSET(RES!AO$95,$E74,0)</f>
        <v>3.1249205887972604E-2</v>
      </c>
      <c r="AM74" s="126">
        <f ca="1">OFFSET(RES!AP$95,$E74,0)</f>
        <v>3.1249205887972604E-2</v>
      </c>
    </row>
    <row r="75" spans="1:39">
      <c r="A75" s="35" t="s">
        <v>374</v>
      </c>
      <c r="B75">
        <v>12.72538201427</v>
      </c>
      <c r="E75" s="129">
        <f>MATCH(F75,RES!$D$96:$D$134,0)</f>
        <v>18</v>
      </c>
      <c r="F75" s="4" t="str">
        <f t="shared" si="1"/>
        <v>RMEH</v>
      </c>
      <c r="G75" s="126">
        <f ca="1">OFFSET(RES!J$95,$E75,0)</f>
        <v>13.162661948752438</v>
      </c>
      <c r="H75" s="126">
        <f ca="1">OFFSET(RES!K$95,$E75,0)</f>
        <v>13.134665662024011</v>
      </c>
      <c r="I75" s="126">
        <f ca="1">OFFSET(RES!L$95,$E75,0)</f>
        <v>13.106669375295583</v>
      </c>
      <c r="J75" s="126">
        <f ca="1">OFFSET(RES!M$95,$E75,0)</f>
        <v>13.078673088567156</v>
      </c>
      <c r="K75" s="126">
        <f ca="1">OFFSET(RES!N$95,$E75,0)</f>
        <v>13.050676801838728</v>
      </c>
      <c r="L75" s="126">
        <f ca="1">OFFSET(RES!O$95,$E75,0)</f>
        <v>13.0226805151103</v>
      </c>
      <c r="M75" s="126">
        <f ca="1">OFFSET(RES!P$95,$E75,0)</f>
        <v>13.374050837411678</v>
      </c>
      <c r="N75" s="126">
        <f ca="1">OFFSET(RES!Q$95,$E75,0)</f>
        <v>13.735474767731189</v>
      </c>
      <c r="O75" s="203">
        <f ca="1">OFFSET(RES!R$95,$E75,0)</f>
        <v>14.434256187090865</v>
      </c>
      <c r="P75" s="126">
        <f ca="1">OFFSET(RES!S$95,$E75,0)</f>
        <v>13.808824668458882</v>
      </c>
      <c r="Q75" s="126">
        <f ca="1">OFFSET(RES!T$95,$E75,0)</f>
        <v>14.067316747757923</v>
      </c>
      <c r="R75" s="126">
        <f ca="1">OFFSET(RES!U$95,$E75,0)</f>
        <v>14.304826631527213</v>
      </c>
      <c r="S75" s="126">
        <f ca="1">OFFSET(RES!V$95,$E75,0)</f>
        <v>14.558566550970626</v>
      </c>
      <c r="T75" s="203">
        <f ca="1">OFFSET(RES!W$95,$E75,0)</f>
        <v>14.829004301978982</v>
      </c>
      <c r="U75" s="126">
        <f ca="1">OFFSET(RES!X$95,$E75,0)</f>
        <v>15.057120504261869</v>
      </c>
      <c r="V75" s="126">
        <f ca="1">OFFSET(RES!Y$95,$E75,0)</f>
        <v>15.328710468281786</v>
      </c>
      <c r="W75" s="126">
        <f ca="1">OFFSET(RES!Z$95,$E75,0)</f>
        <v>15.595206749627014</v>
      </c>
      <c r="X75" s="126">
        <f ca="1">OFFSET(RES!AA$95,$E75,0)</f>
        <v>15.864575895743723</v>
      </c>
      <c r="Y75" s="205">
        <f ca="1">OFFSET(RES!AB$95,$E75,0)</f>
        <v>16.15082101524105</v>
      </c>
      <c r="Z75" s="126">
        <f ca="1">OFFSET(RES!AC$95,$E75,0)</f>
        <v>16.335693988369229</v>
      </c>
      <c r="AA75" s="126">
        <f ca="1">OFFSET(RES!AD$95,$E75,0)</f>
        <v>16.592804782899904</v>
      </c>
      <c r="AB75" s="126">
        <f ca="1">OFFSET(RES!AE$95,$E75,0)</f>
        <v>16.834491364984629</v>
      </c>
      <c r="AC75" s="126">
        <f ca="1">OFFSET(RES!AF$95,$E75,0)</f>
        <v>17.086398929772653</v>
      </c>
      <c r="AD75" s="126">
        <f ca="1">OFFSET(RES!AG$95,$E75,0)</f>
        <v>17.318133494943833</v>
      </c>
      <c r="AE75" s="126">
        <f ca="1">OFFSET(RES!AH$95,$E75,0)</f>
        <v>17.528980587355782</v>
      </c>
      <c r="AF75" s="126">
        <f ca="1">OFFSET(RES!AI$95,$E75,0)</f>
        <v>17.758633445355528</v>
      </c>
      <c r="AG75" s="126">
        <f ca="1">OFFSET(RES!AJ$95,$E75,0)</f>
        <v>17.989496872123929</v>
      </c>
      <c r="AH75" s="126">
        <f ca="1">OFFSET(RES!AK$95,$E75,0)</f>
        <v>18.205759905880186</v>
      </c>
      <c r="AI75" s="126">
        <f ca="1">OFFSET(RES!AL$95,$E75,0)</f>
        <v>18.415037311158567</v>
      </c>
      <c r="AJ75" s="126">
        <f ca="1">OFFSET(RES!AM$95,$E75,0)</f>
        <v>19.424069754460099</v>
      </c>
      <c r="AK75" s="126">
        <f ca="1">OFFSET(RES!AN$95,$E75,0)</f>
        <v>20.316612717356925</v>
      </c>
      <c r="AL75" s="126">
        <f ca="1">OFFSET(RES!AO$95,$E75,0)</f>
        <v>20.316612717356925</v>
      </c>
      <c r="AM75" s="126">
        <f ca="1">OFFSET(RES!AP$95,$E75,0)</f>
        <v>20.316612717356925</v>
      </c>
    </row>
    <row r="76" spans="1:39">
      <c r="A76" s="35" t="s">
        <v>375</v>
      </c>
      <c r="B76">
        <v>5.0035172999329998</v>
      </c>
      <c r="E76" s="129">
        <f>MATCH(F76,RES!$D$96:$D$134,0)</f>
        <v>17</v>
      </c>
      <c r="F76" s="4" t="str">
        <f t="shared" si="1"/>
        <v>RMEK</v>
      </c>
      <c r="G76" s="126">
        <f ca="1">OFFSET(RES!J$95,$E76,0)</f>
        <v>9.0463558635584818</v>
      </c>
      <c r="H76" s="126">
        <f ca="1">OFFSET(RES!K$95,$E76,0)</f>
        <v>8.9672336009921683</v>
      </c>
      <c r="I76" s="126">
        <f ca="1">OFFSET(RES!L$95,$E76,0)</f>
        <v>8.8881113384258565</v>
      </c>
      <c r="J76" s="126">
        <f ca="1">OFFSET(RES!M$95,$E76,0)</f>
        <v>8.808989075859543</v>
      </c>
      <c r="K76" s="126">
        <f ca="1">OFFSET(RES!N$95,$E76,0)</f>
        <v>8.7298668132932313</v>
      </c>
      <c r="L76" s="126">
        <f ca="1">OFFSET(RES!O$95,$E76,0)</f>
        <v>8.6507445507269178</v>
      </c>
      <c r="M76" s="126">
        <f ca="1">OFFSET(RES!P$95,$E76,0)</f>
        <v>8.8841538628427248</v>
      </c>
      <c r="N76" s="126">
        <f ca="1">OFFSET(RES!Q$95,$E76,0)</f>
        <v>9.124241615290158</v>
      </c>
      <c r="O76" s="203">
        <f ca="1">OFFSET(RES!R$95,$E76,0)</f>
        <v>9.5884301937215266</v>
      </c>
      <c r="P76" s="126">
        <f ca="1">OFFSET(RES!S$95,$E76,0)</f>
        <v>9.1729667032841551</v>
      </c>
      <c r="Q76" s="126">
        <f ca="1">OFFSET(RES!T$95,$E76,0)</f>
        <v>9.3446785827092569</v>
      </c>
      <c r="R76" s="126">
        <f ca="1">OFFSET(RES!U$95,$E76,0)</f>
        <v>9.5024523475172753</v>
      </c>
      <c r="S76" s="126">
        <f ca="1">OFFSET(RES!V$95,$E76,0)</f>
        <v>9.6710074482033495</v>
      </c>
      <c r="T76" s="203">
        <f ca="1">OFFSET(RES!W$95,$E76,0)</f>
        <v>9.8506546335990031</v>
      </c>
      <c r="U76" s="126">
        <f ca="1">OFFSET(RES!X$95,$E76,0)</f>
        <v>10.002188336014683</v>
      </c>
      <c r="V76" s="126">
        <f ca="1">OFFSET(RES!Y$95,$E76,0)</f>
        <v>10.182600916861716</v>
      </c>
      <c r="W76" s="126">
        <f ca="1">OFFSET(RES!Z$95,$E76,0)</f>
        <v>10.359629851186048</v>
      </c>
      <c r="X76" s="126">
        <f ca="1">OFFSET(RES!AA$95,$E76,0)</f>
        <v>10.538567180578356</v>
      </c>
      <c r="Y76" s="205">
        <f ca="1">OFFSET(RES!AB$95,$E76,0)</f>
        <v>10.728714931250002</v>
      </c>
      <c r="Z76" s="126">
        <f ca="1">OFFSET(RES!AC$95,$E76,0)</f>
        <v>10.851522894096792</v>
      </c>
      <c r="AA76" s="126">
        <f ca="1">OFFSET(RES!AD$95,$E76,0)</f>
        <v>11.022317209609527</v>
      </c>
      <c r="AB76" s="126">
        <f ca="1">OFFSET(RES!AE$95,$E76,0)</f>
        <v>11.182865483870522</v>
      </c>
      <c r="AC76" s="126">
        <f ca="1">OFFSET(RES!AF$95,$E76,0)</f>
        <v>11.350203382611749</v>
      </c>
      <c r="AD76" s="126">
        <f ca="1">OFFSET(RES!AG$95,$E76,0)</f>
        <v>11.504140701779152</v>
      </c>
      <c r="AE76" s="126">
        <f ca="1">OFFSET(RES!AH$95,$E76,0)</f>
        <v>11.644202829050331</v>
      </c>
      <c r="AF76" s="126">
        <f ca="1">OFFSET(RES!AI$95,$E76,0)</f>
        <v>11.796757305649447</v>
      </c>
      <c r="AG76" s="126">
        <f ca="1">OFFSET(RES!AJ$95,$E76,0)</f>
        <v>11.950115942434063</v>
      </c>
      <c r="AH76" s="126">
        <f ca="1">OFFSET(RES!AK$95,$E76,0)</f>
        <v>12.093775787165713</v>
      </c>
      <c r="AI76" s="126">
        <f ca="1">OFFSET(RES!AL$95,$E76,0)</f>
        <v>12.232795198046722</v>
      </c>
      <c r="AJ76" s="126">
        <f ca="1">OFFSET(RES!AM$95,$E76,0)</f>
        <v>12.903078240026383</v>
      </c>
      <c r="AK76" s="126">
        <f ca="1">OFFSET(RES!AN$95,$E76,0)</f>
        <v>13.49597930702334</v>
      </c>
      <c r="AL76" s="126">
        <f ca="1">OFFSET(RES!AO$95,$E76,0)</f>
        <v>13.49597930702334</v>
      </c>
      <c r="AM76" s="126">
        <f ca="1">OFFSET(RES!AP$95,$E76,0)</f>
        <v>13.49597930702334</v>
      </c>
    </row>
    <row r="77" spans="1:39">
      <c r="A77" s="35" t="s">
        <v>376</v>
      </c>
      <c r="B77">
        <v>15.793352715539999</v>
      </c>
      <c r="E77" s="129">
        <f>MATCH(F77,RES!$D$96:$D$134,0)</f>
        <v>15</v>
      </c>
      <c r="F77" s="4" t="str">
        <f t="shared" si="1"/>
        <v>RMEL</v>
      </c>
      <c r="G77" s="126">
        <f ca="1">OFFSET(RES!J$95,$E77,0)</f>
        <v>16.048370490489006</v>
      </c>
      <c r="H77" s="126">
        <f ca="1">OFFSET(RES!K$95,$E77,0)</f>
        <v>17.645895086824378</v>
      </c>
      <c r="I77" s="126">
        <f ca="1">OFFSET(RES!L$95,$E77,0)</f>
        <v>19.243419683159747</v>
      </c>
      <c r="J77" s="126">
        <f ca="1">OFFSET(RES!M$95,$E77,0)</f>
        <v>20.840944279495119</v>
      </c>
      <c r="K77" s="126">
        <f ca="1">OFFSET(RES!N$95,$E77,0)</f>
        <v>22.438468875830488</v>
      </c>
      <c r="L77" s="126">
        <f ca="1">OFFSET(RES!O$95,$E77,0)</f>
        <v>24.03599347216586</v>
      </c>
      <c r="M77" s="126">
        <f ca="1">OFFSET(RES!P$95,$E77,0)</f>
        <v>24.68451854066841</v>
      </c>
      <c r="N77" s="126">
        <f ca="1">OFFSET(RES!Q$95,$E77,0)</f>
        <v>25.35159957822934</v>
      </c>
      <c r="O77" s="203">
        <f ca="1">OFFSET(RES!R$95,$E77,0)</f>
        <v>26.641342163460667</v>
      </c>
      <c r="P77" s="126">
        <f ca="1">OFFSET(RES!S$95,$E77,0)</f>
        <v>25.486981670497457</v>
      </c>
      <c r="Q77" s="126">
        <f ca="1">OFFSET(RES!T$95,$E77,0)</f>
        <v>25.964081137341417</v>
      </c>
      <c r="R77" s="126">
        <f ca="1">OFFSET(RES!U$95,$E77,0)</f>
        <v>26.402453714264393</v>
      </c>
      <c r="S77" s="126">
        <f ca="1">OFFSET(RES!V$95,$E77,0)</f>
        <v>26.870782107968992</v>
      </c>
      <c r="T77" s="203">
        <f ca="1">OFFSET(RES!W$95,$E77,0)</f>
        <v>27.369929730482021</v>
      </c>
      <c r="U77" s="126">
        <f ca="1">OFFSET(RES!X$95,$E77,0)</f>
        <v>27.790964366370137</v>
      </c>
      <c r="V77" s="126">
        <f ca="1">OFFSET(RES!Y$95,$E77,0)</f>
        <v>28.2922386312739</v>
      </c>
      <c r="W77" s="126">
        <f ca="1">OFFSET(RES!Z$95,$E77,0)</f>
        <v>28.784111473530764</v>
      </c>
      <c r="X77" s="126">
        <f ca="1">OFFSET(RES!AA$95,$E77,0)</f>
        <v>29.281286769365721</v>
      </c>
      <c r="Y77" s="205">
        <f ca="1">OFFSET(RES!AB$95,$E77,0)</f>
        <v>29.809610090796664</v>
      </c>
      <c r="Z77" s="126">
        <f ca="1">OFFSET(RES!AC$95,$E77,0)</f>
        <v>30.15083059222361</v>
      </c>
      <c r="AA77" s="126">
        <f ca="1">OFFSET(RES!AD$95,$E77,0)</f>
        <v>30.625380618371612</v>
      </c>
      <c r="AB77" s="126">
        <f ca="1">OFFSET(RES!AE$95,$E77,0)</f>
        <v>31.071462137653153</v>
      </c>
      <c r="AC77" s="126">
        <f ca="1">OFFSET(RES!AF$95,$E77,0)</f>
        <v>31.536408549861349</v>
      </c>
      <c r="AD77" s="126">
        <f ca="1">OFFSET(RES!AG$95,$E77,0)</f>
        <v>31.964121607036237</v>
      </c>
      <c r="AE77" s="126">
        <f ca="1">OFFSET(RES!AH$95,$E77,0)</f>
        <v>32.353282604340784</v>
      </c>
      <c r="AF77" s="126">
        <f ca="1">OFFSET(RES!AI$95,$E77,0)</f>
        <v>32.777153449466816</v>
      </c>
      <c r="AG77" s="126">
        <f ca="1">OFFSET(RES!AJ$95,$E77,0)</f>
        <v>33.203258644348054</v>
      </c>
      <c r="AH77" s="126">
        <f ca="1">OFFSET(RES!AK$95,$E77,0)</f>
        <v>33.602415857919006</v>
      </c>
      <c r="AI77" s="126">
        <f ca="1">OFFSET(RES!AL$95,$E77,0)</f>
        <v>33.988679679818532</v>
      </c>
      <c r="AJ77" s="126">
        <f ca="1">OFFSET(RES!AM$95,$E77,0)</f>
        <v>35.851053343386347</v>
      </c>
      <c r="AK77" s="126">
        <f ca="1">OFFSET(RES!AN$95,$E77,0)</f>
        <v>37.498422086320915</v>
      </c>
      <c r="AL77" s="126">
        <f ca="1">OFFSET(RES!AO$95,$E77,0)</f>
        <v>37.498422086320915</v>
      </c>
      <c r="AM77" s="126">
        <f ca="1">OFFSET(RES!AP$95,$E77,0)</f>
        <v>37.498422086320915</v>
      </c>
    </row>
    <row r="78" spans="1:39">
      <c r="A78" s="35" t="s">
        <v>377</v>
      </c>
      <c r="B78">
        <v>8.1991938940679994</v>
      </c>
      <c r="E78" s="129">
        <f>MATCH(F78,RES!$D$96:$D$134,0)</f>
        <v>22</v>
      </c>
      <c r="F78" s="4" t="str">
        <f t="shared" si="1"/>
        <v>RMEO</v>
      </c>
      <c r="G78" s="126">
        <f ca="1">OFFSET(RES!J$95,$E78,0)</f>
        <v>5.817816552719238</v>
      </c>
      <c r="H78" s="126">
        <f ca="1">OFFSET(RES!K$95,$E78,0)</f>
        <v>6.4300655380120677</v>
      </c>
      <c r="I78" s="126">
        <f ca="1">OFFSET(RES!L$95,$E78,0)</f>
        <v>7.0423145233048983</v>
      </c>
      <c r="J78" s="126">
        <f ca="1">OFFSET(RES!M$95,$E78,0)</f>
        <v>7.6545635085977279</v>
      </c>
      <c r="K78" s="126">
        <f ca="1">OFFSET(RES!N$95,$E78,0)</f>
        <v>8.2668124938905585</v>
      </c>
      <c r="L78" s="126">
        <f ca="1">OFFSET(RES!O$95,$E78,0)</f>
        <v>8.8790614791833882</v>
      </c>
      <c r="M78" s="126">
        <f ca="1">OFFSET(RES!P$95,$E78,0)</f>
        <v>9.118631104657533</v>
      </c>
      <c r="N78" s="126">
        <f ca="1">OFFSET(RES!Q$95,$E78,0)</f>
        <v>9.3650554328618139</v>
      </c>
      <c r="O78" s="203">
        <f ca="1">OFFSET(RES!R$95,$E78,0)</f>
        <v>9.8414952238715401</v>
      </c>
      <c r="P78" s="126">
        <f ca="1">OFFSET(RES!S$95,$E78,0)</f>
        <v>9.4150665098668522</v>
      </c>
      <c r="Q78" s="126">
        <f ca="1">OFFSET(RES!T$95,$E78,0)</f>
        <v>9.5913103378034315</v>
      </c>
      <c r="R78" s="126">
        <f ca="1">OFFSET(RES!U$95,$E78,0)</f>
        <v>9.7532481859641305</v>
      </c>
      <c r="S78" s="126">
        <f ca="1">OFFSET(RES!V$95,$E78,0)</f>
        <v>9.9262519190931862</v>
      </c>
      <c r="T78" s="203">
        <f ca="1">OFFSET(RES!W$95,$E78,0)</f>
        <v>10.110640487537994</v>
      </c>
      <c r="U78" s="126">
        <f ca="1">OFFSET(RES!X$95,$E78,0)</f>
        <v>10.266173580906708</v>
      </c>
      <c r="V78" s="126">
        <f ca="1">OFFSET(RES!Y$95,$E78,0)</f>
        <v>10.451347745692829</v>
      </c>
      <c r="W78" s="126">
        <f ca="1">OFFSET(RES!Z$95,$E78,0)</f>
        <v>10.633048960223315</v>
      </c>
      <c r="X78" s="126">
        <f ca="1">OFFSET(RES!AA$95,$E78,0)</f>
        <v>10.816708937613548</v>
      </c>
      <c r="Y78" s="205">
        <f ca="1">OFFSET(RES!AB$95,$E78,0)</f>
        <v>11.011875210116658</v>
      </c>
      <c r="Z78" s="126">
        <f ca="1">OFFSET(RES!AC$95,$E78,0)</f>
        <v>11.137924412685967</v>
      </c>
      <c r="AA78" s="126">
        <f ca="1">OFFSET(RES!AD$95,$E78,0)</f>
        <v>11.313226459676269</v>
      </c>
      <c r="AB78" s="126">
        <f ca="1">OFFSET(RES!AE$95,$E78,0)</f>
        <v>11.478012044221172</v>
      </c>
      <c r="AC78" s="126">
        <f ca="1">OFFSET(RES!AF$95,$E78,0)</f>
        <v>11.649766450100129</v>
      </c>
      <c r="AD78" s="126">
        <f ca="1">OFFSET(RES!AG$95,$E78,0)</f>
        <v>11.807766598273872</v>
      </c>
      <c r="AE78" s="126">
        <f ca="1">OFFSET(RES!AH$95,$E78,0)</f>
        <v>11.951525350096166</v>
      </c>
      <c r="AF78" s="126">
        <f ca="1">OFFSET(RES!AI$95,$E78,0)</f>
        <v>12.108106158684992</v>
      </c>
      <c r="AG78" s="126">
        <f ca="1">OFFSET(RES!AJ$95,$E78,0)</f>
        <v>12.265512351457144</v>
      </c>
      <c r="AH78" s="126">
        <f ca="1">OFFSET(RES!AK$95,$E78,0)</f>
        <v>12.412963774393342</v>
      </c>
      <c r="AI78" s="126">
        <f ca="1">OFFSET(RES!AL$95,$E78,0)</f>
        <v>12.555652289673638</v>
      </c>
      <c r="AJ78" s="126">
        <f ca="1">OFFSET(RES!AM$95,$E78,0)</f>
        <v>13.243625943651361</v>
      </c>
      <c r="AK78" s="126">
        <f ca="1">OFFSET(RES!AN$95,$E78,0)</f>
        <v>13.85217529961368</v>
      </c>
      <c r="AL78" s="126">
        <f ca="1">OFFSET(RES!AO$95,$E78,0)</f>
        <v>13.85217529961368</v>
      </c>
      <c r="AM78" s="126">
        <f ca="1">OFFSET(RES!AP$95,$E78,0)</f>
        <v>13.85217529961368</v>
      </c>
    </row>
    <row r="79" spans="1:39">
      <c r="A79" s="35" t="s">
        <v>378</v>
      </c>
      <c r="B79">
        <v>3.5984677195130002</v>
      </c>
      <c r="E79" s="129">
        <f>MATCH(F79,RES!$D$96:$D$134,0)</f>
        <v>21</v>
      </c>
      <c r="F79" s="4" t="str">
        <f t="shared" si="1"/>
        <v>RMER</v>
      </c>
      <c r="G79" s="126">
        <f ca="1">OFFSET(RES!J$95,$E79,0)</f>
        <v>3.2555704876676663</v>
      </c>
      <c r="H79" s="126">
        <f ca="1">OFFSET(RES!K$95,$E79,0)</f>
        <v>3.548419543253142</v>
      </c>
      <c r="I79" s="126">
        <f ca="1">OFFSET(RES!L$95,$E79,0)</f>
        <v>3.8412685988386182</v>
      </c>
      <c r="J79" s="126">
        <f ca="1">OFFSET(RES!M$95,$E79,0)</f>
        <v>4.1341176544240943</v>
      </c>
      <c r="K79" s="126">
        <f ca="1">OFFSET(RES!N$95,$E79,0)</f>
        <v>4.4269667100095695</v>
      </c>
      <c r="L79" s="126">
        <f ca="1">OFFSET(RES!O$95,$E79,0)</f>
        <v>4.7198157655950457</v>
      </c>
      <c r="M79" s="126">
        <f ca="1">OFFSET(RES!P$95,$E79,0)</f>
        <v>4.8471630643970087</v>
      </c>
      <c r="N79" s="126">
        <f ca="1">OFFSET(RES!Q$95,$E79,0)</f>
        <v>4.9781540967275681</v>
      </c>
      <c r="O79" s="203">
        <f ca="1">OFFSET(RES!R$95,$E79,0)</f>
        <v>5.2314137506038847</v>
      </c>
      <c r="P79" s="126">
        <f ca="1">OFFSET(RES!S$95,$E79,0)</f>
        <v>5.0047383331647373</v>
      </c>
      <c r="Q79" s="126">
        <f ca="1">OFFSET(RES!T$95,$E79,0)</f>
        <v>5.0984237299416488</v>
      </c>
      <c r="R79" s="126">
        <f ca="1">OFFSET(RES!U$95,$E79,0)</f>
        <v>5.1845045404628189</v>
      </c>
      <c r="S79" s="126">
        <f ca="1">OFFSET(RES!V$95,$E79,0)</f>
        <v>5.2764676098754677</v>
      </c>
      <c r="T79" s="203">
        <f ca="1">OFFSET(RES!W$95,$E79,0)</f>
        <v>5.3744824816478554</v>
      </c>
      <c r="U79" s="126">
        <f ca="1">OFFSET(RES!X$95,$E79,0)</f>
        <v>5.4571587361004754</v>
      </c>
      <c r="V79" s="126">
        <f ca="1">OFFSET(RES!Y$95,$E79,0)</f>
        <v>5.5555912049360003</v>
      </c>
      <c r="W79" s="126">
        <f ca="1">OFFSET(RES!Z$95,$E79,0)</f>
        <v>5.6521775681433457</v>
      </c>
      <c r="X79" s="126">
        <f ca="1">OFFSET(RES!AA$95,$E79,0)</f>
        <v>5.7498051449798764</v>
      </c>
      <c r="Y79" s="205">
        <f ca="1">OFFSET(RES!AB$95,$E79,0)</f>
        <v>5.8535490881919152</v>
      </c>
      <c r="Z79" s="126">
        <f ca="1">OFFSET(RES!AC$95,$E79,0)</f>
        <v>5.9205526802857529</v>
      </c>
      <c r="AA79" s="126">
        <f ca="1">OFFSET(RES!AD$95,$E79,0)</f>
        <v>6.0137374574230327</v>
      </c>
      <c r="AB79" s="126">
        <f ca="1">OFFSET(RES!AE$95,$E79,0)</f>
        <v>6.1013320305320544</v>
      </c>
      <c r="AC79" s="126">
        <f ca="1">OFFSET(RES!AF$95,$E79,0)</f>
        <v>6.192630998849646</v>
      </c>
      <c r="AD79" s="126">
        <f ca="1">OFFSET(RES!AG$95,$E79,0)</f>
        <v>6.2766186581383128</v>
      </c>
      <c r="AE79" s="126">
        <f ca="1">OFFSET(RES!AH$95,$E79,0)</f>
        <v>6.3530360615861747</v>
      </c>
      <c r="AF79" s="126">
        <f ca="1">OFFSET(RES!AI$95,$E79,0)</f>
        <v>6.4362692468388945</v>
      </c>
      <c r="AG79" s="126">
        <f ca="1">OFFSET(RES!AJ$95,$E79,0)</f>
        <v>6.519941179057188</v>
      </c>
      <c r="AH79" s="126">
        <f ca="1">OFFSET(RES!AK$95,$E79,0)</f>
        <v>6.5983214844830833</v>
      </c>
      <c r="AI79" s="126">
        <f ca="1">OFFSET(RES!AL$95,$E79,0)</f>
        <v>6.6741699855401153</v>
      </c>
      <c r="AJ79" s="126">
        <f ca="1">OFFSET(RES!AM$95,$E79,0)</f>
        <v>7.0398740530218875</v>
      </c>
      <c r="AK79" s="126">
        <f ca="1">OFFSET(RES!AN$95,$E79,0)</f>
        <v>7.3633587874330102</v>
      </c>
      <c r="AL79" s="126">
        <f ca="1">OFFSET(RES!AO$95,$E79,0)</f>
        <v>7.3633587874330102</v>
      </c>
      <c r="AM79" s="126">
        <f ca="1">OFFSET(RES!AP$95,$E79,0)</f>
        <v>7.3633587874330102</v>
      </c>
    </row>
    <row r="80" spans="1:39">
      <c r="A80" s="35" t="s">
        <v>379</v>
      </c>
      <c r="B80">
        <v>16.347656033450001</v>
      </c>
      <c r="E80" s="129">
        <f>MATCH(F80,RES!$D$96:$D$134,0)</f>
        <v>20</v>
      </c>
      <c r="F80" s="4" t="str">
        <f t="shared" si="1"/>
        <v>RMEW</v>
      </c>
      <c r="G80" s="126">
        <f ca="1">OFFSET(RES!J$95,$E80,0)</f>
        <v>6.0852856077195092</v>
      </c>
      <c r="H80" s="126">
        <f ca="1">OFFSET(RES!K$95,$E80,0)</f>
        <v>5.9145223019360724</v>
      </c>
      <c r="I80" s="126">
        <f ca="1">OFFSET(RES!L$95,$E80,0)</f>
        <v>5.7437589961526347</v>
      </c>
      <c r="J80" s="126">
        <f ca="1">OFFSET(RES!M$95,$E80,0)</f>
        <v>5.572995690369198</v>
      </c>
      <c r="K80" s="126">
        <f ca="1">OFFSET(RES!N$95,$E80,0)</f>
        <v>5.4022323845857603</v>
      </c>
      <c r="L80" s="126">
        <f ca="1">OFFSET(RES!O$95,$E80,0)</f>
        <v>5.2314690788023235</v>
      </c>
      <c r="M80" s="126">
        <f ca="1">OFFSET(RES!P$95,$E80,0)</f>
        <v>5.3726215069983168</v>
      </c>
      <c r="N80" s="126">
        <f ca="1">OFFSET(RES!Q$95,$E80,0)</f>
        <v>5.5178126689570126</v>
      </c>
      <c r="O80" s="203">
        <f ca="1">OFFSET(RES!R$95,$E80,0)</f>
        <v>5.7985270260342725</v>
      </c>
      <c r="P80" s="126">
        <f ca="1">OFFSET(RES!S$95,$E80,0)</f>
        <v>5.5472787790366471</v>
      </c>
      <c r="Q80" s="126">
        <f ca="1">OFFSET(RES!T$95,$E80,0)</f>
        <v>5.6511201747000959</v>
      </c>
      <c r="R80" s="126">
        <f ca="1">OFFSET(RES!U$95,$E80,0)</f>
        <v>5.7465326062196489</v>
      </c>
      <c r="S80" s="126">
        <f ca="1">OFFSET(RES!V$95,$E80,0)</f>
        <v>5.8484649650059817</v>
      </c>
      <c r="T80" s="203">
        <f ca="1">OFFSET(RES!W$95,$E80,0)</f>
        <v>5.9571051739475642</v>
      </c>
      <c r="U80" s="126">
        <f ca="1">OFFSET(RES!X$95,$E80,0)</f>
        <v>6.0487439772824114</v>
      </c>
      <c r="V80" s="126">
        <f ca="1">OFFSET(RES!Y$95,$E80,0)</f>
        <v>6.1578470530458578</v>
      </c>
      <c r="W80" s="126">
        <f ca="1">OFFSET(RES!Z$95,$E80,0)</f>
        <v>6.2649038954413774</v>
      </c>
      <c r="X80" s="126">
        <f ca="1">OFFSET(RES!AA$95,$E80,0)</f>
        <v>6.373114824601303</v>
      </c>
      <c r="Y80" s="205">
        <f ca="1">OFFSET(RES!AB$95,$E80,0)</f>
        <v>6.4881051670174292</v>
      </c>
      <c r="Z80" s="126">
        <f ca="1">OFFSET(RES!AC$95,$E80,0)</f>
        <v>6.5623723074348055</v>
      </c>
      <c r="AA80" s="126">
        <f ca="1">OFFSET(RES!AD$95,$E80,0)</f>
        <v>6.6656588136078492</v>
      </c>
      <c r="AB80" s="126">
        <f ca="1">OFFSET(RES!AE$95,$E80,0)</f>
        <v>6.7627491076890554</v>
      </c>
      <c r="AC80" s="126">
        <f ca="1">OFFSET(RES!AF$95,$E80,0)</f>
        <v>6.8639453732640137</v>
      </c>
      <c r="AD80" s="126">
        <f ca="1">OFFSET(RES!AG$95,$E80,0)</f>
        <v>6.957037744744377</v>
      </c>
      <c r="AE80" s="126">
        <f ca="1">OFFSET(RES!AH$95,$E80,0)</f>
        <v>7.0417392040966682</v>
      </c>
      <c r="AF80" s="126">
        <f ca="1">OFFSET(RES!AI$95,$E80,0)</f>
        <v>7.1339953125138438</v>
      </c>
      <c r="AG80" s="126">
        <f ca="1">OFFSET(RES!AJ$95,$E80,0)</f>
        <v>7.2267377304180442</v>
      </c>
      <c r="AH80" s="126">
        <f ca="1">OFFSET(RES!AK$95,$E80,0)</f>
        <v>7.3136148808381218</v>
      </c>
      <c r="AI80" s="126">
        <f ca="1">OFFSET(RES!AL$95,$E80,0)</f>
        <v>7.3976857657327875</v>
      </c>
      <c r="AJ80" s="126">
        <f ca="1">OFFSET(RES!AM$95,$E80,0)</f>
        <v>7.8030341132189589</v>
      </c>
      <c r="AK80" s="126">
        <f ca="1">OFFSET(RES!AN$95,$E80,0)</f>
        <v>8.1615863257591901</v>
      </c>
      <c r="AL80" s="126">
        <f ca="1">OFFSET(RES!AO$95,$E80,0)</f>
        <v>8.1615863257591901</v>
      </c>
      <c r="AM80" s="126">
        <f ca="1">OFFSET(RES!AP$95,$E80,0)</f>
        <v>8.1615863257591901</v>
      </c>
    </row>
    <row r="81" spans="1:39" s="185" customFormat="1">
      <c r="A81" s="35" t="s">
        <v>544</v>
      </c>
      <c r="B81" s="185">
        <v>17.347656033450001</v>
      </c>
      <c r="E81" s="129">
        <f>MATCH(F81,RES!$D$96:$D$134,0)</f>
        <v>19</v>
      </c>
      <c r="F81" s="185" t="str">
        <f>A81</f>
        <v>RMEWG</v>
      </c>
      <c r="G81" s="126">
        <f ca="1">OFFSET(RES!J$95,$E81,0)</f>
        <v>8.7188816642673164</v>
      </c>
      <c r="H81" s="126">
        <f ca="1">OFFSET(RES!K$95,$E81,0)</f>
        <v>9.2321217736813583</v>
      </c>
      <c r="I81" s="126">
        <f ca="1">OFFSET(RES!L$95,$E81,0)</f>
        <v>9.7453618830953985</v>
      </c>
      <c r="J81" s="126">
        <f ca="1">OFFSET(RES!M$95,$E81,0)</f>
        <v>10.25860199250944</v>
      </c>
      <c r="K81" s="126">
        <f ca="1">OFFSET(RES!N$95,$E81,0)</f>
        <v>10.771842101923482</v>
      </c>
      <c r="L81" s="126">
        <f ca="1">OFFSET(RES!O$95,$E81,0)</f>
        <v>11.285082211337523</v>
      </c>
      <c r="M81" s="126">
        <f ca="1">OFFSET(RES!P$95,$E81,0)</f>
        <v>11.589569676049132</v>
      </c>
      <c r="N81" s="126">
        <f ca="1">OFFSET(RES!Q$95,$E81,0)</f>
        <v>11.902769309724233</v>
      </c>
      <c r="O81" s="203">
        <f ca="1">OFFSET(RES!R$95,$E81,0)</f>
        <v>12.508313287869065</v>
      </c>
      <c r="P81" s="126">
        <f ca="1">OFFSET(RES!S$95,$E81,0)</f>
        <v>11.966332234342174</v>
      </c>
      <c r="Q81" s="126">
        <f ca="1">OFFSET(RES!T$95,$E81,0)</f>
        <v>12.190334071942699</v>
      </c>
      <c r="R81" s="126">
        <f ca="1">OFFSET(RES!U$95,$E81,0)</f>
        <v>12.39615333943004</v>
      </c>
      <c r="S81" s="126">
        <f ca="1">OFFSET(RES!V$95,$E81,0)</f>
        <v>12.616037091311579</v>
      </c>
      <c r="T81" s="203">
        <f ca="1">OFFSET(RES!W$95,$E81,0)</f>
        <v>12.850390706117484</v>
      </c>
      <c r="U81" s="126">
        <f ca="1">OFFSET(RES!X$95,$E81,0)</f>
        <v>13.048069678085927</v>
      </c>
      <c r="V81" s="126">
        <f ca="1">OFFSET(RES!Y$95,$E81,0)</f>
        <v>13.283421767710081</v>
      </c>
      <c r="W81" s="126">
        <f ca="1">OFFSET(RES!Z$95,$E81,0)</f>
        <v>13.514359817715</v>
      </c>
      <c r="X81" s="126">
        <f ca="1">OFFSET(RES!AA$95,$E81,0)</f>
        <v>13.747787410106421</v>
      </c>
      <c r="Y81" s="205">
        <f ca="1">OFFSET(RES!AB$95,$E81,0)</f>
        <v>13.995839238021061</v>
      </c>
      <c r="Z81" s="126">
        <f ca="1">OFFSET(RES!AC$95,$E81,0)</f>
        <v>14.156044865271545</v>
      </c>
      <c r="AA81" s="126">
        <f ca="1">OFFSET(RES!AD$95,$E81,0)</f>
        <v>14.378849721025652</v>
      </c>
      <c r="AB81" s="126">
        <f ca="1">OFFSET(RES!AE$95,$E81,0)</f>
        <v>14.588288395731571</v>
      </c>
      <c r="AC81" s="126">
        <f ca="1">OFFSET(RES!AF$95,$E81,0)</f>
        <v>14.806584281512702</v>
      </c>
      <c r="AD81" s="126">
        <f ca="1">OFFSET(RES!AG$95,$E81,0)</f>
        <v>15.00739882319872</v>
      </c>
      <c r="AE81" s="126">
        <f ca="1">OFFSET(RES!AH$95,$E81,0)</f>
        <v>15.190112878813419</v>
      </c>
      <c r="AF81" s="126">
        <f ca="1">OFFSET(RES!AI$95,$E81,0)</f>
        <v>15.389123472645361</v>
      </c>
      <c r="AG81" s="126">
        <f ca="1">OFFSET(RES!AJ$95,$E81,0)</f>
        <v>15.589183110724447</v>
      </c>
      <c r="AH81" s="126">
        <f ca="1">OFFSET(RES!AK$95,$E81,0)</f>
        <v>15.776590466098085</v>
      </c>
      <c r="AI81" s="126">
        <f ca="1">OFFSET(RES!AL$95,$E81,0)</f>
        <v>15.957944275768961</v>
      </c>
      <c r="AJ81" s="126">
        <f ca="1">OFFSET(RES!AM$95,$E81,0)</f>
        <v>16.832342911545378</v>
      </c>
      <c r="AK81" s="126">
        <f ca="1">OFFSET(RES!AN$95,$E81,0)</f>
        <v>17.605795097656706</v>
      </c>
      <c r="AL81" s="126">
        <f ca="1">OFFSET(RES!AO$95,$E81,0)</f>
        <v>17.605795097656706</v>
      </c>
      <c r="AM81" s="126">
        <f ca="1">OFFSET(RES!AP$95,$E81,0)</f>
        <v>17.605795097656706</v>
      </c>
    </row>
    <row r="82" spans="1:39">
      <c r="A82" s="35" t="s">
        <v>380</v>
      </c>
      <c r="B82">
        <v>0.2282739655271</v>
      </c>
      <c r="E82" s="129">
        <f>MATCH(F82,RES!$D$96:$D$134,0)</f>
        <v>16</v>
      </c>
      <c r="F82" s="4" t="str">
        <f t="shared" si="1"/>
        <v>RMNL</v>
      </c>
      <c r="G82" s="126">
        <f ca="1">OFFSET(RES!J$95,$E82,0)</f>
        <v>3.3422499241462768E-2</v>
      </c>
      <c r="H82" s="126">
        <f ca="1">OFFSET(RES!K$95,$E82,0)</f>
        <v>4.0907833293435877E-2</v>
      </c>
      <c r="I82" s="126">
        <f ca="1">OFFSET(RES!L$95,$E82,0)</f>
        <v>4.8393167345408994E-2</v>
      </c>
      <c r="J82" s="126">
        <f ca="1">OFFSET(RES!M$95,$E82,0)</f>
        <v>5.5878501397382103E-2</v>
      </c>
      <c r="K82" s="126">
        <f ca="1">OFFSET(RES!N$95,$E82,0)</f>
        <v>6.3363835449355213E-2</v>
      </c>
      <c r="L82" s="126">
        <f ca="1">OFFSET(RES!O$95,$E82,0)</f>
        <v>7.084916950132833E-2</v>
      </c>
      <c r="M82" s="126">
        <f ca="1">OFFSET(RES!P$95,$E82,0)</f>
        <v>7.276078020955247E-2</v>
      </c>
      <c r="N82" s="126">
        <f ca="1">OFFSET(RES!Q$95,$E82,0)</f>
        <v>7.4727087013388427E-2</v>
      </c>
      <c r="O82" s="203">
        <f ca="1">OFFSET(RES!R$95,$E82,0)</f>
        <v>7.8528768484967801E-2</v>
      </c>
      <c r="P82" s="126">
        <f ca="1">OFFSET(RES!S$95,$E82,0)</f>
        <v>7.5126143071281598E-2</v>
      </c>
      <c r="Q82" s="126">
        <f ca="1">OFFSET(RES!T$95,$E82,0)</f>
        <v>7.6532454860913451E-2</v>
      </c>
      <c r="R82" s="126">
        <f ca="1">OFFSET(RES!U$95,$E82,0)</f>
        <v>7.782461418202144E-2</v>
      </c>
      <c r="S82" s="126">
        <f ca="1">OFFSET(RES!V$95,$E82,0)</f>
        <v>7.9205072110098584E-2</v>
      </c>
      <c r="T82" s="203">
        <f ca="1">OFFSET(RES!W$95,$E82,0)</f>
        <v>8.0676373662687331E-2</v>
      </c>
      <c r="U82" s="126">
        <f ca="1">OFFSET(RES!X$95,$E82,0)</f>
        <v>8.1917427181798619E-2</v>
      </c>
      <c r="V82" s="126">
        <f ca="1">OFFSET(RES!Y$95,$E82,0)</f>
        <v>8.3394997285233183E-2</v>
      </c>
      <c r="W82" s="126">
        <f ca="1">OFFSET(RES!Z$95,$E82,0)</f>
        <v>8.4844855491198842E-2</v>
      </c>
      <c r="X82" s="126">
        <f ca="1">OFFSET(RES!AA$95,$E82,0)</f>
        <v>8.631034335827098E-2</v>
      </c>
      <c r="Y82" s="205">
        <f ca="1">OFFSET(RES!AB$95,$E82,0)</f>
        <v>8.786764402050122E-2</v>
      </c>
      <c r="Z82" s="126">
        <f ca="1">OFFSET(RES!AC$95,$E82,0)</f>
        <v>8.8873435154989633E-2</v>
      </c>
      <c r="AA82" s="126">
        <f ca="1">OFFSET(RES!AD$95,$E82,0)</f>
        <v>9.0272232141615283E-2</v>
      </c>
      <c r="AB82" s="126">
        <f ca="1">OFFSET(RES!AE$95,$E82,0)</f>
        <v>9.1587114557754506E-2</v>
      </c>
      <c r="AC82" s="126">
        <f ca="1">OFFSET(RES!AF$95,$E82,0)</f>
        <v>9.295760366217698E-2</v>
      </c>
      <c r="AD82" s="126">
        <f ca="1">OFFSET(RES!AG$95,$E82,0)</f>
        <v>9.4218342683462145E-2</v>
      </c>
      <c r="AE82" s="126">
        <f ca="1">OFFSET(RES!AH$95,$E82,0)</f>
        <v>9.5365444570191485E-2</v>
      </c>
      <c r="AF82" s="126">
        <f ca="1">OFFSET(RES!AI$95,$E82,0)</f>
        <v>9.6614858179318225E-2</v>
      </c>
      <c r="AG82" s="126">
        <f ca="1">OFFSET(RES!AJ$95,$E82,0)</f>
        <v>9.7870857820543666E-2</v>
      </c>
      <c r="AH82" s="126">
        <f ca="1">OFFSET(RES!AK$95,$E82,0)</f>
        <v>9.9047424835121828E-2</v>
      </c>
      <c r="AI82" s="126">
        <f ca="1">OFFSET(RES!AL$95,$E82,0)</f>
        <v>0.1001859869262491</v>
      </c>
      <c r="AJ82" s="126">
        <f ca="1">OFFSET(RES!AM$95,$E82,0)</f>
        <v>0.10567557184886625</v>
      </c>
      <c r="AK82" s="126">
        <f ca="1">OFFSET(RES!AN$95,$E82,0)</f>
        <v>0.11053140222818962</v>
      </c>
      <c r="AL82" s="126">
        <f ca="1">OFFSET(RES!AO$95,$E82,0)</f>
        <v>0.11053140222818962</v>
      </c>
      <c r="AM82" s="126">
        <f ca="1">OFFSET(RES!AP$95,$E82,0)</f>
        <v>0.11053140222818962</v>
      </c>
    </row>
    <row r="83" spans="1:39">
      <c r="A83" s="35" t="s">
        <v>134</v>
      </c>
      <c r="B83">
        <v>0.46620130319999997</v>
      </c>
      <c r="E83" s="131">
        <f>MATCH(F83,OtherTRA!$D$47:$D$51,0)</f>
        <v>1</v>
      </c>
      <c r="F83" s="4" t="str">
        <f>A83</f>
        <v>TFPIP</v>
      </c>
      <c r="G83" s="24">
        <f ca="1">OFFSET(OtherTRA!J$46,$E83,0)</f>
        <v>0.820564128</v>
      </c>
      <c r="H83" s="24">
        <f ca="1">OFFSET(OtherTRA!K$46,$E83,0)</f>
        <v>0.80153725200000003</v>
      </c>
      <c r="I83" s="24">
        <f ca="1">OFFSET(OtherTRA!L$46,$E83,0)</f>
        <v>0.78251037600000006</v>
      </c>
      <c r="J83" s="24">
        <f ca="1">OFFSET(OtherTRA!M$46,$E83,0)</f>
        <v>0.76348350000000009</v>
      </c>
      <c r="K83" s="24">
        <f ca="1">OFFSET(OtherTRA!N$46,$E83,0)</f>
        <v>0.73900575000000002</v>
      </c>
      <c r="L83" s="24">
        <f ca="1">OFFSET(OtherTRA!O$46,$E83,0)</f>
        <v>0.71452800000000005</v>
      </c>
      <c r="M83" s="24">
        <f ca="1">OFFSET(OtherTRA!P$46,$E83,0)</f>
        <v>0.74035993800000011</v>
      </c>
      <c r="N83" s="24">
        <f ca="1">OFFSET(OtherTRA!Q$46,$E83,0)</f>
        <v>0.76619187600000005</v>
      </c>
      <c r="O83" s="24">
        <f ca="1">OFFSET(OtherTRA!R$46,$E83,0)</f>
        <v>0.76619187600000005</v>
      </c>
      <c r="P83" s="24">
        <f ca="1">OFFSET(OtherTRA!S$46,$E83,0)</f>
        <v>0.76619187600000005</v>
      </c>
      <c r="Q83" s="24">
        <f ca="1">OFFSET(OtherTRA!T$46,$E83,0)</f>
        <v>0.76619187600000005</v>
      </c>
      <c r="R83" s="24">
        <f ca="1">OFFSET(OtherTRA!U$46,$E83,0)</f>
        <v>0.76619187600000005</v>
      </c>
      <c r="S83" s="24">
        <f ca="1">OFFSET(OtherTRA!V$46,$E83,0)</f>
        <v>0.76619187600000005</v>
      </c>
      <c r="T83" s="24">
        <f ca="1">OFFSET(OtherTRA!W$46,$E83,0)</f>
        <v>0.76619187600000005</v>
      </c>
      <c r="U83" s="24">
        <f ca="1">OFFSET(OtherTRA!X$46,$E83,0)</f>
        <v>0.76619187600000005</v>
      </c>
      <c r="V83" s="24">
        <f ca="1">OFFSET(OtherTRA!Y$46,$E83,0)</f>
        <v>0.76619187600000005</v>
      </c>
      <c r="W83" s="24">
        <f ca="1">OFFSET(OtherTRA!Z$46,$E83,0)</f>
        <v>0.76619187600000005</v>
      </c>
      <c r="X83" s="24">
        <f ca="1">OFFSET(OtherTRA!AA$46,$E83,0)</f>
        <v>0.76619187600000005</v>
      </c>
      <c r="Y83" s="24">
        <f ca="1">OFFSET(OtherTRA!AB$46,$E83,0)</f>
        <v>0.76619187600000005</v>
      </c>
      <c r="Z83" s="24">
        <f ca="1">OFFSET(OtherTRA!AC$46,$E83,0)</f>
        <v>0.76619187600000005</v>
      </c>
      <c r="AA83" s="24">
        <f ca="1">OFFSET(OtherTRA!AD$46,$E83,0)</f>
        <v>0.76619187600000005</v>
      </c>
      <c r="AB83" s="24">
        <f ca="1">OFFSET(OtherTRA!AE$46,$E83,0)</f>
        <v>0.76619187600000005</v>
      </c>
      <c r="AC83" s="24">
        <f ca="1">OFFSET(OtherTRA!AF$46,$E83,0)</f>
        <v>0.76619187600000005</v>
      </c>
      <c r="AD83" s="24">
        <f ca="1">OFFSET(OtherTRA!AG$46,$E83,0)</f>
        <v>0.76619187600000005</v>
      </c>
      <c r="AE83" s="24">
        <f ca="1">OFFSET(OtherTRA!AH$46,$E83,0)</f>
        <v>0.76619187600000005</v>
      </c>
      <c r="AF83" s="24">
        <f ca="1">OFFSET(OtherTRA!AI$46,$E83,0)</f>
        <v>0.76619187600000005</v>
      </c>
      <c r="AG83" s="24">
        <f ca="1">OFFSET(OtherTRA!AJ$46,$E83,0)</f>
        <v>0.76619187600000005</v>
      </c>
      <c r="AH83" s="24">
        <f ca="1">OFFSET(OtherTRA!AK$46,$E83,0)</f>
        <v>0.76619187600000005</v>
      </c>
      <c r="AI83" s="24">
        <f ca="1">OFFSET(OtherTRA!AL$46,$E83,0)</f>
        <v>0.76619187600000005</v>
      </c>
      <c r="AJ83" s="24">
        <f ca="1">OFFSET(OtherTRA!AM$46,$E83,0)</f>
        <v>0.76619187600000005</v>
      </c>
      <c r="AK83" s="24">
        <f ca="1">OFFSET(OtherTRA!AN$46,$E83,0)</f>
        <v>0.76619187600000005</v>
      </c>
      <c r="AL83" s="24">
        <f ca="1">OFFSET(OtherTRA!AO$46,$E83,0)</f>
        <v>0.76619187600000005</v>
      </c>
      <c r="AM83" s="24">
        <f ca="1">OFFSET(OtherTRA!AP$46,$E83,0)</f>
        <v>0.76619187600000005</v>
      </c>
    </row>
    <row r="84" spans="1:39">
      <c r="A84" s="35" t="s">
        <v>605</v>
      </c>
      <c r="B84">
        <f>[2]EB_2006!$AI$69/1000</f>
        <v>35.178032837499991</v>
      </c>
      <c r="E84" s="128">
        <f>MATCH(F84,OtherTRA!$D$47:$D$51,0)</f>
        <v>2</v>
      </c>
      <c r="F84" s="4" t="str">
        <f t="shared" si="1"/>
        <v>TAIJET</v>
      </c>
      <c r="G84" s="24">
        <f ca="1">OFFSET(OtherTRA!J$46,$E84,0)</f>
        <v>60.368000000000002</v>
      </c>
      <c r="H84" s="24">
        <f ca="1">OFFSET(OtherTRA!K$46,$E84,0)</f>
        <v>62.148158892930546</v>
      </c>
      <c r="I84" s="24">
        <f ca="1">OFFSET(OtherTRA!L$46,$E84,0)</f>
        <v>63.92831778586109</v>
      </c>
      <c r="J84" s="24">
        <f ca="1">OFFSET(OtherTRA!M$46,$E84,0)</f>
        <v>65.708476678791641</v>
      </c>
      <c r="K84" s="24">
        <f ca="1">OFFSET(OtherTRA!N$46,$E84,0)</f>
        <v>67.323877427011467</v>
      </c>
      <c r="L84" s="24">
        <f ca="1">OFFSET(OtherTRA!O$46,$E84,0)</f>
        <v>68.939278175231294</v>
      </c>
      <c r="M84" s="24">
        <f ca="1">OFFSET(OtherTRA!P$46,$E84,0)</f>
        <v>69.31496218118528</v>
      </c>
      <c r="N84" s="24">
        <f ca="1">OFFSET(OtherTRA!Q$46,$E84,0)</f>
        <v>69.690646187139279</v>
      </c>
      <c r="O84" s="24">
        <f ca="1">OFFSET(OtherTRA!R$46,$E84,0)</f>
        <v>65.724555425124123</v>
      </c>
      <c r="P84" s="24">
        <f ca="1">OFFSET(OtherTRA!S$46,$E84,0)</f>
        <v>67.453729361457022</v>
      </c>
      <c r="Q84" s="24">
        <f ca="1">OFFSET(OtherTRA!T$46,$E84,0)</f>
        <v>68.820525293306204</v>
      </c>
      <c r="R84" s="24">
        <f ca="1">OFFSET(OtherTRA!U$46,$E84,0)</f>
        <v>70.187321225155387</v>
      </c>
      <c r="S84" s="24">
        <f ca="1">OFFSET(OtherTRA!V$46,$E84,0)</f>
        <v>71.554117157004569</v>
      </c>
      <c r="T84" s="24">
        <f ca="1">OFFSET(OtherTRA!W$46,$E84,0)</f>
        <v>72.920913088853752</v>
      </c>
      <c r="U84" s="24">
        <f ca="1">OFFSET(OtherTRA!X$46,$E84,0)</f>
        <v>74.287709020702934</v>
      </c>
      <c r="V84" s="24">
        <f ca="1">OFFSET(OtherTRA!Y$46,$E84,0)</f>
        <v>75.654504952552116</v>
      </c>
      <c r="W84" s="24">
        <f ca="1">OFFSET(OtherTRA!Z$46,$E84,0)</f>
        <v>77.021300884401299</v>
      </c>
      <c r="X84" s="24">
        <f ca="1">OFFSET(OtherTRA!AA$46,$E84,0)</f>
        <v>78.388096816250481</v>
      </c>
      <c r="Y84" s="24">
        <f ca="1">OFFSET(OtherTRA!AB$46,$E84,0)</f>
        <v>79.754892748099692</v>
      </c>
      <c r="Z84" s="24">
        <f ca="1">OFFSET(OtherTRA!AC$46,$E84,0)</f>
        <v>81.485455681681032</v>
      </c>
      <c r="AA84" s="24">
        <f ca="1">OFFSET(OtherTRA!AD$46,$E84,0)</f>
        <v>83.216018615262371</v>
      </c>
      <c r="AB84" s="24">
        <f ca="1">OFFSET(OtherTRA!AE$46,$E84,0)</f>
        <v>84.94658154884371</v>
      </c>
      <c r="AC84" s="24">
        <f ca="1">OFFSET(OtherTRA!AF$46,$E84,0)</f>
        <v>86.677144482425049</v>
      </c>
      <c r="AD84" s="24">
        <f ca="1">OFFSET(OtherTRA!AG$46,$E84,0)</f>
        <v>88.407707416006389</v>
      </c>
      <c r="AE84" s="24">
        <f ca="1">OFFSET(OtherTRA!AH$46,$E84,0)</f>
        <v>90.138270349587728</v>
      </c>
      <c r="AF84" s="24">
        <f ca="1">OFFSET(OtherTRA!AI$46,$E84,0)</f>
        <v>91.868833283169067</v>
      </c>
      <c r="AG84" s="24">
        <f ca="1">OFFSET(OtherTRA!AJ$46,$E84,0)</f>
        <v>93.599396216750407</v>
      </c>
      <c r="AH84" s="24">
        <f ca="1">OFFSET(OtherTRA!AK$46,$E84,0)</f>
        <v>95.329959150331746</v>
      </c>
      <c r="AI84" s="24">
        <f ca="1">OFFSET(OtherTRA!AL$46,$E84,0)</f>
        <v>97.060522083913071</v>
      </c>
      <c r="AJ84" s="24">
        <f ca="1">OFFSET(OtherTRA!AM$46,$E84,0)</f>
        <v>106.92747512368757</v>
      </c>
      <c r="AK84" s="24">
        <f ca="1">OFFSET(OtherTRA!AN$46,$E84,0)</f>
        <v>116.79442816346207</v>
      </c>
      <c r="AL84" s="24">
        <f ca="1">OFFSET(OtherTRA!AO$46,$E84,0)</f>
        <v>116.79442816346207</v>
      </c>
      <c r="AM84" s="24">
        <f ca="1">OFFSET(OtherTRA!AP$46,$E84,0)</f>
        <v>116.79442816346207</v>
      </c>
    </row>
    <row r="85" spans="1:39" s="185" customFormat="1">
      <c r="A85" s="35" t="s">
        <v>606</v>
      </c>
      <c r="B85" s="185">
        <f>[2]EB_2006!$AI$70/1000</f>
        <v>42.764908764899999</v>
      </c>
      <c r="E85" s="128">
        <f>MATCH(F85,OtherTRA!$D$47:$D$51,0)</f>
        <v>3</v>
      </c>
      <c r="F85" s="185" t="str">
        <f t="shared" ref="F85" si="2">A85</f>
        <v>TADJET</v>
      </c>
      <c r="G85" s="24">
        <f ca="1">OFFSET(OtherTRA!J$46,$E85,0)</f>
        <v>20.123000000000001</v>
      </c>
      <c r="H85" s="24">
        <f ca="1">OFFSET(OtherTRA!K$46,$E85,0)</f>
        <v>20.716396127127641</v>
      </c>
      <c r="I85" s="24">
        <f ca="1">OFFSET(OtherTRA!L$46,$E85,0)</f>
        <v>21.309792254255282</v>
      </c>
      <c r="J85" s="24">
        <f ca="1">OFFSET(OtherTRA!M$46,$E85,0)</f>
        <v>21.903188381382925</v>
      </c>
      <c r="K85" s="24">
        <f ca="1">OFFSET(OtherTRA!N$46,$E85,0)</f>
        <v>21.184208220267859</v>
      </c>
      <c r="L85" s="24">
        <f ca="1">OFFSET(OtherTRA!O$46,$E85,0)</f>
        <v>20.465228059152793</v>
      </c>
      <c r="M85" s="24">
        <f ca="1">OFFSET(OtherTRA!P$46,$E85,0)</f>
        <v>21.847914132476973</v>
      </c>
      <c r="N85" s="24">
        <f ca="1">OFFSET(OtherTRA!Q$46,$E85,0)</f>
        <v>23.230600205801153</v>
      </c>
      <c r="O85" s="24">
        <f ca="1">OFFSET(OtherTRA!R$46,$E85,0)</f>
        <v>21.908548052275595</v>
      </c>
      <c r="P85" s="24">
        <f ca="1">OFFSET(OtherTRA!S$46,$E85,0)</f>
        <v>22.484948912347601</v>
      </c>
      <c r="Q85" s="24">
        <f ca="1">OFFSET(OtherTRA!T$46,$E85,0)</f>
        <v>22.94055510331966</v>
      </c>
      <c r="R85" s="24">
        <f ca="1">OFFSET(OtherTRA!U$46,$E85,0)</f>
        <v>23.396161294291719</v>
      </c>
      <c r="S85" s="24">
        <f ca="1">OFFSET(OtherTRA!V$46,$E85,0)</f>
        <v>23.851767485263778</v>
      </c>
      <c r="T85" s="24">
        <f ca="1">OFFSET(OtherTRA!W$46,$E85,0)</f>
        <v>24.307373676235837</v>
      </c>
      <c r="U85" s="24">
        <f ca="1">OFFSET(OtherTRA!X$46,$E85,0)</f>
        <v>24.762979867207896</v>
      </c>
      <c r="V85" s="24">
        <f ca="1">OFFSET(OtherTRA!Y$46,$E85,0)</f>
        <v>25.218586058179955</v>
      </c>
      <c r="W85" s="24">
        <f ca="1">OFFSET(OtherTRA!Z$46,$E85,0)</f>
        <v>25.674192249152014</v>
      </c>
      <c r="X85" s="24">
        <f ca="1">OFFSET(OtherTRA!AA$46,$E85,0)</f>
        <v>26.129798440124073</v>
      </c>
      <c r="Y85" s="24">
        <f ca="1">OFFSET(OtherTRA!AB$46,$E85,0)</f>
        <v>26.585404631096118</v>
      </c>
      <c r="Z85" s="24">
        <f ca="1">OFFSET(OtherTRA!AC$46,$E85,0)</f>
        <v>27.16226849792055</v>
      </c>
      <c r="AA85" s="24">
        <f ca="1">OFFSET(OtherTRA!AD$46,$E85,0)</f>
        <v>27.739132364744982</v>
      </c>
      <c r="AB85" s="24">
        <f ca="1">OFFSET(OtherTRA!AE$46,$E85,0)</f>
        <v>28.315996231569414</v>
      </c>
      <c r="AC85" s="24">
        <f ca="1">OFFSET(OtherTRA!AF$46,$E85,0)</f>
        <v>28.892860098393847</v>
      </c>
      <c r="AD85" s="24">
        <f ca="1">OFFSET(OtherTRA!AG$46,$E85,0)</f>
        <v>29.469723965218279</v>
      </c>
      <c r="AE85" s="24">
        <f ca="1">OFFSET(OtherTRA!AH$46,$E85,0)</f>
        <v>30.046587832042711</v>
      </c>
      <c r="AF85" s="24">
        <f ca="1">OFFSET(OtherTRA!AI$46,$E85,0)</f>
        <v>30.623451698867143</v>
      </c>
      <c r="AG85" s="24">
        <f ca="1">OFFSET(OtherTRA!AJ$46,$E85,0)</f>
        <v>31.200315565691575</v>
      </c>
      <c r="AH85" s="24">
        <f ca="1">OFFSET(OtherTRA!AK$46,$E85,0)</f>
        <v>31.777179432516007</v>
      </c>
      <c r="AI85" s="24">
        <f ca="1">OFFSET(OtherTRA!AL$46,$E85,0)</f>
        <v>32.354043299340432</v>
      </c>
      <c r="AJ85" s="24">
        <f ca="1">OFFSET(OtherTRA!AM$46,$E85,0)</f>
        <v>35.64308212817992</v>
      </c>
      <c r="AK85" s="24">
        <f ca="1">OFFSET(OtherTRA!AN$46,$E85,0)</f>
        <v>38.932120957019407</v>
      </c>
      <c r="AL85" s="24">
        <f ca="1">OFFSET(OtherTRA!AO$46,$E85,0)</f>
        <v>38.932120957019407</v>
      </c>
      <c r="AM85" s="24">
        <f ca="1">OFFSET(OtherTRA!AP$46,$E85,0)</f>
        <v>38.932120957019407</v>
      </c>
    </row>
    <row r="86" spans="1:39">
      <c r="A86" s="35" t="s">
        <v>381</v>
      </c>
      <c r="B86" s="24">
        <f>[2]EB_2006!$AG$68/1000</f>
        <v>0.74474625240000003</v>
      </c>
      <c r="E86" s="130">
        <f>MATCH(F86,OtherTRA!$D$47:$D$51,0)</f>
        <v>4</v>
      </c>
      <c r="F86" s="4" t="str">
        <f t="shared" si="1"/>
        <v>TAOAG</v>
      </c>
      <c r="G86" s="24">
        <f ca="1">OFFSET(OtherTRA!J$46,$E86,0)</f>
        <v>1.0701311035156249</v>
      </c>
      <c r="H86" s="24">
        <f ca="1">OFFSET(OtherTRA!K$46,$E86,0)</f>
        <v>1.1016876135958813</v>
      </c>
      <c r="I86" s="24">
        <f ca="1">OFFSET(OtherTRA!L$46,$E86,0)</f>
        <v>1.1332441236761377</v>
      </c>
      <c r="J86" s="24">
        <f ca="1">OFFSET(OtherTRA!M$46,$E86,0)</f>
        <v>1.1648006337563943</v>
      </c>
      <c r="K86" s="24">
        <f ca="1">OFFSET(OtherTRA!N$46,$E86,0)</f>
        <v>1.1797169224594737</v>
      </c>
      <c r="L86" s="24">
        <f ca="1">OFFSET(OtherTRA!O$46,$E86,0)</f>
        <v>1.1946332111625533</v>
      </c>
      <c r="M86" s="24">
        <f ca="1">OFFSET(OtherTRA!P$46,$E86,0)</f>
        <v>1.2150124718428752</v>
      </c>
      <c r="N86" s="24">
        <f ca="1">OFFSET(OtherTRA!Q$46,$E86,0)</f>
        <v>1.2353917325231971</v>
      </c>
      <c r="O86" s="24">
        <f ca="1">OFFSET(OtherTRA!R$46,$E86,0)</f>
        <v>1.1650856583812941</v>
      </c>
      <c r="P86" s="24">
        <f ca="1">OFFSET(OtherTRA!S$46,$E86,0)</f>
        <v>1.1957383686360379</v>
      </c>
      <c r="Q86" s="24">
        <f ca="1">OFFSET(OtherTRA!T$46,$E86,0)</f>
        <v>1.2199672786352169</v>
      </c>
      <c r="R86" s="24">
        <f ca="1">OFFSET(OtherTRA!U$46,$E86,0)</f>
        <v>1.244196188634396</v>
      </c>
      <c r="S86" s="24">
        <f ca="1">OFFSET(OtherTRA!V$46,$E86,0)</f>
        <v>1.268425098633575</v>
      </c>
      <c r="T86" s="24">
        <f ca="1">OFFSET(OtherTRA!W$46,$E86,0)</f>
        <v>1.292654008632754</v>
      </c>
      <c r="U86" s="24">
        <f ca="1">OFFSET(OtherTRA!X$46,$E86,0)</f>
        <v>1.3168829186319331</v>
      </c>
      <c r="V86" s="24">
        <f ca="1">OFFSET(OtherTRA!Y$46,$E86,0)</f>
        <v>1.3411118286311121</v>
      </c>
      <c r="W86" s="24">
        <f ca="1">OFFSET(OtherTRA!Z$46,$E86,0)</f>
        <v>1.3653407386302912</v>
      </c>
      <c r="X86" s="24">
        <f ca="1">OFFSET(OtherTRA!AA$46,$E86,0)</f>
        <v>1.3895696486294702</v>
      </c>
      <c r="Y86" s="24">
        <f ca="1">OFFSET(OtherTRA!AB$46,$E86,0)</f>
        <v>1.4137985586286488</v>
      </c>
      <c r="Z86" s="24">
        <f ca="1">OFFSET(OtherTRA!AC$46,$E86,0)</f>
        <v>1.444475891351559</v>
      </c>
      <c r="AA86" s="24">
        <f ca="1">OFFSET(OtherTRA!AD$46,$E86,0)</f>
        <v>1.4751532240744689</v>
      </c>
      <c r="AB86" s="24">
        <f ca="1">OFFSET(OtherTRA!AE$46,$E86,0)</f>
        <v>1.5058305567973789</v>
      </c>
      <c r="AC86" s="24">
        <f ca="1">OFFSET(OtherTRA!AF$46,$E86,0)</f>
        <v>1.5365078895202888</v>
      </c>
      <c r="AD86" s="24">
        <f ca="1">OFFSET(OtherTRA!AG$46,$E86,0)</f>
        <v>1.5671852222431988</v>
      </c>
      <c r="AE86" s="24">
        <f ca="1">OFFSET(OtherTRA!AH$46,$E86,0)</f>
        <v>1.5978625549661087</v>
      </c>
      <c r="AF86" s="24">
        <f ca="1">OFFSET(OtherTRA!AI$46,$E86,0)</f>
        <v>1.6285398876890187</v>
      </c>
      <c r="AG86" s="24">
        <f ca="1">OFFSET(OtherTRA!AJ$46,$E86,0)</f>
        <v>1.6592172204119287</v>
      </c>
      <c r="AH86" s="24">
        <f ca="1">OFFSET(OtherTRA!AK$46,$E86,0)</f>
        <v>1.6898945531348386</v>
      </c>
      <c r="AI86" s="24">
        <f ca="1">OFFSET(OtherTRA!AL$46,$E86,0)</f>
        <v>1.7205718858577495</v>
      </c>
      <c r="AJ86" s="24">
        <f ca="1">OFFSET(OtherTRA!AM$46,$E86,0)</f>
        <v>1.8954813303447415</v>
      </c>
      <c r="AK86" s="24">
        <f ca="1">OFFSET(OtherTRA!AN$46,$E86,0)</f>
        <v>2.0703907748317336</v>
      </c>
      <c r="AL86" s="24">
        <f ca="1">OFFSET(OtherTRA!AO$46,$E86,0)</f>
        <v>2.0703907748317336</v>
      </c>
      <c r="AM86" s="24">
        <f ca="1">OFFSET(OtherTRA!AP$46,$E86,0)</f>
        <v>2.0703907748317336</v>
      </c>
    </row>
    <row r="87" spans="1:39">
      <c r="A87" s="35" t="s">
        <v>151</v>
      </c>
      <c r="B87" s="24">
        <v>52.28615900487997</v>
      </c>
      <c r="E87" s="129">
        <f>MATCH(F87,FTRA!$D$137:$D$149,0)</f>
        <v>1</v>
      </c>
      <c r="F87" s="4" t="str">
        <f>A87</f>
        <v>TFLCV</v>
      </c>
      <c r="G87" s="24">
        <f ca="1">OFFSET(FTRA!J$136,$E87,0)</f>
        <v>43.510890756102256</v>
      </c>
      <c r="H87" s="24">
        <f ca="1">OFFSET(FTRA!K$136,$E87,0)</f>
        <v>44.189879061043555</v>
      </c>
      <c r="I87" s="24">
        <f ca="1">OFFSET(FTRA!L$136,$E87,0)</f>
        <v>44.868867365984855</v>
      </c>
      <c r="J87" s="24">
        <f ca="1">OFFSET(FTRA!M$136,$E87,0)</f>
        <v>45.547855670926104</v>
      </c>
      <c r="K87" s="24">
        <f ca="1">OFFSET(FTRA!N$136,$E87,0)</f>
        <v>46.566338128338053</v>
      </c>
      <c r="L87" s="24">
        <f ca="1">OFFSET(FTRA!O$136,$E87,0)</f>
        <v>47.584820585750002</v>
      </c>
      <c r="M87" s="24">
        <f ca="1">OFFSET(FTRA!P$136,$E87,0)</f>
        <v>47.880977189748478</v>
      </c>
      <c r="N87" s="24">
        <f ca="1">OFFSET(FTRA!Q$136,$E87,0)</f>
        <v>48.177133793746961</v>
      </c>
      <c r="O87" s="24">
        <f ca="1">OFFSET(FTRA!R$136,$E87,0)</f>
        <v>44.255958941812857</v>
      </c>
      <c r="P87" s="24">
        <f ca="1">OFFSET(FTRA!S$136,$E87,0)</f>
        <v>46.157995886407633</v>
      </c>
      <c r="Q87" s="24">
        <f ca="1">OFFSET(FTRA!T$136,$E87,0)</f>
        <v>46.980227583643114</v>
      </c>
      <c r="R87" s="24">
        <f ca="1">OFFSET(FTRA!U$136,$E87,0)</f>
        <v>47.802459280878594</v>
      </c>
      <c r="S87" s="24">
        <f ca="1">OFFSET(FTRA!V$136,$E87,0)</f>
        <v>48.624690978114074</v>
      </c>
      <c r="T87" s="24">
        <f ca="1">OFFSET(FTRA!W$136,$E87,0)</f>
        <v>49.446922675349555</v>
      </c>
      <c r="U87" s="24">
        <f ca="1">OFFSET(FTRA!X$136,$E87,0)</f>
        <v>50.269154372585035</v>
      </c>
      <c r="V87" s="24">
        <f ca="1">OFFSET(FTRA!Y$136,$E87,0)</f>
        <v>51.091386069820516</v>
      </c>
      <c r="W87" s="24">
        <f ca="1">OFFSET(FTRA!Z$136,$E87,0)</f>
        <v>51.913617767055996</v>
      </c>
      <c r="X87" s="24">
        <f ca="1">OFFSET(FTRA!AA$136,$E87,0)</f>
        <v>52.735849464291476</v>
      </c>
      <c r="Y87" s="24">
        <f ca="1">OFFSET(FTRA!AB$136,$E87,0)</f>
        <v>53.558081161526964</v>
      </c>
      <c r="Z87" s="24">
        <f ca="1">OFFSET(FTRA!AC$136,$E87,0)</f>
        <v>54.710492758310615</v>
      </c>
      <c r="AA87" s="24">
        <f ca="1">OFFSET(FTRA!AD$136,$E87,0)</f>
        <v>55.862904355094265</v>
      </c>
      <c r="AB87" s="24">
        <f ca="1">OFFSET(FTRA!AE$136,$E87,0)</f>
        <v>57.015315951877916</v>
      </c>
      <c r="AC87" s="24">
        <f ca="1">OFFSET(FTRA!AF$136,$E87,0)</f>
        <v>58.167727548661567</v>
      </c>
      <c r="AD87" s="24">
        <f ca="1">OFFSET(FTRA!AG$136,$E87,0)</f>
        <v>59.320139145445218</v>
      </c>
      <c r="AE87" s="24">
        <f ca="1">OFFSET(FTRA!AH$136,$E87,0)</f>
        <v>60.472550742228869</v>
      </c>
      <c r="AF87" s="24">
        <f ca="1">OFFSET(FTRA!AI$136,$E87,0)</f>
        <v>61.624962339012519</v>
      </c>
      <c r="AG87" s="24">
        <f ca="1">OFFSET(FTRA!AJ$136,$E87,0)</f>
        <v>62.77737393579617</v>
      </c>
      <c r="AH87" s="24">
        <f ca="1">OFFSET(FTRA!AK$136,$E87,0)</f>
        <v>63.929785532579821</v>
      </c>
      <c r="AI87" s="24">
        <f ca="1">OFFSET(FTRA!AL$136,$E87,0)</f>
        <v>65.082197129363479</v>
      </c>
      <c r="AJ87" s="24">
        <f ca="1">OFFSET(FTRA!AM$136,$E87,0)</f>
        <v>72.712761650004396</v>
      </c>
      <c r="AK87" s="24">
        <f ca="1">OFFSET(FTRA!AN$136,$E87,0)</f>
        <v>80.343326170645369</v>
      </c>
      <c r="AL87" s="24">
        <f ca="1">OFFSET(FTRA!AO$136,$E87,0)</f>
        <v>80.343326170645369</v>
      </c>
      <c r="AM87" s="24">
        <f ca="1">OFFSET(FTRA!AP$136,$E87,0)</f>
        <v>80.343326170645369</v>
      </c>
    </row>
    <row r="88" spans="1:39">
      <c r="A88" s="35" t="s">
        <v>412</v>
      </c>
      <c r="B88" s="24">
        <v>4.134278411680218</v>
      </c>
      <c r="E88" s="128">
        <f>MATCH(F88,FTRA!$D$137:$D$149,0)</f>
        <v>2</v>
      </c>
      <c r="F88" s="4" t="str">
        <f>A88</f>
        <v>TFHCV1</v>
      </c>
      <c r="G88" s="24">
        <f ca="1">OFFSET(FTRA!J$136,$E88,0)</f>
        <v>3.6611476956493059</v>
      </c>
      <c r="H88" s="24">
        <f ca="1">OFFSET(FTRA!K$136,$E88,0)</f>
        <v>3.6595361414986383</v>
      </c>
      <c r="I88" s="24">
        <f ca="1">OFFSET(FTRA!L$136,$E88,0)</f>
        <v>3.6579245873479707</v>
      </c>
      <c r="J88" s="24">
        <f ca="1">OFFSET(FTRA!M$136,$E88,0)</f>
        <v>3.6563130331972848</v>
      </c>
      <c r="K88" s="24">
        <f ca="1">OFFSET(FTRA!N$136,$E88,0)</f>
        <v>3.6538957019712837</v>
      </c>
      <c r="L88" s="24">
        <f ca="1">OFFSET(FTRA!O$136,$E88,0)</f>
        <v>3.6514783707452825</v>
      </c>
      <c r="M88" s="24">
        <f ca="1">OFFSET(FTRA!P$136,$E88,0)</f>
        <v>3.6742043035226284</v>
      </c>
      <c r="N88" s="24">
        <f ca="1">OFFSET(FTRA!Q$136,$E88,0)</f>
        <v>3.6969302362999743</v>
      </c>
      <c r="O88" s="24">
        <f ca="1">OFFSET(FTRA!R$136,$E88,0)</f>
        <v>3.4838443737120905</v>
      </c>
      <c r="P88" s="24">
        <f ca="1">OFFSET(FTRA!S$136,$E88,0)</f>
        <v>3.5419892634131425</v>
      </c>
      <c r="Q88" s="24">
        <f ca="1">OFFSET(FTRA!T$136,$E88,0)</f>
        <v>3.6168916394516688</v>
      </c>
      <c r="R88" s="24">
        <f ca="1">OFFSET(FTRA!U$136,$E88,0)</f>
        <v>3.6917940154901951</v>
      </c>
      <c r="S88" s="24">
        <f ca="1">OFFSET(FTRA!V$136,$E88,0)</f>
        <v>3.7666963915287215</v>
      </c>
      <c r="T88" s="24">
        <f ca="1">OFFSET(FTRA!W$136,$E88,0)</f>
        <v>3.8415987675672478</v>
      </c>
      <c r="U88" s="24">
        <f ca="1">OFFSET(FTRA!X$136,$E88,0)</f>
        <v>3.9165011436057742</v>
      </c>
      <c r="V88" s="24">
        <f ca="1">OFFSET(FTRA!Y$136,$E88,0)</f>
        <v>3.9914035196443005</v>
      </c>
      <c r="W88" s="24">
        <f ca="1">OFFSET(FTRA!Z$136,$E88,0)</f>
        <v>4.0663058956828264</v>
      </c>
      <c r="X88" s="24">
        <f ca="1">OFFSET(FTRA!AA$136,$E88,0)</f>
        <v>4.1412082717213528</v>
      </c>
      <c r="Y88" s="24">
        <f ca="1">OFFSET(FTRA!AB$136,$E88,0)</f>
        <v>4.2161106477598791</v>
      </c>
      <c r="Z88" s="24">
        <f ca="1">OFFSET(FTRA!AC$136,$E88,0)</f>
        <v>4.3068288866965592</v>
      </c>
      <c r="AA88" s="24">
        <f ca="1">OFFSET(FTRA!AD$136,$E88,0)</f>
        <v>4.3975471256332392</v>
      </c>
      <c r="AB88" s="24">
        <f ca="1">OFFSET(FTRA!AE$136,$E88,0)</f>
        <v>4.4882653645699193</v>
      </c>
      <c r="AC88" s="24">
        <f ca="1">OFFSET(FTRA!AF$136,$E88,0)</f>
        <v>4.5789836035065994</v>
      </c>
      <c r="AD88" s="24">
        <f ca="1">OFFSET(FTRA!AG$136,$E88,0)</f>
        <v>4.6697018424432795</v>
      </c>
      <c r="AE88" s="24">
        <f ca="1">OFFSET(FTRA!AH$136,$E88,0)</f>
        <v>4.7604200813799595</v>
      </c>
      <c r="AF88" s="24">
        <f ca="1">OFFSET(FTRA!AI$136,$E88,0)</f>
        <v>4.8511383203166396</v>
      </c>
      <c r="AG88" s="24">
        <f ca="1">OFFSET(FTRA!AJ$136,$E88,0)</f>
        <v>4.9418565592533197</v>
      </c>
      <c r="AH88" s="24">
        <f ca="1">OFFSET(FTRA!AK$136,$E88,0)</f>
        <v>5.0325747981899998</v>
      </c>
      <c r="AI88" s="24">
        <f ca="1">OFFSET(FTRA!AL$136,$E88,0)</f>
        <v>5.1232930371266825</v>
      </c>
      <c r="AJ88" s="24">
        <f ca="1">OFFSET(FTRA!AM$136,$E88,0)</f>
        <v>5.7239737117547893</v>
      </c>
      <c r="AK88" s="24">
        <f ca="1">OFFSET(FTRA!AN$136,$E88,0)</f>
        <v>6.3246543863829006</v>
      </c>
      <c r="AL88" s="24">
        <f ca="1">OFFSET(FTRA!AO$136,$E88,0)</f>
        <v>6.3246543863829006</v>
      </c>
      <c r="AM88" s="24">
        <f ca="1">OFFSET(FTRA!AP$136,$E88,0)</f>
        <v>6.3246543863829006</v>
      </c>
    </row>
    <row r="89" spans="1:39" s="4" customFormat="1">
      <c r="A89" s="35" t="s">
        <v>413</v>
      </c>
      <c r="B89" s="24">
        <v>0.80954708483781546</v>
      </c>
      <c r="E89" s="128">
        <f>MATCH(F89,FTRA!$D$137:$D$149,0)</f>
        <v>3</v>
      </c>
      <c r="F89" s="4" t="str">
        <f t="shared" ref="F89:F96" si="3">A89</f>
        <v>TFHCV2</v>
      </c>
      <c r="G89" s="24">
        <f ca="1">OFFSET(FTRA!J$136,$E89,0)</f>
        <v>0.91016288033514725</v>
      </c>
      <c r="H89" s="24">
        <f ca="1">OFFSET(FTRA!K$136,$E89,0)</f>
        <v>0.92563893602886782</v>
      </c>
      <c r="I89" s="24">
        <f ca="1">OFFSET(FTRA!L$136,$E89,0)</f>
        <v>0.94111499172258839</v>
      </c>
      <c r="J89" s="24">
        <f ca="1">OFFSET(FTRA!M$136,$E89,0)</f>
        <v>0.95659104741630863</v>
      </c>
      <c r="K89" s="24">
        <f ca="1">OFFSET(FTRA!N$136,$E89,0)</f>
        <v>0.97980513095688937</v>
      </c>
      <c r="L89" s="24">
        <f ca="1">OFFSET(FTRA!O$136,$E89,0)</f>
        <v>1.0030192144974701</v>
      </c>
      <c r="M89" s="24">
        <f ca="1">OFFSET(FTRA!P$136,$E89,0)</f>
        <v>1.009261767493451</v>
      </c>
      <c r="N89" s="24">
        <f ca="1">OFFSET(FTRA!Q$136,$E89,0)</f>
        <v>1.0155043204894318</v>
      </c>
      <c r="O89" s="24">
        <f ca="1">OFFSET(FTRA!R$136,$E89,0)</f>
        <v>0.95697207880185675</v>
      </c>
      <c r="P89" s="24">
        <f ca="1">OFFSET(FTRA!S$136,$E89,0)</f>
        <v>0.97294381289789855</v>
      </c>
      <c r="Q89" s="24">
        <f ca="1">OFFSET(FTRA!T$136,$E89,0)</f>
        <v>0.99351863622974879</v>
      </c>
      <c r="R89" s="24">
        <f ca="1">OFFSET(FTRA!U$136,$E89,0)</f>
        <v>1.0140934595615991</v>
      </c>
      <c r="S89" s="24">
        <f ca="1">OFFSET(FTRA!V$136,$E89,0)</f>
        <v>1.0346682828934495</v>
      </c>
      <c r="T89" s="24">
        <f ca="1">OFFSET(FTRA!W$136,$E89,0)</f>
        <v>1.0552431062252998</v>
      </c>
      <c r="U89" s="24">
        <f ca="1">OFFSET(FTRA!X$136,$E89,0)</f>
        <v>1.0758179295571502</v>
      </c>
      <c r="V89" s="24">
        <f ca="1">OFFSET(FTRA!Y$136,$E89,0)</f>
        <v>1.0963927528890005</v>
      </c>
      <c r="W89" s="24">
        <f ca="1">OFFSET(FTRA!Z$136,$E89,0)</f>
        <v>1.1169675762208509</v>
      </c>
      <c r="X89" s="24">
        <f ca="1">OFFSET(FTRA!AA$136,$E89,0)</f>
        <v>1.1375423995527012</v>
      </c>
      <c r="Y89" s="24">
        <f ca="1">OFFSET(FTRA!AB$136,$E89,0)</f>
        <v>1.1581172228845511</v>
      </c>
      <c r="Z89" s="24">
        <f ca="1">OFFSET(FTRA!AC$136,$E89,0)</f>
        <v>1.1830364822968125</v>
      </c>
      <c r="AA89" s="24">
        <f ca="1">OFFSET(FTRA!AD$136,$E89,0)</f>
        <v>1.2079557417090738</v>
      </c>
      <c r="AB89" s="24">
        <f ca="1">OFFSET(FTRA!AE$136,$E89,0)</f>
        <v>1.2328750011213352</v>
      </c>
      <c r="AC89" s="24">
        <f ca="1">OFFSET(FTRA!AF$136,$E89,0)</f>
        <v>1.2577942605335966</v>
      </c>
      <c r="AD89" s="24">
        <f ca="1">OFFSET(FTRA!AG$136,$E89,0)</f>
        <v>1.2827135199458579</v>
      </c>
      <c r="AE89" s="24">
        <f ca="1">OFFSET(FTRA!AH$136,$E89,0)</f>
        <v>1.3076327793581193</v>
      </c>
      <c r="AF89" s="24">
        <f ca="1">OFFSET(FTRA!AI$136,$E89,0)</f>
        <v>1.3325520387703806</v>
      </c>
      <c r="AG89" s="24">
        <f ca="1">OFFSET(FTRA!AJ$136,$E89,0)</f>
        <v>1.357471298182642</v>
      </c>
      <c r="AH89" s="24">
        <f ca="1">OFFSET(FTRA!AK$136,$E89,0)</f>
        <v>1.3823905575949034</v>
      </c>
      <c r="AI89" s="24">
        <f ca="1">OFFSET(FTRA!AL$136,$E89,0)</f>
        <v>1.4073098170071641</v>
      </c>
      <c r="AJ89" s="24">
        <f ca="1">OFFSET(FTRA!AM$136,$E89,0)</f>
        <v>1.5723099066301305</v>
      </c>
      <c r="AK89" s="24">
        <f ca="1">OFFSET(FTRA!AN$136,$E89,0)</f>
        <v>1.7373099962530976</v>
      </c>
      <c r="AL89" s="24">
        <f ca="1">OFFSET(FTRA!AO$136,$E89,0)</f>
        <v>1.7373099962530976</v>
      </c>
      <c r="AM89" s="24">
        <f ca="1">OFFSET(FTRA!AP$136,$E89,0)</f>
        <v>1.7373099962530976</v>
      </c>
    </row>
    <row r="90" spans="1:39" s="4" customFormat="1">
      <c r="A90" s="35" t="s">
        <v>414</v>
      </c>
      <c r="B90" s="24">
        <v>2.7195831056144888</v>
      </c>
      <c r="E90" s="128">
        <f>MATCH(F90,FTRA!$D$137:$D$149,0)</f>
        <v>4</v>
      </c>
      <c r="F90" s="4" t="str">
        <f t="shared" si="3"/>
        <v>TFHCV3</v>
      </c>
      <c r="G90" s="24">
        <f ca="1">OFFSET(FTRA!J$136,$E90,0)</f>
        <v>3.0423873008641582</v>
      </c>
      <c r="H90" s="24">
        <f ca="1">OFFSET(FTRA!K$136,$E90,0)</f>
        <v>3.0852151471238134</v>
      </c>
      <c r="I90" s="24">
        <f ca="1">OFFSET(FTRA!L$136,$E90,0)</f>
        <v>3.1280429933834686</v>
      </c>
      <c r="J90" s="24">
        <f ca="1">OFFSET(FTRA!M$136,$E90,0)</f>
        <v>3.1708708396431251</v>
      </c>
      <c r="K90" s="24">
        <f ca="1">OFFSET(FTRA!N$136,$E90,0)</f>
        <v>3.2351126090326074</v>
      </c>
      <c r="L90" s="24">
        <f ca="1">OFFSET(FTRA!O$136,$E90,0)</f>
        <v>3.2993543784220902</v>
      </c>
      <c r="M90" s="24">
        <f ca="1">OFFSET(FTRA!P$136,$E90,0)</f>
        <v>3.3198887752333626</v>
      </c>
      <c r="N90" s="24">
        <f ca="1">OFFSET(FTRA!Q$136,$E90,0)</f>
        <v>3.3404231720446353</v>
      </c>
      <c r="O90" s="24">
        <f ca="1">OFFSET(FTRA!R$136,$E90,0)</f>
        <v>3.1478858755507528</v>
      </c>
      <c r="P90" s="24">
        <f ca="1">OFFSET(FTRA!S$136,$E90,0)</f>
        <v>3.2004236635204188</v>
      </c>
      <c r="Q90" s="24">
        <f ca="1">OFFSET(FTRA!T$136,$E90,0)</f>
        <v>3.2681029586565664</v>
      </c>
      <c r="R90" s="24">
        <f ca="1">OFFSET(FTRA!U$136,$E90,0)</f>
        <v>3.335782253792714</v>
      </c>
      <c r="S90" s="24">
        <f ca="1">OFFSET(FTRA!V$136,$E90,0)</f>
        <v>3.4034615489288615</v>
      </c>
      <c r="T90" s="24">
        <f ca="1">OFFSET(FTRA!W$136,$E90,0)</f>
        <v>3.4711408440650091</v>
      </c>
      <c r="U90" s="24">
        <f ca="1">OFFSET(FTRA!X$136,$E90,0)</f>
        <v>3.5388201392011567</v>
      </c>
      <c r="V90" s="24">
        <f ca="1">OFFSET(FTRA!Y$136,$E90,0)</f>
        <v>3.6064994343373042</v>
      </c>
      <c r="W90" s="24">
        <f ca="1">OFFSET(FTRA!Z$136,$E90,0)</f>
        <v>3.6741787294734518</v>
      </c>
      <c r="X90" s="24">
        <f ca="1">OFFSET(FTRA!AA$136,$E90,0)</f>
        <v>3.7418580246095994</v>
      </c>
      <c r="Y90" s="24">
        <f ca="1">OFFSET(FTRA!AB$136,$E90,0)</f>
        <v>3.8095373197457469</v>
      </c>
      <c r="Z90" s="24">
        <f ca="1">OFFSET(FTRA!AC$136,$E90,0)</f>
        <v>3.8915073024345359</v>
      </c>
      <c r="AA90" s="24">
        <f ca="1">OFFSET(FTRA!AD$136,$E90,0)</f>
        <v>3.9734772851233249</v>
      </c>
      <c r="AB90" s="24">
        <f ca="1">OFFSET(FTRA!AE$136,$E90,0)</f>
        <v>4.0554472678121138</v>
      </c>
      <c r="AC90" s="24">
        <f ca="1">OFFSET(FTRA!AF$136,$E90,0)</f>
        <v>4.1374172505009028</v>
      </c>
      <c r="AD90" s="24">
        <f ca="1">OFFSET(FTRA!AG$136,$E90,0)</f>
        <v>4.2193872331896918</v>
      </c>
      <c r="AE90" s="24">
        <f ca="1">OFFSET(FTRA!AH$136,$E90,0)</f>
        <v>4.3013572158784807</v>
      </c>
      <c r="AF90" s="24">
        <f ca="1">OFFSET(FTRA!AI$136,$E90,0)</f>
        <v>4.3833271985672697</v>
      </c>
      <c r="AG90" s="24">
        <f ca="1">OFFSET(FTRA!AJ$136,$E90,0)</f>
        <v>4.4652971812560587</v>
      </c>
      <c r="AH90" s="24">
        <f ca="1">OFFSET(FTRA!AK$136,$E90,0)</f>
        <v>4.5472671639448476</v>
      </c>
      <c r="AI90" s="24">
        <f ca="1">OFFSET(FTRA!AL$136,$E90,0)</f>
        <v>4.6292371466336357</v>
      </c>
      <c r="AJ90" s="24">
        <f ca="1">OFFSET(FTRA!AM$136,$E90,0)</f>
        <v>5.171992220782764</v>
      </c>
      <c r="AK90" s="24">
        <f ca="1">OFFSET(FTRA!AN$136,$E90,0)</f>
        <v>5.7147472949318887</v>
      </c>
      <c r="AL90" s="24">
        <f ca="1">OFFSET(FTRA!AO$136,$E90,0)</f>
        <v>5.7147472949318887</v>
      </c>
      <c r="AM90" s="24">
        <f ca="1">OFFSET(FTRA!AP$136,$E90,0)</f>
        <v>5.7147472949318887</v>
      </c>
    </row>
    <row r="91" spans="1:39" s="4" customFormat="1">
      <c r="A91" s="35" t="s">
        <v>415</v>
      </c>
      <c r="B91" s="24">
        <v>0.66594475210557558</v>
      </c>
      <c r="E91" s="128">
        <f>MATCH(F91,FTRA!$D$137:$D$149,0)</f>
        <v>5</v>
      </c>
      <c r="F91" s="4" t="str">
        <f t="shared" si="3"/>
        <v>TFHCV4</v>
      </c>
      <c r="G91" s="24">
        <f ca="1">OFFSET(FTRA!J$136,$E91,0)</f>
        <v>0.64156299948434192</v>
      </c>
      <c r="H91" s="24">
        <f ca="1">OFFSET(FTRA!K$136,$E91,0)</f>
        <v>0.62717766269161657</v>
      </c>
      <c r="I91" s="24">
        <f ca="1">OFFSET(FTRA!L$136,$E91,0)</f>
        <v>0.61279232589889121</v>
      </c>
      <c r="J91" s="24">
        <f ca="1">OFFSET(FTRA!M$136,$E91,0)</f>
        <v>0.59840698910616308</v>
      </c>
      <c r="K91" s="24">
        <f ca="1">OFFSET(FTRA!N$136,$E91,0)</f>
        <v>0.59840698910616308</v>
      </c>
      <c r="L91" s="24">
        <f ca="1">OFFSET(FTRA!O$136,$E91,0)</f>
        <v>0.59840698910616308</v>
      </c>
      <c r="M91" s="24">
        <f ca="1">OFFSET(FTRA!P$136,$E91,0)</f>
        <v>0.60213133185919032</v>
      </c>
      <c r="N91" s="24">
        <f ca="1">OFFSET(FTRA!Q$136,$E91,0)</f>
        <v>0.60585567461221745</v>
      </c>
      <c r="O91" s="24">
        <f ca="1">OFFSET(FTRA!R$136,$E91,0)</f>
        <v>0.57093500509000428</v>
      </c>
      <c r="P91" s="24">
        <f ca="1">OFFSET(FTRA!S$136,$E91,0)</f>
        <v>0.58046383282637526</v>
      </c>
      <c r="Q91" s="24">
        <f ca="1">OFFSET(FTRA!T$136,$E91,0)</f>
        <v>0.59273888987757273</v>
      </c>
      <c r="R91" s="24">
        <f ca="1">OFFSET(FTRA!U$136,$E91,0)</f>
        <v>0.6050139469287702</v>
      </c>
      <c r="S91" s="24">
        <f ca="1">OFFSET(FTRA!V$136,$E91,0)</f>
        <v>0.61728900397996767</v>
      </c>
      <c r="T91" s="24">
        <f ca="1">OFFSET(FTRA!W$136,$E91,0)</f>
        <v>0.62956406103116513</v>
      </c>
      <c r="U91" s="24">
        <f ca="1">OFFSET(FTRA!X$136,$E91,0)</f>
        <v>0.6418391180823626</v>
      </c>
      <c r="V91" s="24">
        <f ca="1">OFFSET(FTRA!Y$136,$E91,0)</f>
        <v>0.65411417513356007</v>
      </c>
      <c r="W91" s="24">
        <f ca="1">OFFSET(FTRA!Z$136,$E91,0)</f>
        <v>0.66638923218475754</v>
      </c>
      <c r="X91" s="24">
        <f ca="1">OFFSET(FTRA!AA$136,$E91,0)</f>
        <v>0.67866428923595501</v>
      </c>
      <c r="Y91" s="24">
        <f ca="1">OFFSET(FTRA!AB$136,$E91,0)</f>
        <v>0.69093934628715292</v>
      </c>
      <c r="Z91" s="24">
        <f ca="1">OFFSET(FTRA!AC$136,$E91,0)</f>
        <v>0.70580631870414479</v>
      </c>
      <c r="AA91" s="24">
        <f ca="1">OFFSET(FTRA!AD$136,$E91,0)</f>
        <v>0.72067329112113665</v>
      </c>
      <c r="AB91" s="24">
        <f ca="1">OFFSET(FTRA!AE$136,$E91,0)</f>
        <v>0.73554026353812851</v>
      </c>
      <c r="AC91" s="24">
        <f ca="1">OFFSET(FTRA!AF$136,$E91,0)</f>
        <v>0.75040723595512038</v>
      </c>
      <c r="AD91" s="24">
        <f ca="1">OFFSET(FTRA!AG$136,$E91,0)</f>
        <v>0.76527420837211224</v>
      </c>
      <c r="AE91" s="24">
        <f ca="1">OFFSET(FTRA!AH$136,$E91,0)</f>
        <v>0.78014118078910411</v>
      </c>
      <c r="AF91" s="24">
        <f ca="1">OFFSET(FTRA!AI$136,$E91,0)</f>
        <v>0.79500815320609597</v>
      </c>
      <c r="AG91" s="24">
        <f ca="1">OFFSET(FTRA!AJ$136,$E91,0)</f>
        <v>0.80987512562308783</v>
      </c>
      <c r="AH91" s="24">
        <f ca="1">OFFSET(FTRA!AK$136,$E91,0)</f>
        <v>0.8247420980400797</v>
      </c>
      <c r="AI91" s="24">
        <f ca="1">OFFSET(FTRA!AL$136,$E91,0)</f>
        <v>0.83960907045707112</v>
      </c>
      <c r="AJ91" s="24">
        <f ca="1">OFFSET(FTRA!AM$136,$E91,0)</f>
        <v>0.93804906582943859</v>
      </c>
      <c r="AK91" s="24">
        <f ca="1">OFFSET(FTRA!AN$136,$E91,0)</f>
        <v>1.0364890612018061</v>
      </c>
      <c r="AL91" s="24">
        <f ca="1">OFFSET(FTRA!AO$136,$E91,0)</f>
        <v>1.0364890612018061</v>
      </c>
      <c r="AM91" s="24">
        <f ca="1">OFFSET(FTRA!AP$136,$E91,0)</f>
        <v>1.0364890612018061</v>
      </c>
    </row>
    <row r="92" spans="1:39" s="4" customFormat="1">
      <c r="A92" s="35" t="s">
        <v>416</v>
      </c>
      <c r="B92" s="24">
        <v>0.33457448391316724</v>
      </c>
      <c r="E92" s="128">
        <f>MATCH(F92,FTRA!$D$137:$D$149,0)</f>
        <v>6</v>
      </c>
      <c r="F92" s="4" t="str">
        <f t="shared" si="3"/>
        <v>TFHCV5</v>
      </c>
      <c r="G92" s="24">
        <f ca="1">OFFSET(FTRA!J$136,$E92,0)</f>
        <v>0.28132785630344881</v>
      </c>
      <c r="H92" s="24">
        <f ca="1">OFFSET(FTRA!K$136,$E92,0)</f>
        <v>0.28410456292842851</v>
      </c>
      <c r="I92" s="24">
        <f ca="1">OFFSET(FTRA!L$136,$E92,0)</f>
        <v>0.2868812695534082</v>
      </c>
      <c r="J92" s="24">
        <f ca="1">OFFSET(FTRA!M$136,$E92,0)</f>
        <v>0.28965797617838801</v>
      </c>
      <c r="K92" s="24">
        <f ca="1">OFFSET(FTRA!N$136,$E92,0)</f>
        <v>0.29382303611585753</v>
      </c>
      <c r="L92" s="24">
        <f ca="1">OFFSET(FTRA!O$136,$E92,0)</f>
        <v>0.29798809605332705</v>
      </c>
      <c r="M92" s="24">
        <f ca="1">OFFSET(FTRA!P$136,$E92,0)</f>
        <v>0.29984270307869332</v>
      </c>
      <c r="N92" s="24">
        <f ca="1">OFFSET(FTRA!Q$136,$E92,0)</f>
        <v>0.30169731010405959</v>
      </c>
      <c r="O92" s="24">
        <f ca="1">OFFSET(FTRA!R$136,$E92,0)</f>
        <v>0.28430790120130756</v>
      </c>
      <c r="P92" s="24">
        <f ca="1">OFFSET(FTRA!S$136,$E92,0)</f>
        <v>0.28905296148047083</v>
      </c>
      <c r="Q92" s="24">
        <f ca="1">OFFSET(FTRA!T$136,$E92,0)</f>
        <v>0.2951655586697115</v>
      </c>
      <c r="R92" s="24">
        <f ca="1">OFFSET(FTRA!U$136,$E92,0)</f>
        <v>0.30127815585895218</v>
      </c>
      <c r="S92" s="24">
        <f ca="1">OFFSET(FTRA!V$136,$E92,0)</f>
        <v>0.30739075304819286</v>
      </c>
      <c r="T92" s="24">
        <f ca="1">OFFSET(FTRA!W$136,$E92,0)</f>
        <v>0.31350335023743353</v>
      </c>
      <c r="U92" s="24">
        <f ca="1">OFFSET(FTRA!X$136,$E92,0)</f>
        <v>0.31961594742667421</v>
      </c>
      <c r="V92" s="24">
        <f ca="1">OFFSET(FTRA!Y$136,$E92,0)</f>
        <v>0.32572854461591488</v>
      </c>
      <c r="W92" s="24">
        <f ca="1">OFFSET(FTRA!Z$136,$E92,0)</f>
        <v>0.33184114180515556</v>
      </c>
      <c r="X92" s="24">
        <f ca="1">OFFSET(FTRA!AA$136,$E92,0)</f>
        <v>0.33795373899439624</v>
      </c>
      <c r="Y92" s="24">
        <f ca="1">OFFSET(FTRA!AB$136,$E92,0)</f>
        <v>0.34406633618363702</v>
      </c>
      <c r="Z92" s="24">
        <f ca="1">OFFSET(FTRA!AC$136,$E92,0)</f>
        <v>0.35146962672881271</v>
      </c>
      <c r="AA92" s="24">
        <f ca="1">OFFSET(FTRA!AD$136,$E92,0)</f>
        <v>0.3588729172739884</v>
      </c>
      <c r="AB92" s="24">
        <f ca="1">OFFSET(FTRA!AE$136,$E92,0)</f>
        <v>0.36627620781916409</v>
      </c>
      <c r="AC92" s="24">
        <f ca="1">OFFSET(FTRA!AF$136,$E92,0)</f>
        <v>0.37367949836433978</v>
      </c>
      <c r="AD92" s="24">
        <f ca="1">OFFSET(FTRA!AG$136,$E92,0)</f>
        <v>0.38108278890951547</v>
      </c>
      <c r="AE92" s="24">
        <f ca="1">OFFSET(FTRA!AH$136,$E92,0)</f>
        <v>0.38848607945469116</v>
      </c>
      <c r="AF92" s="24">
        <f ca="1">OFFSET(FTRA!AI$136,$E92,0)</f>
        <v>0.39588936999986685</v>
      </c>
      <c r="AG92" s="24">
        <f ca="1">OFFSET(FTRA!AJ$136,$E92,0)</f>
        <v>0.40329266054504254</v>
      </c>
      <c r="AH92" s="24">
        <f ca="1">OFFSET(FTRA!AK$136,$E92,0)</f>
        <v>0.41069595109021823</v>
      </c>
      <c r="AI92" s="24">
        <f ca="1">OFFSET(FTRA!AL$136,$E92,0)</f>
        <v>0.41809924163539414</v>
      </c>
      <c r="AJ92" s="24">
        <f ca="1">OFFSET(FTRA!AM$136,$E92,0)</f>
        <v>0.46711930211350794</v>
      </c>
      <c r="AK92" s="24">
        <f ca="1">OFFSET(FTRA!AN$136,$E92,0)</f>
        <v>0.51613936259162185</v>
      </c>
      <c r="AL92" s="24">
        <f ca="1">OFFSET(FTRA!AO$136,$E92,0)</f>
        <v>0.51613936259162185</v>
      </c>
      <c r="AM92" s="24">
        <f ca="1">OFFSET(FTRA!AP$136,$E92,0)</f>
        <v>0.51613936259162185</v>
      </c>
    </row>
    <row r="93" spans="1:39" s="4" customFormat="1">
      <c r="A93" s="35" t="s">
        <v>417</v>
      </c>
      <c r="B93" s="24">
        <v>4.2080971938397562</v>
      </c>
      <c r="E93" s="128">
        <f>MATCH(F93,FTRA!$D$137:$D$149,0)</f>
        <v>7</v>
      </c>
      <c r="F93" s="4" t="str">
        <f t="shared" si="3"/>
        <v>TFHCV6</v>
      </c>
      <c r="G93" s="24">
        <f ca="1">OFFSET(FTRA!J$136,$E93,0)</f>
        <v>5.1541817584817791</v>
      </c>
      <c r="H93" s="24">
        <f ca="1">OFFSET(FTRA!K$136,$E93,0)</f>
        <v>5.4055160928410038</v>
      </c>
      <c r="I93" s="24">
        <f ca="1">OFFSET(FTRA!L$136,$E93,0)</f>
        <v>5.6568504272002285</v>
      </c>
      <c r="J93" s="24">
        <f ca="1">OFFSET(FTRA!M$136,$E93,0)</f>
        <v>5.9081847615594549</v>
      </c>
      <c r="K93" s="24">
        <f ca="1">OFFSET(FTRA!N$136,$E93,0)</f>
        <v>6.2851862630982929</v>
      </c>
      <c r="L93" s="24">
        <f ca="1">OFFSET(FTRA!O$136,$E93,0)</f>
        <v>6.6621877646371299</v>
      </c>
      <c r="M93" s="24">
        <f ca="1">OFFSET(FTRA!P$136,$E93,0)</f>
        <v>6.7036516365039915</v>
      </c>
      <c r="N93" s="24">
        <f ca="1">OFFSET(FTRA!Q$136,$E93,0)</f>
        <v>6.7451155083708541</v>
      </c>
      <c r="O93" s="24">
        <f ca="1">OFFSET(FTRA!R$136,$E93,0)</f>
        <v>6.3563365310876332</v>
      </c>
      <c r="P93" s="24">
        <f ca="1">OFFSET(FTRA!S$136,$E93,0)</f>
        <v>6.4624229249838852</v>
      </c>
      <c r="Q93" s="24">
        <f ca="1">OFFSET(FTRA!T$136,$E93,0)</f>
        <v>6.5990836531930652</v>
      </c>
      <c r="R93" s="24">
        <f ca="1">OFFSET(FTRA!U$136,$E93,0)</f>
        <v>6.7357443814022453</v>
      </c>
      <c r="S93" s="24">
        <f ca="1">OFFSET(FTRA!V$136,$E93,0)</f>
        <v>6.8724051096114254</v>
      </c>
      <c r="T93" s="24">
        <f ca="1">OFFSET(FTRA!W$136,$E93,0)</f>
        <v>7.0090658378206054</v>
      </c>
      <c r="U93" s="24">
        <f ca="1">OFFSET(FTRA!X$136,$E93,0)</f>
        <v>7.1457265660297855</v>
      </c>
      <c r="V93" s="24">
        <f ca="1">OFFSET(FTRA!Y$136,$E93,0)</f>
        <v>7.2823872942389656</v>
      </c>
      <c r="W93" s="24">
        <f ca="1">OFFSET(FTRA!Z$136,$E93,0)</f>
        <v>7.4190480224481457</v>
      </c>
      <c r="X93" s="24">
        <f ca="1">OFFSET(FTRA!AA$136,$E93,0)</f>
        <v>7.5557087506573257</v>
      </c>
      <c r="Y93" s="24">
        <f ca="1">OFFSET(FTRA!AB$136,$E93,0)</f>
        <v>7.6923694788665022</v>
      </c>
      <c r="Z93" s="24">
        <f ca="1">OFFSET(FTRA!AC$136,$E93,0)</f>
        <v>7.8578865325386626</v>
      </c>
      <c r="AA93" s="24">
        <f ca="1">OFFSET(FTRA!AD$136,$E93,0)</f>
        <v>8.0234035862108222</v>
      </c>
      <c r="AB93" s="24">
        <f ca="1">OFFSET(FTRA!AE$136,$E93,0)</f>
        <v>8.1889206398829817</v>
      </c>
      <c r="AC93" s="24">
        <f ca="1">OFFSET(FTRA!AF$136,$E93,0)</f>
        <v>8.3544376935551412</v>
      </c>
      <c r="AD93" s="24">
        <f ca="1">OFFSET(FTRA!AG$136,$E93,0)</f>
        <v>8.5199547472273007</v>
      </c>
      <c r="AE93" s="24">
        <f ca="1">OFFSET(FTRA!AH$136,$E93,0)</f>
        <v>8.6854718008994602</v>
      </c>
      <c r="AF93" s="24">
        <f ca="1">OFFSET(FTRA!AI$136,$E93,0)</f>
        <v>8.8509888545716198</v>
      </c>
      <c r="AG93" s="24">
        <f ca="1">OFFSET(FTRA!AJ$136,$E93,0)</f>
        <v>9.0165059082437793</v>
      </c>
      <c r="AH93" s="24">
        <f ca="1">OFFSET(FTRA!AK$136,$E93,0)</f>
        <v>9.1820229619159388</v>
      </c>
      <c r="AI93" s="24">
        <f ca="1">OFFSET(FTRA!AL$136,$E93,0)</f>
        <v>9.3475400155881054</v>
      </c>
      <c r="AJ93" s="24">
        <f ca="1">OFFSET(FTRA!AM$136,$E93,0)</f>
        <v>10.443492677672362</v>
      </c>
      <c r="AK93" s="24">
        <f ca="1">OFFSET(FTRA!AN$136,$E93,0)</f>
        <v>11.539445339756615</v>
      </c>
      <c r="AL93" s="24">
        <f ca="1">OFFSET(FTRA!AO$136,$E93,0)</f>
        <v>11.539445339756615</v>
      </c>
      <c r="AM93" s="24">
        <f ca="1">OFFSET(FTRA!AP$136,$E93,0)</f>
        <v>11.539445339756615</v>
      </c>
    </row>
    <row r="94" spans="1:39" s="4" customFormat="1">
      <c r="A94" s="35" t="s">
        <v>418</v>
      </c>
      <c r="B94" s="24">
        <v>1.4910262867673953</v>
      </c>
      <c r="E94" s="128">
        <f>MATCH(F94,FTRA!$D$137:$D$149,0)</f>
        <v>8</v>
      </c>
      <c r="F94" s="4" t="str">
        <f t="shared" si="3"/>
        <v>TFHCV7</v>
      </c>
      <c r="G94" s="24">
        <f ca="1">OFFSET(FTRA!J$136,$E94,0)</f>
        <v>1.9761616214119715</v>
      </c>
      <c r="H94" s="24">
        <f ca="1">OFFSET(FTRA!K$136,$E94,0)</f>
        <v>2.0178274562873066</v>
      </c>
      <c r="I94" s="24">
        <f ca="1">OFFSET(FTRA!L$136,$E94,0)</f>
        <v>2.0594932911626418</v>
      </c>
      <c r="J94" s="24">
        <f ca="1">OFFSET(FTRA!M$136,$E94,0)</f>
        <v>2.1011591260379752</v>
      </c>
      <c r="K94" s="24">
        <f ca="1">OFFSET(FTRA!N$136,$E94,0)</f>
        <v>2.1636578783509774</v>
      </c>
      <c r="L94" s="24">
        <f ca="1">OFFSET(FTRA!O$136,$E94,0)</f>
        <v>2.2261566306639802</v>
      </c>
      <c r="M94" s="24">
        <f ca="1">OFFSET(FTRA!P$136,$E94,0)</f>
        <v>2.240011699982106</v>
      </c>
      <c r="N94" s="24">
        <f ca="1">OFFSET(FTRA!Q$136,$E94,0)</f>
        <v>2.2538667693002314</v>
      </c>
      <c r="O94" s="24">
        <f ca="1">OFFSET(FTRA!R$136,$E94,0)</f>
        <v>2.1239570566476127</v>
      </c>
      <c r="P94" s="24">
        <f ca="1">OFFSET(FTRA!S$136,$E94,0)</f>
        <v>2.1594056116176379</v>
      </c>
      <c r="Q94" s="24">
        <f ca="1">OFFSET(FTRA!T$136,$E94,0)</f>
        <v>2.2050705188526267</v>
      </c>
      <c r="R94" s="24">
        <f ca="1">OFFSET(FTRA!U$136,$E94,0)</f>
        <v>2.2507354260876156</v>
      </c>
      <c r="S94" s="24">
        <f ca="1">OFFSET(FTRA!V$136,$E94,0)</f>
        <v>2.2964003333226044</v>
      </c>
      <c r="T94" s="24">
        <f ca="1">OFFSET(FTRA!W$136,$E94,0)</f>
        <v>2.3420652405575932</v>
      </c>
      <c r="U94" s="24">
        <f ca="1">OFFSET(FTRA!X$136,$E94,0)</f>
        <v>2.3877301477925821</v>
      </c>
      <c r="V94" s="24">
        <f ca="1">OFFSET(FTRA!Y$136,$E94,0)</f>
        <v>2.4333950550275709</v>
      </c>
      <c r="W94" s="24">
        <f ca="1">OFFSET(FTRA!Z$136,$E94,0)</f>
        <v>2.4790599622625598</v>
      </c>
      <c r="X94" s="24">
        <f ca="1">OFFSET(FTRA!AA$136,$E94,0)</f>
        <v>2.5247248694975486</v>
      </c>
      <c r="Y94" s="24">
        <f ca="1">OFFSET(FTRA!AB$136,$E94,0)</f>
        <v>2.5703897767325388</v>
      </c>
      <c r="Z94" s="24">
        <f ca="1">OFFSET(FTRA!AC$136,$E94,0)</f>
        <v>2.6256969670336088</v>
      </c>
      <c r="AA94" s="24">
        <f ca="1">OFFSET(FTRA!AD$136,$E94,0)</f>
        <v>2.6810041573346788</v>
      </c>
      <c r="AB94" s="24">
        <f ca="1">OFFSET(FTRA!AE$136,$E94,0)</f>
        <v>2.7363113476357488</v>
      </c>
      <c r="AC94" s="24">
        <f ca="1">OFFSET(FTRA!AF$136,$E94,0)</f>
        <v>2.7916185379368188</v>
      </c>
      <c r="AD94" s="24">
        <f ca="1">OFFSET(FTRA!AG$136,$E94,0)</f>
        <v>2.8469257282378888</v>
      </c>
      <c r="AE94" s="24">
        <f ca="1">OFFSET(FTRA!AH$136,$E94,0)</f>
        <v>2.9022329185389588</v>
      </c>
      <c r="AF94" s="24">
        <f ca="1">OFFSET(FTRA!AI$136,$E94,0)</f>
        <v>2.9575401088400288</v>
      </c>
      <c r="AG94" s="24">
        <f ca="1">OFFSET(FTRA!AJ$136,$E94,0)</f>
        <v>3.0128472991410988</v>
      </c>
      <c r="AH94" s="24">
        <f ca="1">OFFSET(FTRA!AK$136,$E94,0)</f>
        <v>3.0681544894421688</v>
      </c>
      <c r="AI94" s="24">
        <f ca="1">OFFSET(FTRA!AL$136,$E94,0)</f>
        <v>3.123461679743238</v>
      </c>
      <c r="AJ94" s="24">
        <f ca="1">OFFSET(FTRA!AM$136,$E94,0)</f>
        <v>3.4896720556415195</v>
      </c>
      <c r="AK94" s="24">
        <f ca="1">OFFSET(FTRA!AN$136,$E94,0)</f>
        <v>3.8558824315398028</v>
      </c>
      <c r="AL94" s="24">
        <f ca="1">OFFSET(FTRA!AO$136,$E94,0)</f>
        <v>3.8558824315398028</v>
      </c>
      <c r="AM94" s="24">
        <f ca="1">OFFSET(FTRA!AP$136,$E94,0)</f>
        <v>3.8558824315398028</v>
      </c>
    </row>
    <row r="95" spans="1:39" s="4" customFormat="1">
      <c r="A95" s="35" t="s">
        <v>419</v>
      </c>
      <c r="B95" s="24">
        <v>0</v>
      </c>
      <c r="E95" s="128">
        <f>MATCH(F95,FTRA!$D$137:$D$149,0)</f>
        <v>9</v>
      </c>
      <c r="F95" s="4" t="str">
        <f t="shared" si="3"/>
        <v>TFHCV8</v>
      </c>
      <c r="G95" s="24">
        <f ca="1">OFFSET(FTRA!J$136,$E95,0)</f>
        <v>7.0701624395945725E-2</v>
      </c>
      <c r="H95" s="24">
        <f ca="1">OFFSET(FTRA!K$136,$E95,0)</f>
        <v>7.9286966804927639E-2</v>
      </c>
      <c r="I95" s="24">
        <f ca="1">OFFSET(FTRA!L$136,$E95,0)</f>
        <v>8.7872309213909552E-2</v>
      </c>
      <c r="J95" s="24">
        <f ca="1">OFFSET(FTRA!M$136,$E95,0)</f>
        <v>9.6457651622891244E-2</v>
      </c>
      <c r="K95" s="24">
        <f ca="1">OFFSET(FTRA!N$136,$E95,0)</f>
        <v>0.10933566523636412</v>
      </c>
      <c r="L95" s="24">
        <f ca="1">OFFSET(FTRA!O$136,$E95,0)</f>
        <v>0.122213678849837</v>
      </c>
      <c r="M95" s="24">
        <f ca="1">OFFSET(FTRA!P$136,$E95,0)</f>
        <v>0.12297430771519344</v>
      </c>
      <c r="N95" s="24">
        <f ca="1">OFFSET(FTRA!Q$136,$E95,0)</f>
        <v>0.12373493658054988</v>
      </c>
      <c r="O95" s="24">
        <f ca="1">OFFSET(FTRA!R$136,$E95,0)</f>
        <v>0.11660302875209383</v>
      </c>
      <c r="P95" s="24">
        <f ca="1">OFFSET(FTRA!S$136,$E95,0)</f>
        <v>0.11854911747429903</v>
      </c>
      <c r="Q95" s="24">
        <f ca="1">OFFSET(FTRA!T$136,$E95,0)</f>
        <v>0.12105607328803257</v>
      </c>
      <c r="R95" s="24">
        <f ca="1">OFFSET(FTRA!U$136,$E95,0)</f>
        <v>0.12356302910176611</v>
      </c>
      <c r="S95" s="24">
        <f ca="1">OFFSET(FTRA!V$136,$E95,0)</f>
        <v>0.12606998491549967</v>
      </c>
      <c r="T95" s="24">
        <f ca="1">OFFSET(FTRA!W$136,$E95,0)</f>
        <v>0.12857694072923323</v>
      </c>
      <c r="U95" s="24">
        <f ca="1">OFFSET(FTRA!X$136,$E95,0)</f>
        <v>0.13108389654296679</v>
      </c>
      <c r="V95" s="24">
        <f ca="1">OFFSET(FTRA!Y$136,$E95,0)</f>
        <v>0.13359085235670035</v>
      </c>
      <c r="W95" s="24">
        <f ca="1">OFFSET(FTRA!Z$136,$E95,0)</f>
        <v>0.1360978081704339</v>
      </c>
      <c r="X95" s="24">
        <f ca="1">OFFSET(FTRA!AA$136,$E95,0)</f>
        <v>0.13860476398416746</v>
      </c>
      <c r="Y95" s="24">
        <f ca="1">OFFSET(FTRA!AB$136,$E95,0)</f>
        <v>0.14111171979790094</v>
      </c>
      <c r="Z95" s="24">
        <f ca="1">OFFSET(FTRA!AC$136,$E95,0)</f>
        <v>0.14414802690245798</v>
      </c>
      <c r="AA95" s="24">
        <f ca="1">OFFSET(FTRA!AD$136,$E95,0)</f>
        <v>0.14718433400701503</v>
      </c>
      <c r="AB95" s="24">
        <f ca="1">OFFSET(FTRA!AE$136,$E95,0)</f>
        <v>0.15022064111157207</v>
      </c>
      <c r="AC95" s="24">
        <f ca="1">OFFSET(FTRA!AF$136,$E95,0)</f>
        <v>0.15325694821612912</v>
      </c>
      <c r="AD95" s="24">
        <f ca="1">OFFSET(FTRA!AG$136,$E95,0)</f>
        <v>0.15629325532068616</v>
      </c>
      <c r="AE95" s="24">
        <f ca="1">OFFSET(FTRA!AH$136,$E95,0)</f>
        <v>0.15932956242524321</v>
      </c>
      <c r="AF95" s="24">
        <f ca="1">OFFSET(FTRA!AI$136,$E95,0)</f>
        <v>0.16236586952980026</v>
      </c>
      <c r="AG95" s="24">
        <f ca="1">OFFSET(FTRA!AJ$136,$E95,0)</f>
        <v>0.1654021766343573</v>
      </c>
      <c r="AH95" s="24">
        <f ca="1">OFFSET(FTRA!AK$136,$E95,0)</f>
        <v>0.16843848373891435</v>
      </c>
      <c r="AI95" s="24">
        <f ca="1">OFFSET(FTRA!AL$136,$E95,0)</f>
        <v>0.17147479084347125</v>
      </c>
      <c r="AJ95" s="24">
        <f ca="1">OFFSET(FTRA!AM$136,$E95,0)</f>
        <v>0.19157935880379567</v>
      </c>
      <c r="AK95" s="24">
        <f ca="1">OFFSET(FTRA!AN$136,$E95,0)</f>
        <v>0.21168392676412007</v>
      </c>
      <c r="AL95" s="24">
        <f ca="1">OFFSET(FTRA!AO$136,$E95,0)</f>
        <v>0.21168392676412007</v>
      </c>
      <c r="AM95" s="24">
        <f ca="1">OFFSET(FTRA!AP$136,$E95,0)</f>
        <v>0.21168392676412007</v>
      </c>
    </row>
    <row r="96" spans="1:39">
      <c r="A96" s="35" t="s">
        <v>420</v>
      </c>
      <c r="B96" s="24">
        <v>4.2946824044977329E-2</v>
      </c>
      <c r="E96" s="128">
        <f>MATCH(F96,FTRA!$D$137:$D$149,0)</f>
        <v>10</v>
      </c>
      <c r="F96" s="4" t="str">
        <f t="shared" si="3"/>
        <v>TFHCV9</v>
      </c>
      <c r="G96" s="24">
        <f ca="1">OFFSET(FTRA!J$136,$E96,0)</f>
        <v>5.2818957554105039E-2</v>
      </c>
      <c r="H96" s="24">
        <f ca="1">OFFSET(FTRA!K$136,$E96,0)</f>
        <v>4.5016661085483405E-2</v>
      </c>
      <c r="I96" s="24">
        <f ca="1">OFFSET(FTRA!L$136,$E96,0)</f>
        <v>3.721436461686177E-2</v>
      </c>
      <c r="J96" s="24">
        <f ca="1">OFFSET(FTRA!M$136,$E96,0)</f>
        <v>2.9412068148240201E-2</v>
      </c>
      <c r="K96" s="24">
        <f ca="1">OFFSET(FTRA!N$136,$E96,0)</f>
        <v>2.9412068148240201E-2</v>
      </c>
      <c r="L96" s="24">
        <f ca="1">OFFSET(FTRA!O$136,$E96,0)</f>
        <v>2.9412068148240201E-2</v>
      </c>
      <c r="M96" s="24">
        <f ca="1">OFFSET(FTRA!P$136,$E96,0)</f>
        <v>2.9595121863944723E-2</v>
      </c>
      <c r="N96" s="24">
        <f ca="1">OFFSET(FTRA!Q$136,$E96,0)</f>
        <v>2.9778175579649249E-2</v>
      </c>
      <c r="O96" s="24">
        <f ca="1">OFFSET(FTRA!R$136,$E96,0)</f>
        <v>2.806180339405084E-2</v>
      </c>
      <c r="P96" s="24">
        <f ca="1">OFFSET(FTRA!S$136,$E96,0)</f>
        <v>2.8530151083595065E-2</v>
      </c>
      <c r="Q96" s="24">
        <f ca="1">OFFSET(FTRA!T$136,$E96,0)</f>
        <v>2.9133477617352022E-2</v>
      </c>
      <c r="R96" s="24">
        <f ca="1">OFFSET(FTRA!U$136,$E96,0)</f>
        <v>2.9736804151108978E-2</v>
      </c>
      <c r="S96" s="24">
        <f ca="1">OFFSET(FTRA!V$136,$E96,0)</f>
        <v>3.0340130684865935E-2</v>
      </c>
      <c r="T96" s="24">
        <f ca="1">OFFSET(FTRA!W$136,$E96,0)</f>
        <v>3.0943457218622891E-2</v>
      </c>
      <c r="U96" s="24">
        <f ca="1">OFFSET(FTRA!X$136,$E96,0)</f>
        <v>3.1546783752379848E-2</v>
      </c>
      <c r="V96" s="24">
        <f ca="1">OFFSET(FTRA!Y$136,$E96,0)</f>
        <v>3.2150110286136804E-2</v>
      </c>
      <c r="W96" s="24">
        <f ca="1">OFFSET(FTRA!Z$136,$E96,0)</f>
        <v>3.2753436819893761E-2</v>
      </c>
      <c r="X96" s="24">
        <f ca="1">OFFSET(FTRA!AA$136,$E96,0)</f>
        <v>3.3356763353650717E-2</v>
      </c>
      <c r="Y96" s="24">
        <f ca="1">OFFSET(FTRA!AB$136,$E96,0)</f>
        <v>3.3960089887407674E-2</v>
      </c>
      <c r="Z96" s="24">
        <f ca="1">OFFSET(FTRA!AC$136,$E96,0)</f>
        <v>3.4690810640752676E-2</v>
      </c>
      <c r="AA96" s="24">
        <f ca="1">OFFSET(FTRA!AD$136,$E96,0)</f>
        <v>3.5421531394097677E-2</v>
      </c>
      <c r="AB96" s="24">
        <f ca="1">OFFSET(FTRA!AE$136,$E96,0)</f>
        <v>3.6152252147442679E-2</v>
      </c>
      <c r="AC96" s="24">
        <f ca="1">OFFSET(FTRA!AF$136,$E96,0)</f>
        <v>3.6882972900787681E-2</v>
      </c>
      <c r="AD96" s="24">
        <f ca="1">OFFSET(FTRA!AG$136,$E96,0)</f>
        <v>3.7613693654132682E-2</v>
      </c>
      <c r="AE96" s="24">
        <f ca="1">OFFSET(FTRA!AH$136,$E96,0)</f>
        <v>3.8344414407477684E-2</v>
      </c>
      <c r="AF96" s="24">
        <f ca="1">OFFSET(FTRA!AI$136,$E96,0)</f>
        <v>3.9075135160822685E-2</v>
      </c>
      <c r="AG96" s="24">
        <f ca="1">OFFSET(FTRA!AJ$136,$E96,0)</f>
        <v>3.9805855914167687E-2</v>
      </c>
      <c r="AH96" s="24">
        <f ca="1">OFFSET(FTRA!AK$136,$E96,0)</f>
        <v>4.0536576667512689E-2</v>
      </c>
      <c r="AI96" s="24">
        <f ca="1">OFFSET(FTRA!AL$136,$E96,0)</f>
        <v>4.1267297420857718E-2</v>
      </c>
      <c r="AJ96" s="24">
        <f ca="1">OFFSET(FTRA!AM$136,$E96,0)</f>
        <v>4.6105683176895174E-2</v>
      </c>
      <c r="AK96" s="24">
        <f ca="1">OFFSET(FTRA!AN$136,$E96,0)</f>
        <v>5.0944068932932636E-2</v>
      </c>
      <c r="AL96" s="24">
        <f ca="1">OFFSET(FTRA!AO$136,$E96,0)</f>
        <v>5.0944068932932636E-2</v>
      </c>
      <c r="AM96" s="24">
        <f ca="1">OFFSET(FTRA!AP$136,$E96,0)</f>
        <v>5.0944068932932636E-2</v>
      </c>
    </row>
    <row r="97" spans="1:39">
      <c r="A97" s="35" t="s">
        <v>382</v>
      </c>
      <c r="B97">
        <v>28</v>
      </c>
      <c r="E97" s="128">
        <f>MATCH(F97,FTRA!$D$137:$D$149,0)</f>
        <v>11</v>
      </c>
      <c r="F97" s="4" t="str">
        <f t="shared" si="1"/>
        <v>TFRCO</v>
      </c>
      <c r="G97" s="24">
        <f ca="1">OFFSET(FTRA!J$136,$E97,0)</f>
        <v>22</v>
      </c>
      <c r="H97" s="24">
        <f ca="1">OFFSET(FTRA!K$136,$E97,0)</f>
        <v>22.394471154794282</v>
      </c>
      <c r="I97" s="24">
        <f ca="1">OFFSET(FTRA!L$136,$E97,0)</f>
        <v>22.788942309588563</v>
      </c>
      <c r="J97" s="24">
        <f ca="1">OFFSET(FTRA!M$136,$E97,0)</f>
        <v>23.183413464382845</v>
      </c>
      <c r="K97" s="24">
        <f ca="1">OFFSET(FTRA!N$136,$E97,0)</f>
        <v>23.396576241140881</v>
      </c>
      <c r="L97" s="24">
        <f ca="1">OFFSET(FTRA!O$136,$E97,0)</f>
        <v>23.609739017898917</v>
      </c>
      <c r="M97" s="24">
        <f ca="1">OFFSET(FTRA!P$136,$E97,0)</f>
        <v>23.756680417335971</v>
      </c>
      <c r="N97" s="24">
        <f ca="1">OFFSET(FTRA!Q$136,$E97,0)</f>
        <v>23.903621816773025</v>
      </c>
      <c r="O97" s="24">
        <f ca="1">OFFSET(FTRA!R$136,$E97,0)</f>
        <v>22.525850653068453</v>
      </c>
      <c r="P97" s="24">
        <f ca="1">OFFSET(FTRA!S$136,$E97,0)</f>
        <v>22.901804042814582</v>
      </c>
      <c r="Q97" s="24">
        <f ca="1">OFFSET(FTRA!T$136,$E97,0)</f>
        <v>23.38610803438641</v>
      </c>
      <c r="R97" s="24">
        <f ca="1">OFFSET(FTRA!U$136,$E97,0)</f>
        <v>23.870412025958238</v>
      </c>
      <c r="S97" s="24">
        <f ca="1">OFFSET(FTRA!V$136,$E97,0)</f>
        <v>24.354716017530066</v>
      </c>
      <c r="T97" s="24">
        <f ca="1">OFFSET(FTRA!W$136,$E97,0)</f>
        <v>24.839020009101894</v>
      </c>
      <c r="U97" s="24">
        <f ca="1">OFFSET(FTRA!X$136,$E97,0)</f>
        <v>25.323324000673722</v>
      </c>
      <c r="V97" s="24">
        <f ca="1">OFFSET(FTRA!Y$136,$E97,0)</f>
        <v>25.80762799224555</v>
      </c>
      <c r="W97" s="24">
        <f ca="1">OFFSET(FTRA!Z$136,$E97,0)</f>
        <v>26.291931983817378</v>
      </c>
      <c r="X97" s="24">
        <f ca="1">OFFSET(FTRA!AA$136,$E97,0)</f>
        <v>26.776235975389206</v>
      </c>
      <c r="Y97" s="24">
        <f ca="1">OFFSET(FTRA!AB$136,$E97,0)</f>
        <v>27.260539966961023</v>
      </c>
      <c r="Z97" s="24">
        <f ca="1">OFFSET(FTRA!AC$136,$E97,0)</f>
        <v>27.847106208902439</v>
      </c>
      <c r="AA97" s="24">
        <f ca="1">OFFSET(FTRA!AD$136,$E97,0)</f>
        <v>28.433672450843854</v>
      </c>
      <c r="AB97" s="24">
        <f ca="1">OFFSET(FTRA!AE$136,$E97,0)</f>
        <v>29.02023869278527</v>
      </c>
      <c r="AC97" s="24">
        <f ca="1">OFFSET(FTRA!AF$136,$E97,0)</f>
        <v>29.606804934726686</v>
      </c>
      <c r="AD97" s="24">
        <f ca="1">OFFSET(FTRA!AG$136,$E97,0)</f>
        <v>30.193371176668101</v>
      </c>
      <c r="AE97" s="24">
        <f ca="1">OFFSET(FTRA!AH$136,$E97,0)</f>
        <v>30.779937418609517</v>
      </c>
      <c r="AF97" s="24">
        <f ca="1">OFFSET(FTRA!AI$136,$E97,0)</f>
        <v>31.366503660550933</v>
      </c>
      <c r="AG97" s="24">
        <f ca="1">OFFSET(FTRA!AJ$136,$E97,0)</f>
        <v>31.953069902492349</v>
      </c>
      <c r="AH97" s="24">
        <f ca="1">OFFSET(FTRA!AK$136,$E97,0)</f>
        <v>32.539636144433764</v>
      </c>
      <c r="AI97" s="24">
        <f ca="1">OFFSET(FTRA!AL$136,$E97,0)</f>
        <v>33.126202386375169</v>
      </c>
      <c r="AJ97" s="24">
        <f ca="1">OFFSET(FTRA!AM$136,$E97,0)</f>
        <v>37.010085165111299</v>
      </c>
      <c r="AK97" s="24">
        <f ca="1">OFFSET(FTRA!AN$136,$E97,0)</f>
        <v>40.89396794384745</v>
      </c>
      <c r="AL97" s="24">
        <f ca="1">OFFSET(FTRA!AO$136,$E97,0)</f>
        <v>40.89396794384745</v>
      </c>
      <c r="AM97" s="24">
        <f ca="1">OFFSET(FTRA!AP$136,$E97,0)</f>
        <v>40.89396794384745</v>
      </c>
    </row>
    <row r="98" spans="1:39">
      <c r="A98" s="35" t="s">
        <v>384</v>
      </c>
      <c r="B98">
        <v>26</v>
      </c>
      <c r="E98" s="130">
        <f>MATCH(F98,FTRA!$D$137:$D$149,0)</f>
        <v>12</v>
      </c>
      <c r="F98" s="4" t="str">
        <f>A98</f>
        <v>TFROT</v>
      </c>
      <c r="G98" s="24">
        <f ca="1">OFFSET(FTRA!J$136,$E98,0)</f>
        <v>25.1</v>
      </c>
      <c r="H98" s="24">
        <f ca="1">OFFSET(FTRA!K$136,$E98,0)</f>
        <v>25.550055726606203</v>
      </c>
      <c r="I98" s="24">
        <f ca="1">OFFSET(FTRA!L$136,$E98,0)</f>
        <v>26.000111453212405</v>
      </c>
      <c r="J98" s="24">
        <f ca="1">OFFSET(FTRA!M$136,$E98,0)</f>
        <v>26.450167179818607</v>
      </c>
      <c r="K98" s="24">
        <f ca="1">OFFSET(FTRA!N$136,$E98,0)</f>
        <v>26.693366529665273</v>
      </c>
      <c r="L98" s="24">
        <f ca="1">OFFSET(FTRA!O$136,$E98,0)</f>
        <v>26.936565879511939</v>
      </c>
      <c r="M98" s="24">
        <f ca="1">OFFSET(FTRA!P$136,$E98,0)</f>
        <v>27.104212657960581</v>
      </c>
      <c r="N98" s="24">
        <f ca="1">OFFSET(FTRA!Q$136,$E98,0)</f>
        <v>27.271859436409219</v>
      </c>
      <c r="O98" s="24">
        <f ca="1">OFFSET(FTRA!R$136,$E98,0)</f>
        <v>25.699947790546279</v>
      </c>
      <c r="P98" s="24">
        <f ca="1">OFFSET(FTRA!S$136,$E98,0)</f>
        <v>26.12887643066572</v>
      </c>
      <c r="Q98" s="24">
        <f ca="1">OFFSET(FTRA!T$136,$E98,0)</f>
        <v>26.681423257413577</v>
      </c>
      <c r="R98" s="24">
        <f ca="1">OFFSET(FTRA!U$136,$E98,0)</f>
        <v>27.233970084161434</v>
      </c>
      <c r="S98" s="24">
        <f ca="1">OFFSET(FTRA!V$136,$E98,0)</f>
        <v>27.786516910909292</v>
      </c>
      <c r="T98" s="24">
        <f ca="1">OFFSET(FTRA!W$136,$E98,0)</f>
        <v>28.339063737657149</v>
      </c>
      <c r="U98" s="24">
        <f ca="1">OFFSET(FTRA!X$136,$E98,0)</f>
        <v>28.891610564405006</v>
      </c>
      <c r="V98" s="24">
        <f ca="1">OFFSET(FTRA!Y$136,$E98,0)</f>
        <v>29.444157391152864</v>
      </c>
      <c r="W98" s="24">
        <f ca="1">OFFSET(FTRA!Z$136,$E98,0)</f>
        <v>29.996704217900721</v>
      </c>
      <c r="X98" s="24">
        <f ca="1">OFFSET(FTRA!AA$136,$E98,0)</f>
        <v>30.549251044648578</v>
      </c>
      <c r="Y98" s="24">
        <f ca="1">OFFSET(FTRA!AB$136,$E98,0)</f>
        <v>31.101797871396435</v>
      </c>
      <c r="Z98" s="24">
        <f ca="1">OFFSET(FTRA!AC$136,$E98,0)</f>
        <v>31.771016629247775</v>
      </c>
      <c r="AA98" s="24">
        <f ca="1">OFFSET(FTRA!AD$136,$E98,0)</f>
        <v>32.440235387099115</v>
      </c>
      <c r="AB98" s="24">
        <f ca="1">OFFSET(FTRA!AE$136,$E98,0)</f>
        <v>33.109454144950455</v>
      </c>
      <c r="AC98" s="24">
        <f ca="1">OFFSET(FTRA!AF$136,$E98,0)</f>
        <v>33.778672902801794</v>
      </c>
      <c r="AD98" s="24">
        <f ca="1">OFFSET(FTRA!AG$136,$E98,0)</f>
        <v>34.447891660653134</v>
      </c>
      <c r="AE98" s="24">
        <f ca="1">OFFSET(FTRA!AH$136,$E98,0)</f>
        <v>35.117110418504474</v>
      </c>
      <c r="AF98" s="24">
        <f ca="1">OFFSET(FTRA!AI$136,$E98,0)</f>
        <v>35.786329176355814</v>
      </c>
      <c r="AG98" s="24">
        <f ca="1">OFFSET(FTRA!AJ$136,$E98,0)</f>
        <v>36.455547934207154</v>
      </c>
      <c r="AH98" s="24">
        <f ca="1">OFFSET(FTRA!AK$136,$E98,0)</f>
        <v>37.124766692058493</v>
      </c>
      <c r="AI98" s="24">
        <f ca="1">OFFSET(FTRA!AL$136,$E98,0)</f>
        <v>37.79398544990984</v>
      </c>
      <c r="AJ98" s="24">
        <f ca="1">OFFSET(FTRA!AM$136,$E98,0)</f>
        <v>42.225142620195172</v>
      </c>
      <c r="AK98" s="24">
        <f ca="1">OFFSET(FTRA!AN$136,$E98,0)</f>
        <v>46.656299790480489</v>
      </c>
      <c r="AL98" s="24">
        <f ca="1">OFFSET(FTRA!AO$136,$E98,0)</f>
        <v>46.656299790480489</v>
      </c>
      <c r="AM98" s="24">
        <f ca="1">OFFSET(FTRA!AP$136,$E98,0)</f>
        <v>46.656299790480489</v>
      </c>
    </row>
    <row r="99" spans="1:39">
      <c r="A99" s="35" t="s">
        <v>383</v>
      </c>
      <c r="B99">
        <v>67</v>
      </c>
      <c r="E99" s="129">
        <f>MATCH(F99,FTRA!$D$137:$D$149,0)</f>
        <v>13</v>
      </c>
      <c r="F99" s="4" t="str">
        <f t="shared" si="1"/>
        <v>TFREX</v>
      </c>
      <c r="G99" s="24">
        <f ca="1">OFFSET(FTRA!J$136,$E99,0)</f>
        <v>82</v>
      </c>
      <c r="H99" s="24">
        <f ca="1">OFFSET(FTRA!K$136,$E99,0)</f>
        <v>82</v>
      </c>
      <c r="I99" s="24">
        <f ca="1">OFFSET(FTRA!L$136,$E99,0)</f>
        <v>82</v>
      </c>
      <c r="J99" s="24">
        <f ca="1">OFFSET(FTRA!M$136,$E99,0)</f>
        <v>82</v>
      </c>
      <c r="K99" s="24">
        <f ca="1">OFFSET(FTRA!N$136,$E99,0)</f>
        <v>82</v>
      </c>
      <c r="L99" s="24">
        <f ca="1">OFFSET(FTRA!O$136,$E99,0)</f>
        <v>82</v>
      </c>
      <c r="M99" s="24">
        <f ca="1">OFFSET(FTRA!P$136,$E99,0)</f>
        <v>84.018400836522261</v>
      </c>
      <c r="N99" s="24">
        <f ca="1">OFFSET(FTRA!Q$136,$E99,0)</f>
        <v>86.036801673044508</v>
      </c>
      <c r="O99" s="24">
        <f ca="1">OFFSET(FTRA!R$136,$E99,0)</f>
        <v>76.525600127976475</v>
      </c>
      <c r="P99" s="24">
        <f ca="1">OFFSET(FTRA!S$136,$E99,0)</f>
        <v>81.331040777374611</v>
      </c>
      <c r="Q99" s="24">
        <f ca="1">OFFSET(FTRA!T$136,$E99,0)</f>
        <v>82.062170075963863</v>
      </c>
      <c r="R99" s="24">
        <f ca="1">OFFSET(FTRA!U$136,$E99,0)</f>
        <v>82.793299374553115</v>
      </c>
      <c r="S99" s="24">
        <f ca="1">OFFSET(FTRA!V$136,$E99,0)</f>
        <v>83.524428673142367</v>
      </c>
      <c r="T99" s="24">
        <f ca="1">OFFSET(FTRA!W$136,$E99,0)</f>
        <v>84.255557971731619</v>
      </c>
      <c r="U99" s="24">
        <f ca="1">OFFSET(FTRA!X$136,$E99,0)</f>
        <v>84.986687270320871</v>
      </c>
      <c r="V99" s="24">
        <f ca="1">OFFSET(FTRA!Y$136,$E99,0)</f>
        <v>85.717816568910123</v>
      </c>
      <c r="W99" s="24">
        <f ca="1">OFFSET(FTRA!Z$136,$E99,0)</f>
        <v>86.448945867499376</v>
      </c>
      <c r="X99" s="24">
        <f ca="1">OFFSET(FTRA!AA$136,$E99,0)</f>
        <v>87.180075166088628</v>
      </c>
      <c r="Y99" s="24">
        <f ca="1">OFFSET(FTRA!AB$136,$E99,0)</f>
        <v>87.911204464677908</v>
      </c>
      <c r="Z99" s="24">
        <f ca="1">OFFSET(FTRA!AC$136,$E99,0)</f>
        <v>89.965956911277232</v>
      </c>
      <c r="AA99" s="24">
        <f ca="1">OFFSET(FTRA!AD$136,$E99,0)</f>
        <v>92.020709357876555</v>
      </c>
      <c r="AB99" s="24">
        <f ca="1">OFFSET(FTRA!AE$136,$E99,0)</f>
        <v>94.075461804475879</v>
      </c>
      <c r="AC99" s="24">
        <f ca="1">OFFSET(FTRA!AF$136,$E99,0)</f>
        <v>96.130214251075202</v>
      </c>
      <c r="AD99" s="24">
        <f ca="1">OFFSET(FTRA!AG$136,$E99,0)</f>
        <v>98.184966697674525</v>
      </c>
      <c r="AE99" s="24">
        <f ca="1">OFFSET(FTRA!AH$136,$E99,0)</f>
        <v>100.23971914427385</v>
      </c>
      <c r="AF99" s="24">
        <f ca="1">OFFSET(FTRA!AI$136,$E99,0)</f>
        <v>102.29447159087317</v>
      </c>
      <c r="AG99" s="24">
        <f ca="1">OFFSET(FTRA!AJ$136,$E99,0)</f>
        <v>104.3492240374725</v>
      </c>
      <c r="AH99" s="24">
        <f ca="1">OFFSET(FTRA!AK$136,$E99,0)</f>
        <v>106.40397648407182</v>
      </c>
      <c r="AI99" s="24">
        <f ca="1">OFFSET(FTRA!AL$136,$E99,0)</f>
        <v>108.4587289306711</v>
      </c>
      <c r="AJ99" s="24">
        <f ca="1">OFFSET(FTRA!AM$136,$E99,0)</f>
        <v>120.07603703362946</v>
      </c>
      <c r="AK99" s="24">
        <f ca="1">OFFSET(FTRA!AN$136,$E99,0)</f>
        <v>131.69334513658779</v>
      </c>
      <c r="AL99" s="24">
        <f ca="1">OFFSET(FTRA!AO$136,$E99,0)</f>
        <v>131.69334513658779</v>
      </c>
      <c r="AM99" s="24">
        <f ca="1">OFFSET(FTRA!AP$136,$E99,0)</f>
        <v>131.69334513658779</v>
      </c>
    </row>
    <row r="100" spans="1:39">
      <c r="A100" s="35" t="s">
        <v>128</v>
      </c>
      <c r="B100">
        <v>73.203613436309993</v>
      </c>
      <c r="E100" s="128">
        <f>MATCH(F100,PTRA!$D$219:$D$226,0)</f>
        <v>1</v>
      </c>
      <c r="F100" s="4" t="str">
        <f t="shared" si="1"/>
        <v>TPPRCAR</v>
      </c>
      <c r="G100" s="24">
        <f ca="1">OFFSET(PTRA!J$218,$E100,0)</f>
        <v>77.614189675901358</v>
      </c>
      <c r="H100" s="24">
        <f ca="1">OFFSET(PTRA!K$218,$E100,0)</f>
        <v>78.66974968553842</v>
      </c>
      <c r="I100" s="24">
        <f ca="1">OFFSET(PTRA!L$218,$E100,0)</f>
        <v>79.725309695175483</v>
      </c>
      <c r="J100" s="24">
        <f ca="1">OFFSET(PTRA!M$218,$E100,0)</f>
        <v>80.780869704812559</v>
      </c>
      <c r="K100" s="24">
        <f ca="1">OFFSET(PTRA!N$218,$E100,0)</f>
        <v>80.466711296587334</v>
      </c>
      <c r="L100" s="24">
        <f ca="1">OFFSET(PTRA!O$218,$E100,0)</f>
        <v>80.152552888362095</v>
      </c>
      <c r="M100" s="24">
        <f ca="1">OFFSET(PTRA!P$218,$E100,0)</f>
        <v>82.139088284189654</v>
      </c>
      <c r="N100" s="24">
        <f ca="1">OFFSET(PTRA!Q$218,$E100,0)</f>
        <v>84.125623680017213</v>
      </c>
      <c r="O100" s="24">
        <f ca="1">OFFSET(PTRA!R$218,$E100,0)</f>
        <v>78.575402784147585</v>
      </c>
      <c r="P100" s="24">
        <f ca="1">OFFSET(PTRA!S$218,$E100,0)</f>
        <v>79.324692031817534</v>
      </c>
      <c r="Q100" s="24">
        <f ca="1">OFFSET(PTRA!T$218,$E100,0)</f>
        <v>81.956575202302233</v>
      </c>
      <c r="R100" s="24">
        <f ca="1">OFFSET(PTRA!U$218,$E100,0)</f>
        <v>84.588458372786931</v>
      </c>
      <c r="S100" s="24">
        <f ca="1">OFFSET(PTRA!V$218,$E100,0)</f>
        <v>87.22034154327163</v>
      </c>
      <c r="T100" s="24">
        <f ca="1">OFFSET(PTRA!W$218,$E100,0)</f>
        <v>89.852224713756328</v>
      </c>
      <c r="U100" s="24">
        <f ca="1">OFFSET(PTRA!X$218,$E100,0)</f>
        <v>92.484107884241027</v>
      </c>
      <c r="V100" s="24">
        <f ca="1">OFFSET(PTRA!Y$218,$E100,0)</f>
        <v>95.115991054725725</v>
      </c>
      <c r="W100" s="24">
        <f ca="1">OFFSET(PTRA!Z$218,$E100,0)</f>
        <v>97.747874225210424</v>
      </c>
      <c r="X100" s="24">
        <f ca="1">OFFSET(PTRA!AA$218,$E100,0)</f>
        <v>100.37975739569512</v>
      </c>
      <c r="Y100" s="24">
        <f ca="1">OFFSET(PTRA!AB$218,$E100,0)</f>
        <v>103.01164056617978</v>
      </c>
      <c r="Z100" s="24">
        <f ca="1">OFFSET(PTRA!AC$218,$E100,0)</f>
        <v>106.01576233268294</v>
      </c>
      <c r="AA100" s="24">
        <f ca="1">OFFSET(PTRA!AD$218,$E100,0)</f>
        <v>109.0198840991861</v>
      </c>
      <c r="AB100" s="24">
        <f ca="1">OFFSET(PTRA!AE$218,$E100,0)</f>
        <v>112.02400586568926</v>
      </c>
      <c r="AC100" s="24">
        <f ca="1">OFFSET(PTRA!AF$218,$E100,0)</f>
        <v>115.02812763219242</v>
      </c>
      <c r="AD100" s="24">
        <f ca="1">OFFSET(PTRA!AG$218,$E100,0)</f>
        <v>118.03224939869558</v>
      </c>
      <c r="AE100" s="24">
        <f ca="1">OFFSET(PTRA!AH$218,$E100,0)</f>
        <v>121.03637116519874</v>
      </c>
      <c r="AF100" s="24">
        <f ca="1">OFFSET(PTRA!AI$218,$E100,0)</f>
        <v>124.04049293170191</v>
      </c>
      <c r="AG100" s="24">
        <f ca="1">OFFSET(PTRA!AJ$218,$E100,0)</f>
        <v>127.04461469820507</v>
      </c>
      <c r="AH100" s="24">
        <f ca="1">OFFSET(PTRA!AK$218,$E100,0)</f>
        <v>130.04873646470824</v>
      </c>
      <c r="AI100" s="24">
        <f ca="1">OFFSET(PTRA!AL$218,$E100,0)</f>
        <v>133.05285823121142</v>
      </c>
      <c r="AJ100" s="24">
        <f ca="1">OFFSET(PTRA!AM$218,$E100,0)</f>
        <v>148.2949791530944</v>
      </c>
      <c r="AK100" s="24">
        <f ca="1">OFFSET(PTRA!AN$218,$E100,0)</f>
        <v>163.53710007497739</v>
      </c>
      <c r="AL100" s="24">
        <f ca="1">OFFSET(PTRA!AO$218,$E100,0)</f>
        <v>163.53710007497739</v>
      </c>
      <c r="AM100" s="24">
        <f ca="1">OFFSET(PTRA!AP$218,$E100,0)</f>
        <v>163.53710007497739</v>
      </c>
    </row>
    <row r="101" spans="1:39">
      <c r="A101" s="35" t="s">
        <v>183</v>
      </c>
      <c r="B101">
        <v>2.2210937076119999</v>
      </c>
      <c r="E101" s="129">
        <f>MATCH(F101,PTRA!$D$219:$D$226,0)</f>
        <v>3</v>
      </c>
      <c r="F101" s="4" t="str">
        <f t="shared" si="1"/>
        <v>TPPRMOT</v>
      </c>
      <c r="G101" s="24">
        <f ca="1">OFFSET(PTRA!J$218,$E101,0)</f>
        <v>3.3646857046699763</v>
      </c>
      <c r="H101" s="24">
        <f ca="1">OFFSET(PTRA!K$218,$E101,0)</f>
        <v>3.1894012488750092</v>
      </c>
      <c r="I101" s="24">
        <f ca="1">OFFSET(PTRA!L$218,$E101,0)</f>
        <v>3.0141167930800421</v>
      </c>
      <c r="J101" s="24">
        <f ca="1">OFFSET(PTRA!M$218,$E101,0)</f>
        <v>2.838832337285075</v>
      </c>
      <c r="K101" s="24">
        <f ca="1">OFFSET(PTRA!N$218,$E101,0)</f>
        <v>2.9222765352993267</v>
      </c>
      <c r="L101" s="24">
        <f ca="1">OFFSET(PTRA!O$218,$E101,0)</f>
        <v>3.0057207333135785</v>
      </c>
      <c r="M101" s="24">
        <f ca="1">OFFSET(PTRA!P$218,$E101,0)</f>
        <v>3.080215810657112</v>
      </c>
      <c r="N101" s="24">
        <f ca="1">OFFSET(PTRA!Q$218,$E101,0)</f>
        <v>3.1547108880006456</v>
      </c>
      <c r="O101" s="24">
        <f ca="1">OFFSET(PTRA!R$218,$E101,0)</f>
        <v>2.9465776044055345</v>
      </c>
      <c r="P101" s="24">
        <f ca="1">OFFSET(PTRA!S$218,$E101,0)</f>
        <v>2.9746759511931575</v>
      </c>
      <c r="Q101" s="24">
        <f ca="1">OFFSET(PTRA!T$218,$E101,0)</f>
        <v>3.0733715700863335</v>
      </c>
      <c r="R101" s="24">
        <f ca="1">OFFSET(PTRA!U$218,$E101,0)</f>
        <v>3.1720671889795096</v>
      </c>
      <c r="S101" s="24">
        <f ca="1">OFFSET(PTRA!V$218,$E101,0)</f>
        <v>3.2707628078726856</v>
      </c>
      <c r="T101" s="24">
        <f ca="1">OFFSET(PTRA!W$218,$E101,0)</f>
        <v>3.3694584267658616</v>
      </c>
      <c r="U101" s="24">
        <f ca="1">OFFSET(PTRA!X$218,$E101,0)</f>
        <v>3.4681540456590376</v>
      </c>
      <c r="V101" s="24">
        <f ca="1">OFFSET(PTRA!Y$218,$E101,0)</f>
        <v>3.5668496645522136</v>
      </c>
      <c r="W101" s="24">
        <f ca="1">OFFSET(PTRA!Z$218,$E101,0)</f>
        <v>3.6655452834453897</v>
      </c>
      <c r="X101" s="24">
        <f ca="1">OFFSET(PTRA!AA$218,$E101,0)</f>
        <v>3.7642409023385657</v>
      </c>
      <c r="Y101" s="24">
        <f ca="1">OFFSET(PTRA!AB$218,$E101,0)</f>
        <v>3.8629365212317421</v>
      </c>
      <c r="Z101" s="24">
        <f ca="1">OFFSET(PTRA!AC$218,$E101,0)</f>
        <v>3.9755910874756109</v>
      </c>
      <c r="AA101" s="24">
        <f ca="1">OFFSET(PTRA!AD$218,$E101,0)</f>
        <v>4.0882456537194791</v>
      </c>
      <c r="AB101" s="24">
        <f ca="1">OFFSET(PTRA!AE$218,$E101,0)</f>
        <v>4.2009002199633478</v>
      </c>
      <c r="AC101" s="24">
        <f ca="1">OFFSET(PTRA!AF$218,$E101,0)</f>
        <v>4.3135547862072166</v>
      </c>
      <c r="AD101" s="24">
        <f ca="1">OFFSET(PTRA!AG$218,$E101,0)</f>
        <v>4.4262093524510853</v>
      </c>
      <c r="AE101" s="24">
        <f ca="1">OFFSET(PTRA!AH$218,$E101,0)</f>
        <v>4.538863918694954</v>
      </c>
      <c r="AF101" s="24">
        <f ca="1">OFFSET(PTRA!AI$218,$E101,0)</f>
        <v>4.6515184849388227</v>
      </c>
      <c r="AG101" s="24">
        <f ca="1">OFFSET(PTRA!AJ$218,$E101,0)</f>
        <v>4.7641730511826914</v>
      </c>
      <c r="AH101" s="24">
        <f ca="1">OFFSET(PTRA!AK$218,$E101,0)</f>
        <v>4.8768276174265601</v>
      </c>
      <c r="AI101" s="24">
        <f ca="1">OFFSET(PTRA!AL$218,$E101,0)</f>
        <v>4.9894821836704288</v>
      </c>
      <c r="AJ101" s="24">
        <f ca="1">OFFSET(PTRA!AM$218,$E101,0)</f>
        <v>5.5610617182410405</v>
      </c>
      <c r="AK101" s="24">
        <f ca="1">OFFSET(PTRA!AN$218,$E101,0)</f>
        <v>6.1326412528116521</v>
      </c>
      <c r="AL101" s="24">
        <f ca="1">OFFSET(PTRA!AO$218,$E101,0)</f>
        <v>6.1326412528116521</v>
      </c>
      <c r="AM101" s="24">
        <f ca="1">OFFSET(PTRA!AP$218,$E101,0)</f>
        <v>6.1326412528116521</v>
      </c>
    </row>
    <row r="102" spans="1:39">
      <c r="A102" s="35" t="s">
        <v>127</v>
      </c>
      <c r="B102">
        <v>9.7306216335790001</v>
      </c>
      <c r="E102" s="129">
        <f>MATCH(F102,PTRA!$D$219:$D$226,0)</f>
        <v>2</v>
      </c>
      <c r="F102" s="4" t="str">
        <f t="shared" si="1"/>
        <v>TPPRSUV</v>
      </c>
      <c r="G102" s="24">
        <f ca="1">OFFSET(PTRA!J$218,$E102,0)</f>
        <v>9.939379683721306</v>
      </c>
      <c r="H102" s="24">
        <f ca="1">OFFSET(PTRA!K$218,$E102,0)</f>
        <v>11.042214536035432</v>
      </c>
      <c r="I102" s="24">
        <f ca="1">OFFSET(PTRA!L$218,$E102,0)</f>
        <v>12.145049388349559</v>
      </c>
      <c r="J102" s="24">
        <f ca="1">OFFSET(PTRA!M$218,$E102,0)</f>
        <v>13.247884240663684</v>
      </c>
      <c r="K102" s="24">
        <f ca="1">OFFSET(PTRA!N$218,$E102,0)</f>
        <v>15.140150864720315</v>
      </c>
      <c r="L102" s="24">
        <f ca="1">OFFSET(PTRA!O$218,$E102,0)</f>
        <v>17.032417488776947</v>
      </c>
      <c r="M102" s="24">
        <f ca="1">OFFSET(PTRA!P$218,$E102,0)</f>
        <v>17.454556260390305</v>
      </c>
      <c r="N102" s="24">
        <f ca="1">OFFSET(PTRA!Q$218,$E102,0)</f>
        <v>17.87669503200366</v>
      </c>
      <c r="O102" s="24">
        <f ca="1">OFFSET(PTRA!R$218,$E102,0)</f>
        <v>16.697273091631363</v>
      </c>
      <c r="P102" s="24">
        <f ca="1">OFFSET(PTRA!S$218,$E102,0)</f>
        <v>16.856497056761228</v>
      </c>
      <c r="Q102" s="24">
        <f ca="1">OFFSET(PTRA!T$218,$E102,0)</f>
        <v>17.415772230489225</v>
      </c>
      <c r="R102" s="24">
        <f ca="1">OFFSET(PTRA!U$218,$E102,0)</f>
        <v>17.975047404217221</v>
      </c>
      <c r="S102" s="24">
        <f ca="1">OFFSET(PTRA!V$218,$E102,0)</f>
        <v>18.534322577945218</v>
      </c>
      <c r="T102" s="24">
        <f ca="1">OFFSET(PTRA!W$218,$E102,0)</f>
        <v>19.093597751673215</v>
      </c>
      <c r="U102" s="24">
        <f ca="1">OFFSET(PTRA!X$218,$E102,0)</f>
        <v>19.652872925401212</v>
      </c>
      <c r="V102" s="24">
        <f ca="1">OFFSET(PTRA!Y$218,$E102,0)</f>
        <v>20.212148099129209</v>
      </c>
      <c r="W102" s="24">
        <f ca="1">OFFSET(PTRA!Z$218,$E102,0)</f>
        <v>20.771423272857206</v>
      </c>
      <c r="X102" s="24">
        <f ca="1">OFFSET(PTRA!AA$218,$E102,0)</f>
        <v>21.330698446585203</v>
      </c>
      <c r="Y102" s="24">
        <f ca="1">OFFSET(PTRA!AB$218,$E102,0)</f>
        <v>21.889973620313206</v>
      </c>
      <c r="Z102" s="24">
        <f ca="1">OFFSET(PTRA!AC$218,$E102,0)</f>
        <v>22.528349495695128</v>
      </c>
      <c r="AA102" s="24">
        <f ca="1">OFFSET(PTRA!AD$218,$E102,0)</f>
        <v>23.16672537107705</v>
      </c>
      <c r="AB102" s="24">
        <f ca="1">OFFSET(PTRA!AE$218,$E102,0)</f>
        <v>23.805101246458971</v>
      </c>
      <c r="AC102" s="24">
        <f ca="1">OFFSET(PTRA!AF$218,$E102,0)</f>
        <v>24.443477121840893</v>
      </c>
      <c r="AD102" s="24">
        <f ca="1">OFFSET(PTRA!AG$218,$E102,0)</f>
        <v>25.081852997222814</v>
      </c>
      <c r="AE102" s="24">
        <f ca="1">OFFSET(PTRA!AH$218,$E102,0)</f>
        <v>25.720228872604736</v>
      </c>
      <c r="AF102" s="24">
        <f ca="1">OFFSET(PTRA!AI$218,$E102,0)</f>
        <v>26.358604747986657</v>
      </c>
      <c r="AG102" s="24">
        <f ca="1">OFFSET(PTRA!AJ$218,$E102,0)</f>
        <v>26.996980623368579</v>
      </c>
      <c r="AH102" s="24">
        <f ca="1">OFFSET(PTRA!AK$218,$E102,0)</f>
        <v>27.6353564987505</v>
      </c>
      <c r="AI102" s="24">
        <f ca="1">OFFSET(PTRA!AL$218,$E102,0)</f>
        <v>28.273732374132432</v>
      </c>
      <c r="AJ102" s="24">
        <f ca="1">OFFSET(PTRA!AM$218,$E102,0)</f>
        <v>31.512683070032566</v>
      </c>
      <c r="AK102" s="24">
        <f ca="1">OFFSET(PTRA!AN$218,$E102,0)</f>
        <v>34.751633765932695</v>
      </c>
      <c r="AL102" s="24">
        <f ca="1">OFFSET(PTRA!AO$218,$E102,0)</f>
        <v>34.751633765932695</v>
      </c>
      <c r="AM102" s="24">
        <f ca="1">OFFSET(PTRA!AP$218,$E102,0)</f>
        <v>34.751633765932695</v>
      </c>
    </row>
    <row r="103" spans="1:39">
      <c r="A103" s="35" t="s">
        <v>131</v>
      </c>
      <c r="B103" t="s">
        <v>386</v>
      </c>
      <c r="E103" s="129">
        <f>MATCH(F103,PTRA!$D$219:$D$226,0)</f>
        <v>6</v>
      </c>
      <c r="F103" s="4" t="str">
        <f t="shared" si="1"/>
        <v>TPPUBRT</v>
      </c>
      <c r="G103" s="24">
        <f ca="1">OFFSET(PTRA!J$218,$E103,0)</f>
        <v>0</v>
      </c>
      <c r="H103" s="24">
        <f ca="1">OFFSET(PTRA!K$218,$E103,0)</f>
        <v>2.4743662039261104E-2</v>
      </c>
      <c r="I103" s="24">
        <f ca="1">OFFSET(PTRA!L$218,$E103,0)</f>
        <v>2.8399581228355071E-2</v>
      </c>
      <c r="J103" s="24">
        <f ca="1">OFFSET(PTRA!M$218,$E103,0)</f>
        <v>3.2055500417449041E-2</v>
      </c>
      <c r="K103" s="24">
        <f ca="1">OFFSET(PTRA!N$218,$E103,0)</f>
        <v>4.7519121895018071E-2</v>
      </c>
      <c r="L103" s="24">
        <f ca="1">OFFSET(PTRA!O$218,$E103,0)</f>
        <v>6.2982743372587108E-2</v>
      </c>
      <c r="M103" s="24">
        <f ca="1">OFFSET(PTRA!P$218,$E103,0)</f>
        <v>8.1980795939356782E-2</v>
      </c>
      <c r="N103" s="24">
        <f ca="1">OFFSET(PTRA!Q$218,$E103,0)</f>
        <v>0.10097884850612647</v>
      </c>
      <c r="O103" s="24">
        <f ca="1">OFFSET(PTRA!R$218,$E103,0)</f>
        <v>0.10238010429217448</v>
      </c>
      <c r="P103" s="24">
        <f ca="1">OFFSET(PTRA!S$218,$E103,0)</f>
        <v>0.2942392564401286</v>
      </c>
      <c r="Q103" s="24">
        <f ca="1">OFFSET(PTRA!T$218,$E103,0)</f>
        <v>0.32452286213885756</v>
      </c>
      <c r="R103" s="24">
        <f ca="1">OFFSET(PTRA!U$218,$E103,0)</f>
        <v>0.35480646783758651</v>
      </c>
      <c r="S103" s="24">
        <f ca="1">OFFSET(PTRA!V$218,$E103,0)</f>
        <v>0.38509007353631547</v>
      </c>
      <c r="T103" s="24">
        <f ca="1">OFFSET(PTRA!W$218,$E103,0)</f>
        <v>0.41537367923504442</v>
      </c>
      <c r="U103" s="24">
        <f ca="1">OFFSET(PTRA!X$218,$E103,0)</f>
        <v>0.44565728493377338</v>
      </c>
      <c r="V103" s="24">
        <f ca="1">OFFSET(PTRA!Y$218,$E103,0)</f>
        <v>0.47594089063250233</v>
      </c>
      <c r="W103" s="24">
        <f ca="1">OFFSET(PTRA!Z$218,$E103,0)</f>
        <v>0.50622449633123123</v>
      </c>
      <c r="X103" s="24">
        <f ca="1">OFFSET(PTRA!AA$218,$E103,0)</f>
        <v>0.53650810202996013</v>
      </c>
      <c r="Y103" s="24">
        <f ca="1">OFFSET(PTRA!AB$218,$E103,0)</f>
        <v>0.56679170772868903</v>
      </c>
      <c r="Z103" s="24">
        <f ca="1">OFFSET(PTRA!AC$218,$E103,0)</f>
        <v>0.61851803835016128</v>
      </c>
      <c r="AA103" s="24">
        <f ca="1">OFFSET(PTRA!AD$218,$E103,0)</f>
        <v>0.67024436897163353</v>
      </c>
      <c r="AB103" s="24">
        <f ca="1">OFFSET(PTRA!AE$218,$E103,0)</f>
        <v>0.72197069959310578</v>
      </c>
      <c r="AC103" s="24">
        <f ca="1">OFFSET(PTRA!AF$218,$E103,0)</f>
        <v>0.77369703021457803</v>
      </c>
      <c r="AD103" s="24">
        <f ca="1">OFFSET(PTRA!AG$218,$E103,0)</f>
        <v>0.82542336083605028</v>
      </c>
      <c r="AE103" s="24">
        <f ca="1">OFFSET(PTRA!AH$218,$E103,0)</f>
        <v>0.87714969145752253</v>
      </c>
      <c r="AF103" s="24">
        <f ca="1">OFFSET(PTRA!AI$218,$E103,0)</f>
        <v>0.92887602207899478</v>
      </c>
      <c r="AG103" s="24">
        <f ca="1">OFFSET(PTRA!AJ$218,$E103,0)</f>
        <v>0.98060235270046703</v>
      </c>
      <c r="AH103" s="24">
        <f ca="1">OFFSET(PTRA!AK$218,$E103,0)</f>
        <v>1.0323286833219392</v>
      </c>
      <c r="AI103" s="24">
        <f ca="1">OFFSET(PTRA!AL$218,$E103,0)</f>
        <v>1.0840550139434115</v>
      </c>
      <c r="AJ103" s="24">
        <f ca="1">OFFSET(PTRA!AM$218,$E103,0)</f>
        <v>1.329819508228592</v>
      </c>
      <c r="AK103" s="24">
        <f ca="1">OFFSET(PTRA!AN$218,$E103,0)</f>
        <v>1.5755840025137724</v>
      </c>
      <c r="AL103" s="24">
        <f ca="1">OFFSET(PTRA!AO$218,$E103,0)</f>
        <v>1.5755840025137724</v>
      </c>
      <c r="AM103" s="24">
        <f ca="1">OFFSET(PTRA!AP$218,$E103,0)</f>
        <v>1.5755840025137724</v>
      </c>
    </row>
    <row r="104" spans="1:39">
      <c r="A104" s="35" t="s">
        <v>129</v>
      </c>
      <c r="B104">
        <v>0.62801975359410001</v>
      </c>
      <c r="E104" s="129">
        <f>MATCH(F104,PTRA!$D$219:$D$226,0)</f>
        <v>4</v>
      </c>
      <c r="F104" s="4" t="str">
        <f t="shared" si="1"/>
        <v>TPPUBUS</v>
      </c>
      <c r="G104" s="24">
        <f ca="1">OFFSET(PTRA!J$218,$E104,0)</f>
        <v>1.4990333520535337</v>
      </c>
      <c r="H104" s="24">
        <f ca="1">OFFSET(PTRA!K$218,$E104,0)</f>
        <v>0.78756431075905675</v>
      </c>
      <c r="I104" s="24">
        <f ca="1">OFFSET(PTRA!L$218,$E104,0)</f>
        <v>0.95713713180052451</v>
      </c>
      <c r="J104" s="24">
        <f ca="1">OFFSET(PTRA!M$218,$E104,0)</f>
        <v>1.1267099528419922</v>
      </c>
      <c r="K104" s="24">
        <f ca="1">OFFSET(PTRA!N$218,$E104,0)</f>
        <v>0.93340029034829985</v>
      </c>
      <c r="L104" s="24">
        <f ca="1">OFFSET(PTRA!O$218,$E104,0)</f>
        <v>0.74009062785460766</v>
      </c>
      <c r="M104" s="24">
        <f ca="1">OFFSET(PTRA!P$218,$E104,0)</f>
        <v>0.74856468488310512</v>
      </c>
      <c r="N104" s="24">
        <f ca="1">OFFSET(PTRA!Q$218,$E104,0)</f>
        <v>0.7570387419116027</v>
      </c>
      <c r="O104" s="24">
        <f ca="1">OFFSET(PTRA!R$218,$E104,0)</f>
        <v>0.77061635068181966</v>
      </c>
      <c r="P104" s="24">
        <f ca="1">OFFSET(PTRA!S$218,$E104,0)</f>
        <v>0.78157163306235522</v>
      </c>
      <c r="Q104" s="24">
        <f ca="1">OFFSET(PTRA!T$218,$E104,0)</f>
        <v>0.78314560012448264</v>
      </c>
      <c r="R104" s="24">
        <f ca="1">OFFSET(PTRA!U$218,$E104,0)</f>
        <v>0.78471956718661007</v>
      </c>
      <c r="S104" s="24">
        <f ca="1">OFFSET(PTRA!V$218,$E104,0)</f>
        <v>0.78629353424873749</v>
      </c>
      <c r="T104" s="24">
        <f ca="1">OFFSET(PTRA!W$218,$E104,0)</f>
        <v>0.78786750131086491</v>
      </c>
      <c r="U104" s="24">
        <f ca="1">OFFSET(PTRA!X$218,$E104,0)</f>
        <v>0.78944146837299234</v>
      </c>
      <c r="V104" s="24">
        <f ca="1">OFFSET(PTRA!Y$218,$E104,0)</f>
        <v>0.79101543543511976</v>
      </c>
      <c r="W104" s="24">
        <f ca="1">OFFSET(PTRA!Z$218,$E104,0)</f>
        <v>0.79258940249724719</v>
      </c>
      <c r="X104" s="24">
        <f ca="1">OFFSET(PTRA!AA$218,$E104,0)</f>
        <v>0.79416336955937461</v>
      </c>
      <c r="Y104" s="24">
        <f ca="1">OFFSET(PTRA!AB$218,$E104,0)</f>
        <v>0.79573733662150214</v>
      </c>
      <c r="Z104" s="24">
        <f ca="1">OFFSET(PTRA!AC$218,$E104,0)</f>
        <v>0.79245353975548505</v>
      </c>
      <c r="AA104" s="24">
        <f ca="1">OFFSET(PTRA!AD$218,$E104,0)</f>
        <v>0.78916974288946795</v>
      </c>
      <c r="AB104" s="24">
        <f ca="1">OFFSET(PTRA!AE$218,$E104,0)</f>
        <v>0.78588594602345085</v>
      </c>
      <c r="AC104" s="24">
        <f ca="1">OFFSET(PTRA!AF$218,$E104,0)</f>
        <v>0.78260214915743376</v>
      </c>
      <c r="AD104" s="24">
        <f ca="1">OFFSET(PTRA!AG$218,$E104,0)</f>
        <v>0.77931835229141666</v>
      </c>
      <c r="AE104" s="24">
        <f ca="1">OFFSET(PTRA!AH$218,$E104,0)</f>
        <v>0.77603455542539956</v>
      </c>
      <c r="AF104" s="24">
        <f ca="1">OFFSET(PTRA!AI$218,$E104,0)</f>
        <v>0.77275075855938247</v>
      </c>
      <c r="AG104" s="24">
        <f ca="1">OFFSET(PTRA!AJ$218,$E104,0)</f>
        <v>0.76946696169336537</v>
      </c>
      <c r="AH104" s="24">
        <f ca="1">OFFSET(PTRA!AK$218,$E104,0)</f>
        <v>0.76618316482734827</v>
      </c>
      <c r="AI104" s="24">
        <f ca="1">OFFSET(PTRA!AL$218,$E104,0)</f>
        <v>0.76289936796133118</v>
      </c>
      <c r="AJ104" s="24">
        <f ca="1">OFFSET(PTRA!AM$218,$E104,0)</f>
        <v>0.73651003199220466</v>
      </c>
      <c r="AK104" s="24">
        <f ca="1">OFFSET(PTRA!AN$218,$E104,0)</f>
        <v>0.71012069602307804</v>
      </c>
      <c r="AL104" s="24">
        <f ca="1">OFFSET(PTRA!AO$218,$E104,0)</f>
        <v>0.71012069602307804</v>
      </c>
      <c r="AM104" s="24">
        <f ca="1">OFFSET(PTRA!AP$218,$E104,0)</f>
        <v>0.71012069602307804</v>
      </c>
    </row>
    <row r="105" spans="1:39">
      <c r="A105" s="35" t="s">
        <v>133</v>
      </c>
      <c r="B105" t="s">
        <v>386</v>
      </c>
      <c r="E105" s="129">
        <f>MATCH(F105,PTRA!$D$219:$D$226,0)</f>
        <v>8</v>
      </c>
      <c r="F105" s="4" t="str">
        <f t="shared" si="1"/>
        <v>TPPUGAT</v>
      </c>
      <c r="G105" s="24">
        <f ca="1">OFFSET(PTRA!J$218,$E105,0)</f>
        <v>0</v>
      </c>
      <c r="H105" s="24">
        <f ca="1">OFFSET(PTRA!K$218,$E105,0)</f>
        <v>0.55947822475115061</v>
      </c>
      <c r="I105" s="24">
        <f ca="1">OFFSET(PTRA!L$218,$E105,0)</f>
        <v>0.58435796683276764</v>
      </c>
      <c r="J105" s="24">
        <f ca="1">OFFSET(PTRA!M$218,$E105,0)</f>
        <v>0.60923770891438467</v>
      </c>
      <c r="K105" s="24">
        <f ca="1">OFFSET(PTRA!N$218,$E105,0)</f>
        <v>0.62888953865325536</v>
      </c>
      <c r="L105" s="24">
        <f ca="1">OFFSET(PTRA!O$218,$E105,0)</f>
        <v>0.64854136839212595</v>
      </c>
      <c r="M105" s="24">
        <f ca="1">OFFSET(PTRA!P$218,$E105,0)</f>
        <v>0.67405613843991108</v>
      </c>
      <c r="N105" s="24">
        <f ca="1">OFFSET(PTRA!Q$218,$E105,0)</f>
        <v>0.6995709084876961</v>
      </c>
      <c r="O105" s="24">
        <f ca="1">OFFSET(PTRA!R$218,$E105,0)</f>
        <v>0.6476760572601008</v>
      </c>
      <c r="P105" s="24">
        <f ca="1">OFFSET(PTRA!S$218,$E105,0)</f>
        <v>0.64850440608752602</v>
      </c>
      <c r="Q105" s="24">
        <f ca="1">OFFSET(PTRA!T$218,$E105,0)</f>
        <v>0.66993665073337072</v>
      </c>
      <c r="R105" s="24">
        <f ca="1">OFFSET(PTRA!U$218,$E105,0)</f>
        <v>0.69136889537921542</v>
      </c>
      <c r="S105" s="24">
        <f ca="1">OFFSET(PTRA!V$218,$E105,0)</f>
        <v>0.71280114002506012</v>
      </c>
      <c r="T105" s="24">
        <f ca="1">OFFSET(PTRA!W$218,$E105,0)</f>
        <v>0.73423338467090482</v>
      </c>
      <c r="U105" s="24">
        <f ca="1">OFFSET(PTRA!X$218,$E105,0)</f>
        <v>0.75566562931674952</v>
      </c>
      <c r="V105" s="24">
        <f ca="1">OFFSET(PTRA!Y$218,$E105,0)</f>
        <v>0.77709787396259422</v>
      </c>
      <c r="W105" s="24">
        <f ca="1">OFFSET(PTRA!Z$218,$E105,0)</f>
        <v>0.79853011860843892</v>
      </c>
      <c r="X105" s="24">
        <f ca="1">OFFSET(PTRA!AA$218,$E105,0)</f>
        <v>0.81996236325428362</v>
      </c>
      <c r="Y105" s="24">
        <f ca="1">OFFSET(PTRA!AB$218,$E105,0)</f>
        <v>0.84139460790012854</v>
      </c>
      <c r="Z105" s="24">
        <f ca="1">OFFSET(PTRA!AC$218,$E105,0)</f>
        <v>0.86187201494465981</v>
      </c>
      <c r="AA105" s="24">
        <f ca="1">OFFSET(PTRA!AD$218,$E105,0)</f>
        <v>0.88234942198919109</v>
      </c>
      <c r="AB105" s="24">
        <f ca="1">OFFSET(PTRA!AE$218,$E105,0)</f>
        <v>0.90282682903372236</v>
      </c>
      <c r="AC105" s="24">
        <f ca="1">OFFSET(PTRA!AF$218,$E105,0)</f>
        <v>0.92330423607825363</v>
      </c>
      <c r="AD105" s="24">
        <f ca="1">OFFSET(PTRA!AG$218,$E105,0)</f>
        <v>0.9437816431227849</v>
      </c>
      <c r="AE105" s="24">
        <f ca="1">OFFSET(PTRA!AH$218,$E105,0)</f>
        <v>0.96425905016731617</v>
      </c>
      <c r="AF105" s="24">
        <f ca="1">OFFSET(PTRA!AI$218,$E105,0)</f>
        <v>0.98473645721184744</v>
      </c>
      <c r="AG105" s="24">
        <f ca="1">OFFSET(PTRA!AJ$218,$E105,0)</f>
        <v>1.0052138642563788</v>
      </c>
      <c r="AH105" s="24">
        <f ca="1">OFFSET(PTRA!AK$218,$E105,0)</f>
        <v>1.0256912713009101</v>
      </c>
      <c r="AI105" s="24">
        <f ca="1">OFFSET(PTRA!AL$218,$E105,0)</f>
        <v>1.0461686783454414</v>
      </c>
      <c r="AJ105" s="24">
        <f ca="1">OFFSET(PTRA!AM$218,$E105,0)</f>
        <v>1.1442712617822297</v>
      </c>
      <c r="AK105" s="24">
        <f ca="1">OFFSET(PTRA!AN$218,$E105,0)</f>
        <v>1.2423738452190181</v>
      </c>
      <c r="AL105" s="24">
        <f ca="1">OFFSET(PTRA!AO$218,$E105,0)</f>
        <v>1.2423738452190181</v>
      </c>
      <c r="AM105" s="24">
        <f ca="1">OFFSET(PTRA!AP$218,$E105,0)</f>
        <v>1.2423738452190181</v>
      </c>
    </row>
    <row r="106" spans="1:39">
      <c r="A106" s="35" t="s">
        <v>130</v>
      </c>
      <c r="B106">
        <v>8.3842691666009994</v>
      </c>
      <c r="E106" s="129">
        <f>MATCH(F106,PTRA!$D$219:$D$226,0)</f>
        <v>5</v>
      </c>
      <c r="F106" s="4" t="str">
        <f t="shared" si="1"/>
        <v>TPPUMBT</v>
      </c>
      <c r="G106" s="24">
        <f ca="1">OFFSET(PTRA!J$218,$E106,0)</f>
        <v>6.1732186716195621</v>
      </c>
      <c r="H106" s="24">
        <f ca="1">OFFSET(PTRA!K$218,$E106,0)</f>
        <v>6.1714992841593981</v>
      </c>
      <c r="I106" s="24">
        <f ca="1">OFFSET(PTRA!L$218,$E106,0)</f>
        <v>6.4731729485818583</v>
      </c>
      <c r="J106" s="24">
        <f ca="1">OFFSET(PTRA!M$218,$E106,0)</f>
        <v>6.7748466130043186</v>
      </c>
      <c r="K106" s="24">
        <f ca="1">OFFSET(PTRA!N$218,$E106,0)</f>
        <v>6.8833871193047518</v>
      </c>
      <c r="L106" s="24">
        <f ca="1">OFFSET(PTRA!O$218,$E106,0)</f>
        <v>6.9919276256051859</v>
      </c>
      <c r="M106" s="24">
        <f ca="1">OFFSET(PTRA!P$218,$E106,0)</f>
        <v>7.0719853796268266</v>
      </c>
      <c r="N106" s="24">
        <f ca="1">OFFSET(PTRA!Q$218,$E106,0)</f>
        <v>7.1520431336484673</v>
      </c>
      <c r="O106" s="24">
        <f ca="1">OFFSET(PTRA!R$218,$E106,0)</f>
        <v>7.2803161508670957</v>
      </c>
      <c r="P106" s="24">
        <f ca="1">OFFSET(PTRA!S$218,$E106,0)</f>
        <v>7.3838150179515463</v>
      </c>
      <c r="Q106" s="24">
        <f ca="1">OFFSET(PTRA!T$218,$E106,0)</f>
        <v>7.3986849046509402</v>
      </c>
      <c r="R106" s="24">
        <f ca="1">OFFSET(PTRA!U$218,$E106,0)</f>
        <v>7.4135547913503341</v>
      </c>
      <c r="S106" s="24">
        <f ca="1">OFFSET(PTRA!V$218,$E106,0)</f>
        <v>7.4284246780497281</v>
      </c>
      <c r="T106" s="24">
        <f ca="1">OFFSET(PTRA!W$218,$E106,0)</f>
        <v>7.443294564749122</v>
      </c>
      <c r="U106" s="24">
        <f ca="1">OFFSET(PTRA!X$218,$E106,0)</f>
        <v>7.4581644514485159</v>
      </c>
      <c r="V106" s="24">
        <f ca="1">OFFSET(PTRA!Y$218,$E106,0)</f>
        <v>7.4730343381479098</v>
      </c>
      <c r="W106" s="24">
        <f ca="1">OFFSET(PTRA!Z$218,$E106,0)</f>
        <v>7.4879042248473038</v>
      </c>
      <c r="X106" s="24">
        <f ca="1">OFFSET(PTRA!AA$218,$E106,0)</f>
        <v>7.5027741115466977</v>
      </c>
      <c r="Y106" s="24">
        <f ca="1">OFFSET(PTRA!AB$218,$E106,0)</f>
        <v>7.5176439982460925</v>
      </c>
      <c r="Z106" s="24">
        <f ca="1">OFFSET(PTRA!AC$218,$E106,0)</f>
        <v>7.4866206760200864</v>
      </c>
      <c r="AA106" s="24">
        <f ca="1">OFFSET(PTRA!AD$218,$E106,0)</f>
        <v>7.4555973537940803</v>
      </c>
      <c r="AB106" s="24">
        <f ca="1">OFFSET(PTRA!AE$218,$E106,0)</f>
        <v>7.4245740315680742</v>
      </c>
      <c r="AC106" s="24">
        <f ca="1">OFFSET(PTRA!AF$218,$E106,0)</f>
        <v>7.393550709342068</v>
      </c>
      <c r="AD106" s="24">
        <f ca="1">OFFSET(PTRA!AG$218,$E106,0)</f>
        <v>7.3625273871160619</v>
      </c>
      <c r="AE106" s="24">
        <f ca="1">OFFSET(PTRA!AH$218,$E106,0)</f>
        <v>7.3315040648900558</v>
      </c>
      <c r="AF106" s="24">
        <f ca="1">OFFSET(PTRA!AI$218,$E106,0)</f>
        <v>7.3004807426640497</v>
      </c>
      <c r="AG106" s="24">
        <f ca="1">OFFSET(PTRA!AJ$218,$E106,0)</f>
        <v>7.2694574204380435</v>
      </c>
      <c r="AH106" s="24">
        <f ca="1">OFFSET(PTRA!AK$218,$E106,0)</f>
        <v>7.2384340982120374</v>
      </c>
      <c r="AI106" s="24">
        <f ca="1">OFFSET(PTRA!AL$218,$E106,0)</f>
        <v>7.2074107759860322</v>
      </c>
      <c r="AJ106" s="24">
        <f ca="1">OFFSET(PTRA!AM$218,$E106,0)</f>
        <v>6.9581003263742307</v>
      </c>
      <c r="AK106" s="24">
        <f ca="1">OFFSET(PTRA!AN$218,$E106,0)</f>
        <v>6.7087898767624283</v>
      </c>
      <c r="AL106" s="24">
        <f ca="1">OFFSET(PTRA!AO$218,$E106,0)</f>
        <v>6.7087898767624283</v>
      </c>
      <c r="AM106" s="24">
        <f ca="1">OFFSET(PTRA!AP$218,$E106,0)</f>
        <v>6.7087898767624283</v>
      </c>
    </row>
    <row r="107" spans="1:39">
      <c r="A107" s="35" t="s">
        <v>132</v>
      </c>
      <c r="B107">
        <v>13.9</v>
      </c>
      <c r="E107" s="130">
        <f>MATCH(F107,PTRA!$D$219:$D$226,0)</f>
        <v>7</v>
      </c>
      <c r="F107" s="4" t="str">
        <f t="shared" si="1"/>
        <v>TPPUMER</v>
      </c>
      <c r="G107" s="24">
        <f ca="1">OFFSET(PTRA!J$218,$E107,0)</f>
        <v>15.8</v>
      </c>
      <c r="H107" s="24">
        <f ca="1">OFFSET(PTRA!K$218,$E107,0)</f>
        <v>14.123137325530998</v>
      </c>
      <c r="I107" s="24">
        <f ca="1">OFFSET(PTRA!L$218,$E107,0)</f>
        <v>13.222791809247783</v>
      </c>
      <c r="J107" s="24">
        <f ca="1">OFFSET(PTRA!M$218,$E107,0)</f>
        <v>12.322446292964566</v>
      </c>
      <c r="K107" s="24">
        <f ca="1">OFFSET(PTRA!N$218,$E107,0)</f>
        <v>10.474251298675517</v>
      </c>
      <c r="L107" s="24">
        <f ca="1">OFFSET(PTRA!O$218,$E107,0)</f>
        <v>8.6260563043864682</v>
      </c>
      <c r="M107" s="24">
        <f ca="1">OFFSET(PTRA!P$218,$E107,0)</f>
        <v>8.7248248744821311</v>
      </c>
      <c r="N107" s="24">
        <f ca="1">OFFSET(PTRA!Q$218,$E107,0)</f>
        <v>8.8235934445777957</v>
      </c>
      <c r="O107" s="24">
        <f ca="1">OFFSET(PTRA!R$218,$E107,0)</f>
        <v>8.9818459792306626</v>
      </c>
      <c r="P107" s="24">
        <f ca="1">OFFSET(PTRA!S$218,$E107,0)</f>
        <v>9.109534236706498</v>
      </c>
      <c r="Q107" s="24">
        <f ca="1">OFFSET(PTRA!T$218,$E107,0)</f>
        <v>9.1278794609103482</v>
      </c>
      <c r="R107" s="24">
        <f ca="1">OFFSET(PTRA!U$218,$E107,0)</f>
        <v>9.1462246851141984</v>
      </c>
      <c r="S107" s="24">
        <f ca="1">OFFSET(PTRA!V$218,$E107,0)</f>
        <v>9.1645699093180486</v>
      </c>
      <c r="T107" s="24">
        <f ca="1">OFFSET(PTRA!W$218,$E107,0)</f>
        <v>9.1829151335218988</v>
      </c>
      <c r="U107" s="24">
        <f ca="1">OFFSET(PTRA!X$218,$E107,0)</f>
        <v>9.201260357725749</v>
      </c>
      <c r="V107" s="24">
        <f ca="1">OFFSET(PTRA!Y$218,$E107,0)</f>
        <v>9.2196055819295992</v>
      </c>
      <c r="W107" s="24">
        <f ca="1">OFFSET(PTRA!Z$218,$E107,0)</f>
        <v>9.2379508061334494</v>
      </c>
      <c r="X107" s="24">
        <f ca="1">OFFSET(PTRA!AA$218,$E107,0)</f>
        <v>9.2562960303372996</v>
      </c>
      <c r="Y107" s="24">
        <f ca="1">OFFSET(PTRA!AB$218,$E107,0)</f>
        <v>9.2746412545411498</v>
      </c>
      <c r="Z107" s="24">
        <f ca="1">OFFSET(PTRA!AC$218,$E107,0)</f>
        <v>9.2363672707987217</v>
      </c>
      <c r="AA107" s="24">
        <f ca="1">OFFSET(PTRA!AD$218,$E107,0)</f>
        <v>9.1980932870562935</v>
      </c>
      <c r="AB107" s="24">
        <f ca="1">OFFSET(PTRA!AE$218,$E107,0)</f>
        <v>9.1598193033138653</v>
      </c>
      <c r="AC107" s="24">
        <f ca="1">OFFSET(PTRA!AF$218,$E107,0)</f>
        <v>9.1215453195714371</v>
      </c>
      <c r="AD107" s="24">
        <f ca="1">OFFSET(PTRA!AG$218,$E107,0)</f>
        <v>9.0832713358290089</v>
      </c>
      <c r="AE107" s="24">
        <f ca="1">OFFSET(PTRA!AH$218,$E107,0)</f>
        <v>9.0449973520865807</v>
      </c>
      <c r="AF107" s="24">
        <f ca="1">OFFSET(PTRA!AI$218,$E107,0)</f>
        <v>9.0067233683441525</v>
      </c>
      <c r="AG107" s="24">
        <f ca="1">OFFSET(PTRA!AJ$218,$E107,0)</f>
        <v>8.9684493846017244</v>
      </c>
      <c r="AH107" s="24">
        <f ca="1">OFFSET(PTRA!AK$218,$E107,0)</f>
        <v>8.9301754008592962</v>
      </c>
      <c r="AI107" s="24">
        <f ca="1">OFFSET(PTRA!AL$218,$E107,0)</f>
        <v>8.8919014171168609</v>
      </c>
      <c r="AJ107" s="24">
        <f ca="1">OFFSET(PTRA!AM$218,$E107,0)</f>
        <v>8.5843230080172432</v>
      </c>
      <c r="AK107" s="24">
        <f ca="1">OFFSET(PTRA!AN$218,$E107,0)</f>
        <v>8.2767445989176256</v>
      </c>
      <c r="AL107" s="24">
        <f ca="1">OFFSET(PTRA!AO$218,$E107,0)</f>
        <v>8.2767445989176256</v>
      </c>
      <c r="AM107" s="24">
        <f ca="1">OFFSET(PTRA!AP$218,$E107,0)</f>
        <v>8.2767445989176256</v>
      </c>
    </row>
    <row r="108" spans="1:39">
      <c r="A108" s="35" t="s">
        <v>158</v>
      </c>
      <c r="B108">
        <v>0.1024485696</v>
      </c>
      <c r="E108" s="131">
        <f>MATCH(F108,OtherTRA!$D$47:$D$51,0)</f>
        <v>5</v>
      </c>
      <c r="F108" s="4" t="str">
        <f t="shared" si="1"/>
        <v>TSHFO</v>
      </c>
      <c r="G108" s="24">
        <f ca="1">OFFSET(OtherTRA!J$46,$E108,0)</f>
        <v>4.5090000000000003</v>
      </c>
      <c r="H108" s="24">
        <f ca="1">OFFSET(OtherTRA!K$46,$E108,0)</f>
        <v>4.492908655130547</v>
      </c>
      <c r="I108" s="24">
        <f ca="1">OFFSET(OtherTRA!L$46,$E108,0)</f>
        <v>4.4768173102610938</v>
      </c>
      <c r="J108" s="24">
        <f ca="1">OFFSET(OtherTRA!M$46,$E108,0)</f>
        <v>4.4607259653916396</v>
      </c>
      <c r="K108" s="24">
        <f ca="1">OFFSET(OtherTRA!N$46,$E108,0)</f>
        <v>4.4846699876958205</v>
      </c>
      <c r="L108" s="24">
        <f ca="1">OFFSET(OtherTRA!O$46,$E108,0)</f>
        <v>4.5086140100000014</v>
      </c>
      <c r="M108" s="24">
        <f ca="1">OFFSET(OtherTRA!P$46,$E108,0)</f>
        <v>4.4091991120569594</v>
      </c>
      <c r="N108" s="24">
        <f ca="1">OFFSET(OtherTRA!Q$46,$E108,0)</f>
        <v>4.3097842141139173</v>
      </c>
      <c r="O108" s="24">
        <f ca="1">OFFSET(OtherTRA!R$46,$E108,0)</f>
        <v>3.8768197170278187</v>
      </c>
      <c r="P108" s="24">
        <f ca="1">OFFSET(OtherTRA!S$46,$E108,0)</f>
        <v>3.8605177681375253</v>
      </c>
      <c r="Q108" s="24">
        <f ca="1">OFFSET(OtherTRA!T$46,$E108,0)</f>
        <v>4.0259106997590939</v>
      </c>
      <c r="R108" s="24">
        <f ca="1">OFFSET(OtherTRA!U$46,$E108,0)</f>
        <v>4.1913036313806629</v>
      </c>
      <c r="S108" s="24">
        <f ca="1">OFFSET(OtherTRA!V$46,$E108,0)</f>
        <v>4.3566965630022318</v>
      </c>
      <c r="T108" s="24">
        <f ca="1">OFFSET(OtherTRA!W$46,$E108,0)</f>
        <v>4.5220894946238008</v>
      </c>
      <c r="U108" s="24">
        <f ca="1">OFFSET(OtherTRA!X$46,$E108,0)</f>
        <v>4.6874824262453698</v>
      </c>
      <c r="V108" s="24">
        <f ca="1">OFFSET(OtherTRA!Y$46,$E108,0)</f>
        <v>4.8528753578669388</v>
      </c>
      <c r="W108" s="24">
        <f ca="1">OFFSET(OtherTRA!Z$46,$E108,0)</f>
        <v>5.0182682894885078</v>
      </c>
      <c r="X108" s="24">
        <f ca="1">OFFSET(OtherTRA!AA$46,$E108,0)</f>
        <v>5.1836612211100768</v>
      </c>
      <c r="Y108" s="24">
        <f ca="1">OFFSET(OtherTRA!AB$46,$E108,0)</f>
        <v>5.349054152731644</v>
      </c>
      <c r="Z108" s="24">
        <f ca="1">OFFSET(OtherTRA!AC$46,$E108,0)</f>
        <v>5.5825728628450797</v>
      </c>
      <c r="AA108" s="24">
        <f ca="1">OFFSET(OtherTRA!AD$46,$E108,0)</f>
        <v>5.8160915729585154</v>
      </c>
      <c r="AB108" s="24">
        <f ca="1">OFFSET(OtherTRA!AE$46,$E108,0)</f>
        <v>6.0496102830719511</v>
      </c>
      <c r="AC108" s="24">
        <f ca="1">OFFSET(OtherTRA!AF$46,$E108,0)</f>
        <v>6.2831289931853869</v>
      </c>
      <c r="AD108" s="24">
        <f ca="1">OFFSET(OtherTRA!AG$46,$E108,0)</f>
        <v>6.5166477032988226</v>
      </c>
      <c r="AE108" s="24">
        <f ca="1">OFFSET(OtherTRA!AH$46,$E108,0)</f>
        <v>6.7501664134122583</v>
      </c>
      <c r="AF108" s="24">
        <f ca="1">OFFSET(OtherTRA!AI$46,$E108,0)</f>
        <v>6.983685123525694</v>
      </c>
      <c r="AG108" s="24">
        <f ca="1">OFFSET(OtherTRA!AJ$46,$E108,0)</f>
        <v>7.2172038336391298</v>
      </c>
      <c r="AH108" s="24">
        <f ca="1">OFFSET(OtherTRA!AK$46,$E108,0)</f>
        <v>7.4507225437525655</v>
      </c>
      <c r="AI108" s="24">
        <f ca="1">OFFSET(OtherTRA!AL$46,$E108,0)</f>
        <v>7.6842412538659994</v>
      </c>
      <c r="AJ108" s="24">
        <f ca="1">OFFSET(OtherTRA!AM$46,$E108,0)</f>
        <v>9.7023202133294113</v>
      </c>
      <c r="AK108" s="24">
        <f ca="1">OFFSET(OtherTRA!AN$46,$E108,0)</f>
        <v>11.720399172792822</v>
      </c>
      <c r="AL108" s="24">
        <f ca="1">OFFSET(OtherTRA!AO$46,$E108,0)</f>
        <v>11.720399172792822</v>
      </c>
      <c r="AM108" s="24">
        <f ca="1">OFFSET(OtherTRA!AP$46,$E108,0)</f>
        <v>11.720399172792822</v>
      </c>
    </row>
    <row r="109" spans="1:39">
      <c r="A109" s="35" t="s">
        <v>239</v>
      </c>
      <c r="B109">
        <v>82.184767358499997</v>
      </c>
      <c r="E109" s="128">
        <f>MATCH(F109,COM!$D$248:$D$266,0)</f>
        <v>1</v>
      </c>
      <c r="F109" s="4" t="str">
        <f t="shared" si="1"/>
        <v>CEC</v>
      </c>
      <c r="G109" s="24">
        <f ca="1">OFFSET(COM!J$247,$E109,0)</f>
        <v>139.66439435388435</v>
      </c>
      <c r="H109" s="24">
        <f ca="1">OFFSET(COM!K$247,$E109,0)</f>
        <v>135.88971000739755</v>
      </c>
      <c r="I109" s="24">
        <f ca="1">OFFSET(COM!L$247,$E109,0)</f>
        <v>132.41477017655598</v>
      </c>
      <c r="J109" s="24">
        <f ca="1">OFFSET(COM!M$247,$E109,0)</f>
        <v>128.63675213244647</v>
      </c>
      <c r="K109" s="24">
        <f ca="1">OFFSET(COM!N$247,$E109,0)</f>
        <v>124.69871312686325</v>
      </c>
      <c r="L109" s="24">
        <f ca="1">OFFSET(COM!O$247,$E109,0)</f>
        <v>120.28334032399778</v>
      </c>
      <c r="M109" s="24">
        <f ca="1">OFFSET(COM!P$247,$E109,0)</f>
        <v>119.49413059299039</v>
      </c>
      <c r="N109" s="24">
        <f ca="1">OFFSET(COM!Q$247,$E109,0)</f>
        <v>118.67455311472101</v>
      </c>
      <c r="O109" s="194">
        <f ca="1">OFFSET(COM!R$247,$E109,0)</f>
        <v>117.71228639212903</v>
      </c>
      <c r="P109" s="24">
        <f ca="1">OFFSET(COM!S$247,$E109,0)</f>
        <v>116.99101112356846</v>
      </c>
      <c r="Q109" s="24">
        <f ca="1">OFFSET(COM!T$247,$E109,0)</f>
        <v>116.27968432739939</v>
      </c>
      <c r="R109" s="24">
        <f ca="1">OFFSET(COM!U$247,$E109,0)</f>
        <v>115.58702787794117</v>
      </c>
      <c r="S109" s="24">
        <f ca="1">OFFSET(COM!V$247,$E109,0)</f>
        <v>114.91119246990583</v>
      </c>
      <c r="T109" s="194">
        <f ca="1">OFFSET(COM!W$247,$E109,0)</f>
        <v>114.23365045616333</v>
      </c>
      <c r="U109" s="24">
        <f ca="1">OFFSET(COM!X$247,$E109,0)</f>
        <v>113.58316249250655</v>
      </c>
      <c r="V109" s="24">
        <f ca="1">OFFSET(COM!Y$247,$E109,0)</f>
        <v>112.9374632806275</v>
      </c>
      <c r="W109" s="24">
        <f ca="1">OFFSET(COM!Z$247,$E109,0)</f>
        <v>112.30844082574161</v>
      </c>
      <c r="X109" s="24">
        <f ca="1">OFFSET(COM!AA$247,$E109,0)</f>
        <v>111.68368811949459</v>
      </c>
      <c r="Y109" s="206">
        <f ca="1">OFFSET(COM!AB$247,$E109,0)</f>
        <v>111.01697794519069</v>
      </c>
      <c r="Z109" s="24">
        <f ca="1">OFFSET(COM!AC$247,$E109,0)</f>
        <v>110.40052111109705</v>
      </c>
      <c r="AA109" s="24">
        <f ca="1">OFFSET(COM!AD$247,$E109,0)</f>
        <v>109.78846063723003</v>
      </c>
      <c r="AB109" s="24">
        <f ca="1">OFFSET(COM!AE$247,$E109,0)</f>
        <v>109.18129672292095</v>
      </c>
      <c r="AC109" s="24">
        <f ca="1">OFFSET(COM!AF$247,$E109,0)</f>
        <v>108.5591761157214</v>
      </c>
      <c r="AD109" s="24">
        <f ca="1">OFFSET(COM!AG$247,$E109,0)</f>
        <v>107.95111996168353</v>
      </c>
      <c r="AE109" s="24">
        <f ca="1">OFFSET(COM!AH$247,$E109,0)</f>
        <v>107.34912657541049</v>
      </c>
      <c r="AF109" s="24">
        <f ca="1">OFFSET(COM!AI$247,$E109,0)</f>
        <v>106.75554269377911</v>
      </c>
      <c r="AG109" s="24">
        <f ca="1">OFFSET(COM!AJ$247,$E109,0)</f>
        <v>106.15457620485212</v>
      </c>
      <c r="AH109" s="24">
        <f ca="1">OFFSET(COM!AK$247,$E109,0)</f>
        <v>105.56054557317145</v>
      </c>
      <c r="AI109" s="24">
        <f ca="1">OFFSET(COM!AL$247,$E109,0)</f>
        <v>104.98231902777255</v>
      </c>
      <c r="AJ109" s="24">
        <f ca="1">OFFSET(COM!AM$247,$E109,0)</f>
        <v>102.25866394953132</v>
      </c>
      <c r="AK109" s="24">
        <f ca="1">OFFSET(COM!AN$247,$E109,0)</f>
        <v>99.658402323241631</v>
      </c>
      <c r="AL109" s="24">
        <f ca="1">OFFSET(COM!AO$247,$E109,0)</f>
        <v>99.658402323241631</v>
      </c>
      <c r="AM109" s="24">
        <f ca="1">OFFSET(COM!AP$247,$E109,0)</f>
        <v>99.658402323241631</v>
      </c>
    </row>
    <row r="110" spans="1:39">
      <c r="A110" s="35" t="s">
        <v>245</v>
      </c>
      <c r="B110">
        <v>9.1664843454099998</v>
      </c>
      <c r="E110" s="128">
        <f>MATCH(F110,COM!$D$248:$D$266,0)</f>
        <v>7</v>
      </c>
      <c r="F110" s="4" t="str">
        <f t="shared" si="1"/>
        <v>CEG</v>
      </c>
      <c r="G110" s="24">
        <f ca="1">OFFSET(COM!J$247,$E110,0)</f>
        <v>10.30055287377321</v>
      </c>
      <c r="H110" s="24">
        <f ca="1">OFFSET(COM!K$247,$E110,0)</f>
        <v>10.022161692737667</v>
      </c>
      <c r="I110" s="24">
        <f ca="1">OFFSET(COM!L$247,$E110,0)</f>
        <v>9.765877321718456</v>
      </c>
      <c r="J110" s="24">
        <f ca="1">OFFSET(COM!M$247,$E110,0)</f>
        <v>9.4872402732319685</v>
      </c>
      <c r="K110" s="24">
        <f ca="1">OFFSET(COM!N$247,$E110,0)</f>
        <v>9.1968013307681549</v>
      </c>
      <c r="L110" s="24">
        <f ca="1">OFFSET(COM!O$247,$E110,0)</f>
        <v>8.8711579824850144</v>
      </c>
      <c r="M110" s="24">
        <f ca="1">OFFSET(COM!P$247,$E110,0)</f>
        <v>8.9349746302512507</v>
      </c>
      <c r="N110" s="24">
        <f ca="1">OFFSET(COM!Q$247,$E110,0)</f>
        <v>8.9875928409435009</v>
      </c>
      <c r="O110" s="194">
        <f ca="1">OFFSET(COM!R$247,$E110,0)</f>
        <v>8.9875928409435009</v>
      </c>
      <c r="P110" s="24">
        <f ca="1">OFFSET(COM!S$247,$E110,0)</f>
        <v>9.0764610605732052</v>
      </c>
      <c r="Q110" s="24">
        <f ca="1">OFFSET(COM!T$247,$E110,0)</f>
        <v>9.1689978875940721</v>
      </c>
      <c r="R110" s="24">
        <f ca="1">OFFSET(COM!U$247,$E110,0)</f>
        <v>9.2684196080180303</v>
      </c>
      <c r="S110" s="24">
        <f ca="1">OFFSET(COM!V$247,$E110,0)</f>
        <v>9.3740442704076212</v>
      </c>
      <c r="T110" s="194">
        <f ca="1">OFFSET(COM!W$247,$E110,0)</f>
        <v>9.479039603382132</v>
      </c>
      <c r="U110" s="24">
        <f ca="1">OFFSET(COM!X$247,$E110,0)</f>
        <v>9.5940114115580197</v>
      </c>
      <c r="V110" s="24">
        <f ca="1">OFFSET(COM!Y$247,$E110,0)</f>
        <v>9.7107491240330788</v>
      </c>
      <c r="W110" s="24">
        <f ca="1">OFFSET(COM!Z$247,$E110,0)</f>
        <v>9.8336365720211045</v>
      </c>
      <c r="X110" s="24">
        <f ca="1">OFFSET(COM!AA$247,$E110,0)</f>
        <v>9.9580985362563066</v>
      </c>
      <c r="Y110" s="206">
        <f ca="1">OFFSET(COM!AB$247,$E110,0)</f>
        <v>10.067088227827853</v>
      </c>
      <c r="Z110" s="24">
        <f ca="1">OFFSET(COM!AC$247,$E110,0)</f>
        <v>10.194609385143192</v>
      </c>
      <c r="AA110" s="24">
        <f ca="1">OFFSET(COM!AD$247,$E110,0)</f>
        <v>10.323751748105698</v>
      </c>
      <c r="AB110" s="24">
        <f ca="1">OFFSET(COM!AE$247,$E110,0)</f>
        <v>10.454699770658788</v>
      </c>
      <c r="AC110" s="24">
        <f ca="1">OFFSET(COM!AF$247,$E110,0)</f>
        <v>10.580132350043721</v>
      </c>
      <c r="AD110" s="24">
        <f ca="1">OFFSET(COM!AG$247,$E110,0)</f>
        <v>10.710751349493071</v>
      </c>
      <c r="AE110" s="24">
        <f ca="1">OFFSET(COM!AH$247,$E110,0)</f>
        <v>10.843606060492677</v>
      </c>
      <c r="AF110" s="24">
        <f ca="1">OFFSET(COM!AI$247,$E110,0)</f>
        <v>10.979561867788309</v>
      </c>
      <c r="AG110" s="24">
        <f ca="1">OFFSET(COM!AJ$247,$E110,0)</f>
        <v>11.112795258352513</v>
      </c>
      <c r="AH110" s="24">
        <f ca="1">OFFSET(COM!AK$247,$E110,0)</f>
        <v>11.248586321708745</v>
      </c>
      <c r="AI110" s="24">
        <f ca="1">OFFSET(COM!AL$247,$E110,0)</f>
        <v>11.390205313762191</v>
      </c>
      <c r="AJ110" s="24">
        <f ca="1">OFFSET(COM!AM$247,$E110,0)</f>
        <v>12.160059478447263</v>
      </c>
      <c r="AK110" s="24">
        <f ca="1">OFFSET(COM!AN$247,$E110,0)</f>
        <v>12.975416320532121</v>
      </c>
      <c r="AL110" s="24">
        <f ca="1">OFFSET(COM!AO$247,$E110,0)</f>
        <v>12.975416320532121</v>
      </c>
      <c r="AM110" s="24">
        <f ca="1">OFFSET(COM!AP$247,$E110,0)</f>
        <v>12.975416320532121</v>
      </c>
    </row>
    <row r="111" spans="1:39">
      <c r="A111" s="35" t="s">
        <v>240</v>
      </c>
      <c r="B111">
        <v>29.897246584059999</v>
      </c>
      <c r="E111" s="128">
        <f>MATCH(F111,COM!$D$248:$D$266,0)</f>
        <v>2</v>
      </c>
      <c r="F111" s="4" t="str">
        <f t="shared" si="1"/>
        <v>CEH</v>
      </c>
      <c r="G111" s="24">
        <f ca="1">OFFSET(COM!J$247,$E111,0)</f>
        <v>7.8517549075018991</v>
      </c>
      <c r="H111" s="24">
        <f ca="1">OFFSET(COM!K$247,$E111,0)</f>
        <v>8.5460135786417499</v>
      </c>
      <c r="I111" s="24">
        <f ca="1">OFFSET(COM!L$247,$E111,0)</f>
        <v>9.2786471163971243</v>
      </c>
      <c r="J111" s="24">
        <f ca="1">OFFSET(COM!M$247,$E111,0)</f>
        <v>10.011796090361486</v>
      </c>
      <c r="K111" s="24">
        <f ca="1">OFFSET(COM!N$247,$E111,0)</f>
        <v>10.753166346186294</v>
      </c>
      <c r="L111" s="24">
        <f ca="1">OFFSET(COM!O$247,$E111,0)</f>
        <v>11.470981711368385</v>
      </c>
      <c r="M111" s="24">
        <f ca="1">OFFSET(COM!P$247,$E111,0)</f>
        <v>11.395717669262183</v>
      </c>
      <c r="N111" s="24">
        <f ca="1">OFFSET(COM!Q$247,$E111,0)</f>
        <v>11.317557566300676</v>
      </c>
      <c r="O111" s="194">
        <f ca="1">OFFSET(COM!R$247,$E111,0)</f>
        <v>11.22578971260973</v>
      </c>
      <c r="P111" s="24">
        <f ca="1">OFFSET(COM!S$247,$E111,0)</f>
        <v>11.157004331423655</v>
      </c>
      <c r="Q111" s="24">
        <f ca="1">OFFSET(COM!T$247,$E111,0)</f>
        <v>11.089167699620091</v>
      </c>
      <c r="R111" s="24">
        <f ca="1">OFFSET(COM!U$247,$E111,0)</f>
        <v>11.023111590414988</v>
      </c>
      <c r="S111" s="24">
        <f ca="1">OFFSET(COM!V$247,$E111,0)</f>
        <v>10.958659642334844</v>
      </c>
      <c r="T111" s="194">
        <f ca="1">OFFSET(COM!W$247,$E111,0)</f>
        <v>10.894044941517684</v>
      </c>
      <c r="U111" s="24">
        <f ca="1">OFFSET(COM!X$247,$E111,0)</f>
        <v>10.832010286390272</v>
      </c>
      <c r="V111" s="24">
        <f ca="1">OFFSET(COM!Y$247,$E111,0)</f>
        <v>10.77043231698438</v>
      </c>
      <c r="W111" s="24">
        <f ca="1">OFFSET(COM!Z$247,$E111,0)</f>
        <v>10.710444748825729</v>
      </c>
      <c r="X111" s="24">
        <f ca="1">OFFSET(COM!AA$247,$E111,0)</f>
        <v>10.650864370959738</v>
      </c>
      <c r="Y111" s="206">
        <f ca="1">OFFSET(COM!AB$247,$E111,0)</f>
        <v>10.587282663005645</v>
      </c>
      <c r="Z111" s="24">
        <f ca="1">OFFSET(COM!AC$247,$E111,0)</f>
        <v>10.528493432088972</v>
      </c>
      <c r="AA111" s="24">
        <f ca="1">OFFSET(COM!AD$247,$E111,0)</f>
        <v>10.470123465948456</v>
      </c>
      <c r="AB111" s="24">
        <f ca="1">OFFSET(COM!AE$247,$E111,0)</f>
        <v>10.412220466762683</v>
      </c>
      <c r="AC111" s="24">
        <f ca="1">OFFSET(COM!AF$247,$E111,0)</f>
        <v>10.352891102544589</v>
      </c>
      <c r="AD111" s="24">
        <f ca="1">OFFSET(COM!AG$247,$E111,0)</f>
        <v>10.294903013723101</v>
      </c>
      <c r="AE111" s="24">
        <f ca="1">OFFSET(COM!AH$247,$E111,0)</f>
        <v>10.237493108862612</v>
      </c>
      <c r="AF111" s="24">
        <f ca="1">OFFSET(COM!AI$247,$E111,0)</f>
        <v>10.180885187665746</v>
      </c>
      <c r="AG111" s="24">
        <f ca="1">OFFSET(COM!AJ$247,$E111,0)</f>
        <v>10.123573214244839</v>
      </c>
      <c r="AH111" s="24">
        <f ca="1">OFFSET(COM!AK$247,$E111,0)</f>
        <v>10.066922688131688</v>
      </c>
      <c r="AI111" s="24">
        <f ca="1">OFFSET(COM!AL$247,$E111,0)</f>
        <v>10.01177933985559</v>
      </c>
      <c r="AJ111" s="24">
        <f ca="1">OFFSET(COM!AM$247,$E111,0)</f>
        <v>9.7520343285645499</v>
      </c>
      <c r="AK111" s="24">
        <f ca="1">OFFSET(COM!AN$247,$E111,0)</f>
        <v>9.5040568989421459</v>
      </c>
      <c r="AL111" s="24">
        <f ca="1">OFFSET(COM!AO$247,$E111,0)</f>
        <v>9.5040568989421459</v>
      </c>
      <c r="AM111" s="24">
        <f ca="1">OFFSET(COM!AP$247,$E111,0)</f>
        <v>9.5040568989421459</v>
      </c>
    </row>
    <row r="112" spans="1:39">
      <c r="A112" s="35" t="s">
        <v>241</v>
      </c>
      <c r="B112">
        <v>0.29916376652240001</v>
      </c>
      <c r="E112" s="128">
        <f>MATCH(F112,COM!$D$248:$D$266,0)</f>
        <v>3</v>
      </c>
      <c r="F112" s="4" t="str">
        <f t="shared" si="1"/>
        <v>CEK</v>
      </c>
      <c r="G112" s="24">
        <f ca="1">OFFSET(COM!J$247,$E112,0)</f>
        <v>9.8944997565297612</v>
      </c>
      <c r="H112" s="24">
        <f ca="1">OFFSET(COM!K$247,$E112,0)</f>
        <v>9.5753700759835159</v>
      </c>
      <c r="I112" s="24">
        <f ca="1">OFFSET(COM!L$247,$E112,0)</f>
        <v>9.2762478476592491</v>
      </c>
      <c r="J112" s="24">
        <f ca="1">OFFSET(COM!M$247,$E112,0)</f>
        <v>8.9546526553297614</v>
      </c>
      <c r="K112" s="24">
        <f ca="1">OFFSET(COM!N$247,$E112,0)</f>
        <v>8.6207385707018886</v>
      </c>
      <c r="L112" s="24">
        <f ca="1">OFFSET(COM!O$247,$E112,0)</f>
        <v>8.2528207241540805</v>
      </c>
      <c r="M112" s="24">
        <f ca="1">OFFSET(COM!P$247,$E112,0)</f>
        <v>8.1986718585986544</v>
      </c>
      <c r="N112" s="24">
        <f ca="1">OFFSET(COM!Q$247,$E112,0)</f>
        <v>8.1424394162712925</v>
      </c>
      <c r="O112" s="194">
        <f ca="1">OFFSET(COM!R$247,$E112,0)</f>
        <v>8.0764168504780613</v>
      </c>
      <c r="P112" s="24">
        <f ca="1">OFFSET(COM!S$247,$E112,0)</f>
        <v>8.0269290704732601</v>
      </c>
      <c r="Q112" s="24">
        <f ca="1">OFFSET(COM!T$247,$E112,0)</f>
        <v>7.9781238701083765</v>
      </c>
      <c r="R112" s="24">
        <f ca="1">OFFSET(COM!U$247,$E112,0)</f>
        <v>7.9305996702864388</v>
      </c>
      <c r="S112" s="24">
        <f ca="1">OFFSET(COM!V$247,$E112,0)</f>
        <v>7.8842295873927695</v>
      </c>
      <c r="T112" s="194">
        <f ca="1">OFFSET(COM!W$247,$E112,0)</f>
        <v>7.8377424117170911</v>
      </c>
      <c r="U112" s="24">
        <f ca="1">OFFSET(COM!X$247,$E112,0)</f>
        <v>7.7931114550707319</v>
      </c>
      <c r="V112" s="24">
        <f ca="1">OFFSET(COM!Y$247,$E112,0)</f>
        <v>7.748809061879693</v>
      </c>
      <c r="W112" s="24">
        <f ca="1">OFFSET(COM!Z$247,$E112,0)</f>
        <v>7.7056508860453885</v>
      </c>
      <c r="X112" s="24">
        <f ca="1">OFFSET(COM!AA$247,$E112,0)</f>
        <v>7.662785664081162</v>
      </c>
      <c r="Y112" s="206">
        <f ca="1">OFFSET(COM!AB$247,$E112,0)</f>
        <v>7.617041677185898</v>
      </c>
      <c r="Z112" s="24">
        <f ca="1">OFFSET(COM!AC$247,$E112,0)</f>
        <v>7.57474564747596</v>
      </c>
      <c r="AA112" s="24">
        <f ca="1">OFFSET(COM!AD$247,$E112,0)</f>
        <v>7.5327512586473899</v>
      </c>
      <c r="AB112" s="24">
        <f ca="1">OFFSET(COM!AE$247,$E112,0)</f>
        <v>7.4910928301279336</v>
      </c>
      <c r="AC112" s="24">
        <f ca="1">OFFSET(COM!AF$247,$E112,0)</f>
        <v>7.4484082004344954</v>
      </c>
      <c r="AD112" s="24">
        <f ca="1">OFFSET(COM!AG$247,$E112,0)</f>
        <v>7.4066885540065188</v>
      </c>
      <c r="AE112" s="24">
        <f ca="1">OFFSET(COM!AH$247,$E112,0)</f>
        <v>7.3653848831851452</v>
      </c>
      <c r="AF112" s="24">
        <f ca="1">OFFSET(COM!AI$247,$E112,0)</f>
        <v>7.3246582011138281</v>
      </c>
      <c r="AG112" s="24">
        <f ca="1">OFFSET(COM!AJ$247,$E112,0)</f>
        <v>7.283424987262439</v>
      </c>
      <c r="AH112" s="24">
        <f ca="1">OFFSET(COM!AK$247,$E112,0)</f>
        <v>7.2426676529989322</v>
      </c>
      <c r="AI112" s="24">
        <f ca="1">OFFSET(COM!AL$247,$E112,0)</f>
        <v>7.2029946608433235</v>
      </c>
      <c r="AJ112" s="24">
        <f ca="1">OFFSET(COM!AM$247,$E112,0)</f>
        <v>7.0161205932076065</v>
      </c>
      <c r="AK112" s="24">
        <f ca="1">OFFSET(COM!AN$247,$E112,0)</f>
        <v>6.837712735728239</v>
      </c>
      <c r="AL112" s="24">
        <f ca="1">OFFSET(COM!AO$247,$E112,0)</f>
        <v>6.837712735728239</v>
      </c>
      <c r="AM112" s="24">
        <f ca="1">OFFSET(COM!AP$247,$E112,0)</f>
        <v>6.837712735728239</v>
      </c>
    </row>
    <row r="113" spans="1:39">
      <c r="A113" s="35" t="s">
        <v>242</v>
      </c>
      <c r="B113">
        <v>177.48088542799999</v>
      </c>
      <c r="E113" s="128">
        <f>MATCH(F113,COM!$D$248:$D$266,0)</f>
        <v>4</v>
      </c>
      <c r="F113" s="4" t="str">
        <f t="shared" si="1"/>
        <v>CEL</v>
      </c>
      <c r="G113" s="24">
        <f ca="1">OFFSET(COM!J$247,$E113,0)</f>
        <v>121.54027190568891</v>
      </c>
      <c r="H113" s="24">
        <f ca="1">OFFSET(COM!K$247,$E113,0)</f>
        <v>118.25542494127434</v>
      </c>
      <c r="I113" s="24">
        <f ca="1">OFFSET(COM!L$247,$E113,0)</f>
        <v>115.23142491714327</v>
      </c>
      <c r="J113" s="24">
        <f ca="1">OFFSET(COM!M$247,$E113,0)</f>
        <v>111.94367686603883</v>
      </c>
      <c r="K113" s="24">
        <f ca="1">OFFSET(COM!N$247,$E113,0)</f>
        <v>108.51667362925802</v>
      </c>
      <c r="L113" s="24">
        <f ca="1">OFFSET(COM!O$247,$E113,0)</f>
        <v>104.67427977141129</v>
      </c>
      <c r="M113" s="24">
        <f ca="1">OFFSET(COM!P$247,$E113,0)</f>
        <v>103.98748507516102</v>
      </c>
      <c r="N113" s="24">
        <f ca="1">OFFSET(COM!Q$247,$E113,0)</f>
        <v>103.27426342681275</v>
      </c>
      <c r="O113" s="194">
        <f ca="1">OFFSET(COM!R$247,$E113,0)</f>
        <v>102.43686918864145</v>
      </c>
      <c r="P113" s="24">
        <f ca="1">OFFSET(COM!S$247,$E113,0)</f>
        <v>101.80919316093768</v>
      </c>
      <c r="Q113" s="24">
        <f ca="1">OFFSET(COM!T$247,$E113,0)</f>
        <v>101.1901746013388</v>
      </c>
      <c r="R113" s="24">
        <f ca="1">OFFSET(COM!U$247,$E113,0)</f>
        <v>100.58740355440274</v>
      </c>
      <c r="S113" s="24">
        <f ca="1">OFFSET(COM!V$247,$E113,0)</f>
        <v>99.999270697520302</v>
      </c>
      <c r="T113" s="194">
        <f ca="1">OFFSET(COM!W$247,$E113,0)</f>
        <v>99.409652699613574</v>
      </c>
      <c r="U113" s="24">
        <f ca="1">OFFSET(COM!X$247,$E113,0)</f>
        <v>98.843577972121466</v>
      </c>
      <c r="V113" s="24">
        <f ca="1">OFFSET(COM!Y$247,$E113,0)</f>
        <v>98.28167056440941</v>
      </c>
      <c r="W113" s="24">
        <f ca="1">OFFSET(COM!Z$247,$E113,0)</f>
        <v>97.734275785981467</v>
      </c>
      <c r="X113" s="24">
        <f ca="1">OFFSET(COM!AA$247,$E113,0)</f>
        <v>97.190596674763782</v>
      </c>
      <c r="Y113" s="206">
        <f ca="1">OFFSET(COM!AB$247,$E113,0)</f>
        <v>96.610404878264347</v>
      </c>
      <c r="Z113" s="24">
        <f ca="1">OFFSET(COM!AC$247,$E113,0)</f>
        <v>96.073945091355341</v>
      </c>
      <c r="AA113" s="24">
        <f ca="1">OFFSET(COM!AD$247,$E113,0)</f>
        <v>95.54131115297281</v>
      </c>
      <c r="AB113" s="24">
        <f ca="1">OFFSET(COM!AE$247,$E113,0)</f>
        <v>95.012938352032108</v>
      </c>
      <c r="AC113" s="24">
        <f ca="1">OFFSET(COM!AF$247,$E113,0)</f>
        <v>94.47154977474321</v>
      </c>
      <c r="AD113" s="24">
        <f ca="1">OFFSET(COM!AG$247,$E113,0)</f>
        <v>93.942400519218324</v>
      </c>
      <c r="AE113" s="24">
        <f ca="1">OFFSET(COM!AH$247,$E113,0)</f>
        <v>93.418527271555362</v>
      </c>
      <c r="AF113" s="24">
        <f ca="1">OFFSET(COM!AI$247,$E113,0)</f>
        <v>92.901972234703862</v>
      </c>
      <c r="AG113" s="24">
        <f ca="1">OFFSET(COM!AJ$247,$E113,0)</f>
        <v>92.378992624844813</v>
      </c>
      <c r="AH113" s="24">
        <f ca="1">OFFSET(COM!AK$247,$E113,0)</f>
        <v>91.862048812294859</v>
      </c>
      <c r="AI113" s="24">
        <f ca="1">OFFSET(COM!AL$247,$E113,0)</f>
        <v>91.358858204008556</v>
      </c>
      <c r="AJ113" s="24">
        <f ca="1">OFFSET(COM!AM$247,$E113,0)</f>
        <v>88.988649387952194</v>
      </c>
      <c r="AK113" s="24">
        <f ca="1">OFFSET(COM!AN$247,$E113,0)</f>
        <v>86.725821366914857</v>
      </c>
      <c r="AL113" s="24">
        <f ca="1">OFFSET(COM!AO$247,$E113,0)</f>
        <v>86.725821366914857</v>
      </c>
      <c r="AM113" s="24">
        <f ca="1">OFFSET(COM!AP$247,$E113,0)</f>
        <v>86.725821366914857</v>
      </c>
    </row>
    <row r="114" spans="1:39">
      <c r="A114" s="35" t="s">
        <v>247</v>
      </c>
      <c r="B114">
        <v>30.831061307799999</v>
      </c>
      <c r="E114" s="128">
        <f>MATCH(F114,COM!$D$248:$D$266,0)</f>
        <v>9</v>
      </c>
      <c r="F114" s="4" t="str">
        <f t="shared" si="1"/>
        <v>CEO</v>
      </c>
      <c r="G114" s="24">
        <f ca="1">OFFSET(COM!J$247,$E114,0)</f>
        <v>18.760184357078931</v>
      </c>
      <c r="H114" s="24">
        <f ca="1">OFFSET(COM!K$247,$E114,0)</f>
        <v>18.415319194151312</v>
      </c>
      <c r="I114" s="24">
        <f ca="1">OFFSET(COM!L$247,$E114,0)</f>
        <v>18.114567188633565</v>
      </c>
      <c r="J114" s="24">
        <f ca="1">OFFSET(COM!M$247,$E114,0)</f>
        <v>17.776245066865727</v>
      </c>
      <c r="K114" s="24">
        <f ca="1">OFFSET(COM!N$247,$E114,0)</f>
        <v>17.41950852758735</v>
      </c>
      <c r="L114" s="24">
        <f ca="1">OFFSET(COM!O$247,$E114,0)</f>
        <v>16.999241745794041</v>
      </c>
      <c r="M114" s="24">
        <f ca="1">OFFSET(COM!P$247,$E114,0)</f>
        <v>16.887705377005229</v>
      </c>
      <c r="N114" s="24">
        <f ca="1">OFFSET(COM!Q$247,$E114,0)</f>
        <v>16.771877236175573</v>
      </c>
      <c r="O114" s="194">
        <f ca="1">OFFSET(COM!R$247,$E114,0)</f>
        <v>16.635883302209223</v>
      </c>
      <c r="P114" s="24">
        <f ca="1">OFFSET(COM!S$247,$E114,0)</f>
        <v>16.533947883534477</v>
      </c>
      <c r="Q114" s="24">
        <f ca="1">OFFSET(COM!T$247,$E114,0)</f>
        <v>16.433418449152558</v>
      </c>
      <c r="R114" s="24">
        <f ca="1">OFFSET(COM!U$247,$E114,0)</f>
        <v>16.335527632357756</v>
      </c>
      <c r="S114" s="24">
        <f ca="1">OFFSET(COM!V$247,$E114,0)</f>
        <v>16.240014077025702</v>
      </c>
      <c r="T114" s="194">
        <f ca="1">OFFSET(COM!W$247,$E114,0)</f>
        <v>16.144259332823253</v>
      </c>
      <c r="U114" s="24">
        <f ca="1">OFFSET(COM!X$247,$E114,0)</f>
        <v>16.0523280469349</v>
      </c>
      <c r="V114" s="24">
        <f ca="1">OFFSET(COM!Y$247,$E114,0)</f>
        <v>15.961073539301223</v>
      </c>
      <c r="W114" s="24">
        <f ca="1">OFFSET(COM!Z$247,$E114,0)</f>
        <v>15.87217590189495</v>
      </c>
      <c r="X114" s="24">
        <f ca="1">OFFSET(COM!AA$247,$E114,0)</f>
        <v>15.783881693767498</v>
      </c>
      <c r="Y114" s="206">
        <f ca="1">OFFSET(COM!AB$247,$E114,0)</f>
        <v>15.689657777164882</v>
      </c>
      <c r="Z114" s="24">
        <f ca="1">OFFSET(COM!AC$247,$E114,0)</f>
        <v>15.602535996871973</v>
      </c>
      <c r="AA114" s="24">
        <f ca="1">OFFSET(COM!AD$247,$E114,0)</f>
        <v>15.516035539449653</v>
      </c>
      <c r="AB114" s="24">
        <f ca="1">OFFSET(COM!AE$247,$E114,0)</f>
        <v>15.430227096394603</v>
      </c>
      <c r="AC114" s="24">
        <f ca="1">OFFSET(COM!AF$247,$E114,0)</f>
        <v>15.34230487401253</v>
      </c>
      <c r="AD114" s="24">
        <f ca="1">OFFSET(COM!AG$247,$E114,0)</f>
        <v>15.25637033370408</v>
      </c>
      <c r="AE114" s="24">
        <f ca="1">OFFSET(COM!AH$247,$E114,0)</f>
        <v>15.171292624063998</v>
      </c>
      <c r="AF114" s="24">
        <f ca="1">OFFSET(COM!AI$247,$E114,0)</f>
        <v>15.087403401557548</v>
      </c>
      <c r="AG114" s="24">
        <f ca="1">OFFSET(COM!AJ$247,$E114,0)</f>
        <v>15.00247081988104</v>
      </c>
      <c r="AH114" s="24">
        <f ca="1">OFFSET(COM!AK$247,$E114,0)</f>
        <v>14.918518459685972</v>
      </c>
      <c r="AI114" s="24">
        <f ca="1">OFFSET(COM!AL$247,$E114,0)</f>
        <v>14.83679963808861</v>
      </c>
      <c r="AJ114" s="24">
        <f ca="1">OFFSET(COM!AM$247,$E114,0)</f>
        <v>14.451874585438198</v>
      </c>
      <c r="AK114" s="24">
        <f ca="1">OFFSET(COM!AN$247,$E114,0)</f>
        <v>14.084388316196378</v>
      </c>
      <c r="AL114" s="24">
        <f ca="1">OFFSET(COM!AO$247,$E114,0)</f>
        <v>14.084388316196378</v>
      </c>
      <c r="AM114" s="24">
        <f ca="1">OFFSET(COM!AP$247,$E114,0)</f>
        <v>14.084388316196378</v>
      </c>
    </row>
    <row r="115" spans="1:39">
      <c r="A115" s="35" t="s">
        <v>243</v>
      </c>
      <c r="B115">
        <v>7.3604096683640003</v>
      </c>
      <c r="E115" s="128">
        <f>MATCH(F115,COM!$D$248:$D$266,0)</f>
        <v>5</v>
      </c>
      <c r="F115" s="4" t="str">
        <f t="shared" si="1"/>
        <v>CER</v>
      </c>
      <c r="G115" s="24">
        <f ca="1">OFFSET(COM!J$247,$E115,0)</f>
        <v>29.566390373747055</v>
      </c>
      <c r="H115" s="24">
        <f ca="1">OFFSET(COM!K$247,$E115,0)</f>
        <v>28.767304884262032</v>
      </c>
      <c r="I115" s="24">
        <f ca="1">OFFSET(COM!L$247,$E115,0)</f>
        <v>28.031674102778698</v>
      </c>
      <c r="J115" s="24">
        <f ca="1">OFFSET(COM!M$247,$E115,0)</f>
        <v>27.231882882919415</v>
      </c>
      <c r="K115" s="24">
        <f ca="1">OFFSET(COM!N$247,$E115,0)</f>
        <v>26.398215869327572</v>
      </c>
      <c r="L115" s="24">
        <f ca="1">OFFSET(COM!O$247,$E115,0)</f>
        <v>25.463499211305457</v>
      </c>
      <c r="M115" s="24">
        <f ca="1">OFFSET(COM!P$247,$E115,0)</f>
        <v>25.296426686474252</v>
      </c>
      <c r="N115" s="24">
        <f ca="1">OFFSET(COM!Q$247,$E115,0)</f>
        <v>25.12292543172607</v>
      </c>
      <c r="O115" s="194">
        <f ca="1">OFFSET(COM!R$247,$E115,0)</f>
        <v>24.919217438035627</v>
      </c>
      <c r="P115" s="24">
        <f ca="1">OFFSET(COM!S$247,$E115,0)</f>
        <v>24.766526365584077</v>
      </c>
      <c r="Q115" s="24">
        <f ca="1">OFFSET(COM!T$247,$E115,0)</f>
        <v>24.615941344712173</v>
      </c>
      <c r="R115" s="24">
        <f ca="1">OFFSET(COM!U$247,$E115,0)</f>
        <v>24.469308761122655</v>
      </c>
      <c r="S115" s="24">
        <f ca="1">OFFSET(COM!V$247,$E115,0)</f>
        <v>24.326237124326362</v>
      </c>
      <c r="T115" s="194">
        <f ca="1">OFFSET(COM!W$247,$E115,0)</f>
        <v>24.182804205968036</v>
      </c>
      <c r="U115" s="24">
        <f ca="1">OFFSET(COM!X$247,$E115,0)</f>
        <v>24.045098521166448</v>
      </c>
      <c r="V115" s="24">
        <f ca="1">OFFSET(COM!Y$247,$E115,0)</f>
        <v>23.908406595849652</v>
      </c>
      <c r="W115" s="24">
        <f ca="1">OFFSET(COM!Z$247,$E115,0)</f>
        <v>23.775245072892808</v>
      </c>
      <c r="X115" s="24">
        <f ca="1">OFFSET(COM!AA$247,$E115,0)</f>
        <v>23.642987438544353</v>
      </c>
      <c r="Y115" s="206">
        <f ca="1">OFFSET(COM!AB$247,$E115,0)</f>
        <v>23.501847577015504</v>
      </c>
      <c r="Z115" s="24">
        <f ca="1">OFFSET(COM!AC$247,$E115,0)</f>
        <v>23.371346145425182</v>
      </c>
      <c r="AA115" s="24">
        <f ca="1">OFFSET(COM!AD$247,$E115,0)</f>
        <v>23.24177540560699</v>
      </c>
      <c r="AB115" s="24">
        <f ca="1">OFFSET(COM!AE$247,$E115,0)</f>
        <v>23.11324124774691</v>
      </c>
      <c r="AC115" s="24">
        <f ca="1">OFFSET(COM!AF$247,$E115,0)</f>
        <v>22.981540818177098</v>
      </c>
      <c r="AD115" s="24">
        <f ca="1">OFFSET(COM!AG$247,$E115,0)</f>
        <v>22.852817776756176</v>
      </c>
      <c r="AE115" s="24">
        <f ca="1">OFFSET(COM!AH$247,$E115,0)</f>
        <v>22.725378198878772</v>
      </c>
      <c r="AF115" s="24">
        <f ca="1">OFFSET(COM!AI$247,$E115,0)</f>
        <v>22.599718879300092</v>
      </c>
      <c r="AG115" s="24">
        <f ca="1">OFFSET(COM!AJ$247,$E115,0)</f>
        <v>22.472496691459334</v>
      </c>
      <c r="AH115" s="24">
        <f ca="1">OFFSET(COM!AK$247,$E115,0)</f>
        <v>22.346742796692624</v>
      </c>
      <c r="AI115" s="24">
        <f ca="1">OFFSET(COM!AL$247,$E115,0)</f>
        <v>22.224334563407275</v>
      </c>
      <c r="AJ115" s="24">
        <f ca="1">OFFSET(COM!AM$247,$E115,0)</f>
        <v>21.647747741409724</v>
      </c>
      <c r="AK115" s="24">
        <f ca="1">OFFSET(COM!AN$247,$E115,0)</f>
        <v>21.097282816742137</v>
      </c>
      <c r="AL115" s="24">
        <f ca="1">OFFSET(COM!AO$247,$E115,0)</f>
        <v>21.097282816742137</v>
      </c>
      <c r="AM115" s="24">
        <f ca="1">OFFSET(COM!AP$247,$E115,0)</f>
        <v>21.097282816742137</v>
      </c>
    </row>
    <row r="116" spans="1:39">
      <c r="A116" s="35" t="s">
        <v>246</v>
      </c>
      <c r="B116">
        <v>3.1678360284579998</v>
      </c>
      <c r="E116" s="128">
        <f>MATCH(F116,COM!$D$248:$D$266,0)</f>
        <v>8</v>
      </c>
      <c r="F116" s="4" t="str">
        <f t="shared" si="1"/>
        <v>CET</v>
      </c>
      <c r="G116" s="24">
        <f ca="1">OFFSET(COM!J$247,$E116,0)</f>
        <v>3.5593512487513528</v>
      </c>
      <c r="H116" s="24">
        <f ca="1">OFFSET(COM!K$247,$E116,0)</f>
        <v>3.4631533057862538</v>
      </c>
      <c r="I116" s="24">
        <f ca="1">OFFSET(COM!L$247,$E116,0)</f>
        <v>3.3745943607275568</v>
      </c>
      <c r="J116" s="24">
        <f ca="1">OFFSET(COM!M$247,$E116,0)</f>
        <v>3.2783114583792798</v>
      </c>
      <c r="K116" s="24">
        <f ca="1">OFFSET(COM!N$247,$E116,0)</f>
        <v>3.1779504170630659</v>
      </c>
      <c r="L116" s="24">
        <f ca="1">OFFSET(COM!O$247,$E116,0)</f>
        <v>3.0654245097100388</v>
      </c>
      <c r="M116" s="24">
        <f ca="1">OFFSET(COM!P$247,$E116,0)</f>
        <v>3.087476322627404</v>
      </c>
      <c r="N116" s="24">
        <f ca="1">OFFSET(COM!Q$247,$E116,0)</f>
        <v>3.1056585208287628</v>
      </c>
      <c r="O116" s="194">
        <f ca="1">OFFSET(COM!R$247,$E116,0)</f>
        <v>3.1056585208287628</v>
      </c>
      <c r="P116" s="24">
        <f ca="1">OFFSET(COM!S$247,$E116,0)</f>
        <v>3.1363668927374868</v>
      </c>
      <c r="Q116" s="24">
        <f ca="1">OFFSET(COM!T$247,$E116,0)</f>
        <v>3.1683429502218221</v>
      </c>
      <c r="R116" s="24">
        <f ca="1">OFFSET(COM!U$247,$E116,0)</f>
        <v>3.2026980794154261</v>
      </c>
      <c r="S116" s="24">
        <f ca="1">OFFSET(COM!V$247,$E116,0)</f>
        <v>3.2391966323166557</v>
      </c>
      <c r="T116" s="194">
        <f ca="1">OFFSET(COM!W$247,$E116,0)</f>
        <v>3.2754777207315735</v>
      </c>
      <c r="U116" s="24">
        <f ca="1">OFFSET(COM!X$247,$E116,0)</f>
        <v>3.3152061755064617</v>
      </c>
      <c r="V116" s="24">
        <f ca="1">OFFSET(COM!Y$247,$E116,0)</f>
        <v>3.3555448376895782</v>
      </c>
      <c r="W116" s="24">
        <f ca="1">OFFSET(COM!Z$247,$E116,0)</f>
        <v>3.3980085381153811</v>
      </c>
      <c r="X116" s="24">
        <f ca="1">OFFSET(COM!AA$247,$E116,0)</f>
        <v>3.4410163118971724</v>
      </c>
      <c r="Y116" s="206">
        <f ca="1">OFFSET(COM!AB$247,$E116,0)</f>
        <v>3.4786776490651938</v>
      </c>
      <c r="Z116" s="24">
        <f ca="1">OFFSET(COM!AC$247,$E116,0)</f>
        <v>3.5227425255912155</v>
      </c>
      <c r="AA116" s="24">
        <f ca="1">OFFSET(COM!AD$247,$E116,0)</f>
        <v>3.5673676089736492</v>
      </c>
      <c r="AB116" s="24">
        <f ca="1">OFFSET(COM!AE$247,$E116,0)</f>
        <v>3.6126166371867461</v>
      </c>
      <c r="AC116" s="24">
        <f ca="1">OFFSET(COM!AF$247,$E116,0)</f>
        <v>3.6559598065815284</v>
      </c>
      <c r="AD116" s="24">
        <f ca="1">OFFSET(COM!AG$247,$E116,0)</f>
        <v>3.7010951410143482</v>
      </c>
      <c r="AE116" s="24">
        <f ca="1">OFFSET(COM!AH$247,$E116,0)</f>
        <v>3.7470030245322286</v>
      </c>
      <c r="AF116" s="24">
        <f ca="1">OFFSET(COM!AI$247,$E116,0)</f>
        <v>3.7939824904310764</v>
      </c>
      <c r="AG116" s="24">
        <f ca="1">OFFSET(COM!AJ$247,$E116,0)</f>
        <v>3.8400212264961593</v>
      </c>
      <c r="AH116" s="24">
        <f ca="1">OFFSET(COM!AK$247,$E116,0)</f>
        <v>3.8869437652034651</v>
      </c>
      <c r="AI116" s="24">
        <f ca="1">OFFSET(COM!AL$247,$E116,0)</f>
        <v>3.9358801419581333</v>
      </c>
      <c r="AJ116" s="24">
        <f ca="1">OFFSET(COM!AM$247,$E116,0)</f>
        <v>4.2019028900579141</v>
      </c>
      <c r="AK116" s="24">
        <f ca="1">OFFSET(COM!AN$247,$E116,0)</f>
        <v>4.4836490671434168</v>
      </c>
      <c r="AL116" s="24">
        <f ca="1">OFFSET(COM!AO$247,$E116,0)</f>
        <v>4.4836490671434168</v>
      </c>
      <c r="AM116" s="24">
        <f ca="1">OFFSET(COM!AP$247,$E116,0)</f>
        <v>4.4836490671434168</v>
      </c>
    </row>
    <row r="117" spans="1:39">
      <c r="A117" s="35" t="s">
        <v>244</v>
      </c>
      <c r="B117">
        <v>31.577350492680001</v>
      </c>
      <c r="E117" s="128">
        <f>MATCH(F117,COM!$D$248:$D$266,0)</f>
        <v>6</v>
      </c>
      <c r="F117" s="4" t="str">
        <f t="shared" si="1"/>
        <v>CEW</v>
      </c>
      <c r="G117" s="24">
        <f ca="1">OFFSET(COM!J$247,$E117,0)</f>
        <v>9.6831090230750316</v>
      </c>
      <c r="H117" s="24">
        <f ca="1">OFFSET(COM!K$247,$E117,0)</f>
        <v>9.6736255038926586</v>
      </c>
      <c r="I117" s="24">
        <f ca="1">OFFSET(COM!L$247,$E117,0)</f>
        <v>9.6909124953046728</v>
      </c>
      <c r="J117" s="24">
        <f ca="1">OFFSET(COM!M$247,$E117,0)</f>
        <v>9.6920710399778542</v>
      </c>
      <c r="K117" s="24">
        <f ca="1">OFFSET(COM!N$247,$E117,0)</f>
        <v>9.6869258063486576</v>
      </c>
      <c r="L117" s="24">
        <f ca="1">OFFSET(COM!O$247,$E117,0)</f>
        <v>9.6495991200814473</v>
      </c>
      <c r="M117" s="24">
        <f ca="1">OFFSET(COM!P$247,$E117,0)</f>
        <v>9.5862856345615484</v>
      </c>
      <c r="N117" s="24">
        <f ca="1">OFFSET(COM!Q$247,$E117,0)</f>
        <v>9.5205359298073908</v>
      </c>
      <c r="O117" s="194">
        <f ca="1">OFFSET(COM!R$247,$E117,0)</f>
        <v>9.4433391368467383</v>
      </c>
      <c r="P117" s="24">
        <f ca="1">OFFSET(COM!S$247,$E117,0)</f>
        <v>9.3854756191052893</v>
      </c>
      <c r="Q117" s="24">
        <f ca="1">OFFSET(COM!T$247,$E117,0)</f>
        <v>9.3284102066556969</v>
      </c>
      <c r="R117" s="24">
        <f ca="1">OFFSET(COM!U$247,$E117,0)</f>
        <v>9.2728426023041131</v>
      </c>
      <c r="S117" s="24">
        <f ca="1">OFFSET(COM!V$247,$E117,0)</f>
        <v>9.2186244475610621</v>
      </c>
      <c r="T117" s="194">
        <f ca="1">OFFSET(COM!W$247,$E117,0)</f>
        <v>9.1642693822459727</v>
      </c>
      <c r="U117" s="24">
        <f ca="1">OFFSET(COM!X$247,$E117,0)</f>
        <v>9.1120846984417305</v>
      </c>
      <c r="V117" s="24">
        <f ca="1">OFFSET(COM!Y$247,$E117,0)</f>
        <v>9.0602841869993114</v>
      </c>
      <c r="W117" s="24">
        <f ca="1">OFFSET(COM!Z$247,$E117,0)</f>
        <v>9.0098215501052206</v>
      </c>
      <c r="X117" s="24">
        <f ca="1">OFFSET(COM!AA$247,$E117,0)</f>
        <v>8.9597014491150837</v>
      </c>
      <c r="Y117" s="206">
        <f ca="1">OFFSET(COM!AB$247,$E117,0)</f>
        <v>8.906215356244843</v>
      </c>
      <c r="Z117" s="24">
        <f ca="1">OFFSET(COM!AC$247,$E117,0)</f>
        <v>8.8567607825040824</v>
      </c>
      <c r="AA117" s="24">
        <f ca="1">OFFSET(COM!AD$247,$E117,0)</f>
        <v>8.8076589019431104</v>
      </c>
      <c r="AB117" s="24">
        <f ca="1">OFFSET(COM!AE$247,$E117,0)</f>
        <v>8.758949842504947</v>
      </c>
      <c r="AC117" s="24">
        <f ca="1">OFFSET(COM!AF$247,$E117,0)</f>
        <v>8.7090408987755268</v>
      </c>
      <c r="AD117" s="24">
        <f ca="1">OFFSET(COM!AG$247,$E117,0)</f>
        <v>8.6602602603832182</v>
      </c>
      <c r="AE117" s="24">
        <f ca="1">OFFSET(COM!AH$247,$E117,0)</f>
        <v>8.611966000888696</v>
      </c>
      <c r="AF117" s="24">
        <f ca="1">OFFSET(COM!AI$247,$E117,0)</f>
        <v>8.5643463846853525</v>
      </c>
      <c r="AG117" s="24">
        <f ca="1">OFFSET(COM!AJ$247,$E117,0)</f>
        <v>8.5161345069047076</v>
      </c>
      <c r="AH117" s="24">
        <f ca="1">OFFSET(COM!AK$247,$E117,0)</f>
        <v>8.4684790506683996</v>
      </c>
      <c r="AI117" s="24">
        <f ca="1">OFFSET(COM!AL$247,$E117,0)</f>
        <v>8.4220914599292378</v>
      </c>
      <c r="AJ117" s="24">
        <f ca="1">OFFSET(COM!AM$247,$E117,0)</f>
        <v>8.2035892170117428</v>
      </c>
      <c r="AK117" s="24">
        <f ca="1">OFFSET(COM!AN$247,$E117,0)</f>
        <v>7.9949860785102702</v>
      </c>
      <c r="AL117" s="24">
        <f ca="1">OFFSET(COM!AO$247,$E117,0)</f>
        <v>7.9949860785102702</v>
      </c>
      <c r="AM117" s="24">
        <f ca="1">OFFSET(COM!AP$247,$E117,0)</f>
        <v>7.9949860785102702</v>
      </c>
    </row>
    <row r="118" spans="1:39">
      <c r="A118" s="35" t="s">
        <v>248</v>
      </c>
      <c r="B118" t="s">
        <v>386</v>
      </c>
      <c r="E118" s="128">
        <f>MATCH(F118,COM!$D$248:$D$266,0)</f>
        <v>11</v>
      </c>
      <c r="F118" s="4" t="str">
        <f t="shared" si="1"/>
        <v>CNC</v>
      </c>
      <c r="G118" s="24">
        <f ca="1">OFFSET(COM!J$247,$E118,0)</f>
        <v>0</v>
      </c>
      <c r="H118" s="24">
        <f ca="1">OFFSET(COM!K$247,$E118,0)</f>
        <v>0</v>
      </c>
      <c r="I118" s="24">
        <f ca="1">OFFSET(COM!L$247,$E118,0)</f>
        <v>0</v>
      </c>
      <c r="J118" s="24">
        <f ca="1">OFFSET(COM!M$247,$E118,0)</f>
        <v>0</v>
      </c>
      <c r="K118" s="24">
        <f ca="1">OFFSET(COM!N$247,$E118,0)</f>
        <v>0</v>
      </c>
      <c r="L118" s="24">
        <f ca="1">OFFSET(COM!O$247,$E118,0)</f>
        <v>0</v>
      </c>
      <c r="M118" s="24">
        <f ca="1">OFFSET(COM!P$247,$E118,0)</f>
        <v>1.6544946889303713</v>
      </c>
      <c r="N118" s="24">
        <f ca="1">OFFSET(COM!Q$247,$E118,0)</f>
        <v>3.1875183888127405</v>
      </c>
      <c r="O118" s="194">
        <f ca="1">OFFSET(COM!R$247,$E118,0)</f>
        <v>4.1497851114047242</v>
      </c>
      <c r="P118" s="24">
        <f ca="1">OFFSET(COM!S$247,$E118,0)</f>
        <v>6.0760176501224006</v>
      </c>
      <c r="Q118" s="24">
        <f ca="1">OFFSET(COM!T$247,$E118,0)</f>
        <v>8.042044078406013</v>
      </c>
      <c r="R118" s="24">
        <f ca="1">OFFSET(COM!U$247,$E118,0)</f>
        <v>10.082751893533009</v>
      </c>
      <c r="S118" s="24">
        <f ca="1">OFFSET(COM!V$247,$E118,0)</f>
        <v>12.190743874351574</v>
      </c>
      <c r="T118" s="194">
        <f ca="1">OFFSET(COM!W$247,$E118,0)</f>
        <v>14.291909432341567</v>
      </c>
      <c r="U118" s="24">
        <f ca="1">OFFSET(COM!X$247,$E118,0)</f>
        <v>16.501291190674277</v>
      </c>
      <c r="V118" s="24">
        <f ca="1">OFFSET(COM!Y$247,$E118,0)</f>
        <v>18.729827956118001</v>
      </c>
      <c r="W118" s="24">
        <f ca="1">OFFSET(COM!Z$247,$E118,0)</f>
        <v>21.025071749534352</v>
      </c>
      <c r="X118" s="24">
        <f ca="1">OFFSET(COM!AA$247,$E118,0)</f>
        <v>23.337394537506206</v>
      </c>
      <c r="Y118" s="206">
        <f ca="1">OFFSET(COM!AB$247,$E118,0)</f>
        <v>25.481887453250529</v>
      </c>
      <c r="Z118" s="24">
        <f ca="1">OFFSET(COM!AC$247,$E118,0)</f>
        <v>27.803938667069961</v>
      </c>
      <c r="AA118" s="24">
        <f ca="1">OFFSET(COM!AD$247,$E118,0)</f>
        <v>30.143399467387027</v>
      </c>
      <c r="AB118" s="24">
        <f ca="1">OFFSET(COM!AE$247,$E118,0)</f>
        <v>32.50225064355331</v>
      </c>
      <c r="AC118" s="24">
        <f ca="1">OFFSET(COM!AF$247,$E118,0)</f>
        <v>34.801873315873451</v>
      </c>
      <c r="AD118" s="24">
        <f ca="1">OFFSET(COM!AG$247,$E118,0)</f>
        <v>37.15719122271377</v>
      </c>
      <c r="AE118" s="24">
        <f ca="1">OFFSET(COM!AH$247,$E118,0)</f>
        <v>39.53651768990288</v>
      </c>
      <c r="AF118" s="24">
        <f ca="1">OFFSET(COM!AI$247,$E118,0)</f>
        <v>41.949145795472894</v>
      </c>
      <c r="AG118" s="24">
        <f ca="1">OFFSET(COM!AJ$247,$E118,0)</f>
        <v>44.332538776152319</v>
      </c>
      <c r="AH118" s="24">
        <f ca="1">OFFSET(COM!AK$247,$E118,0)</f>
        <v>46.743397751527191</v>
      </c>
      <c r="AI118" s="24">
        <f ca="1">OFFSET(COM!AL$247,$E118,0)</f>
        <v>49.216840908577815</v>
      </c>
      <c r="AJ118" s="24">
        <f ca="1">OFFSET(COM!AM$247,$E118,0)</f>
        <v>61.986659637407833</v>
      </c>
      <c r="AK118" s="24">
        <f ca="1">OFFSET(COM!AN$247,$E118,0)</f>
        <v>75.235343674571325</v>
      </c>
      <c r="AL118" s="24">
        <f ca="1">OFFSET(COM!AO$247,$E118,0)</f>
        <v>75.235343674571325</v>
      </c>
      <c r="AM118" s="24">
        <f ca="1">OFFSET(COM!AP$247,$E118,0)</f>
        <v>75.235343674571325</v>
      </c>
    </row>
    <row r="119" spans="1:39">
      <c r="A119" s="35" t="s">
        <v>254</v>
      </c>
      <c r="B119" t="s">
        <v>386</v>
      </c>
      <c r="E119" s="128">
        <f>MATCH(F119,COM!$D$248:$D$266,0)</f>
        <v>17</v>
      </c>
      <c r="F119" s="4" t="str">
        <f t="shared" si="1"/>
        <v>CNG</v>
      </c>
      <c r="G119" s="24">
        <f ca="1">OFFSET(COM!J$247,$E119,0)</f>
        <v>0</v>
      </c>
      <c r="H119" s="24">
        <f ca="1">OFFSET(COM!K$247,$E119,0)</f>
        <v>0</v>
      </c>
      <c r="I119" s="24">
        <f ca="1">OFFSET(COM!L$247,$E119,0)</f>
        <v>0</v>
      </c>
      <c r="J119" s="24">
        <f ca="1">OFFSET(COM!M$247,$E119,0)</f>
        <v>0</v>
      </c>
      <c r="K119" s="24">
        <f ca="1">OFFSET(COM!N$247,$E119,0)</f>
        <v>0</v>
      </c>
      <c r="L119" s="24">
        <f ca="1">OFFSET(COM!O$247,$E119,0)</f>
        <v>0</v>
      </c>
      <c r="M119" s="24">
        <f ca="1">OFFSET(COM!P$247,$E119,0)</f>
        <v>0</v>
      </c>
      <c r="N119" s="24">
        <f ca="1">OFFSET(COM!Q$247,$E119,0)</f>
        <v>0</v>
      </c>
      <c r="O119" s="194">
        <f ca="1">OFFSET(COM!R$247,$E119,0)</f>
        <v>0</v>
      </c>
      <c r="P119" s="24">
        <f ca="1">OFFSET(COM!S$247,$E119,0)</f>
        <v>0</v>
      </c>
      <c r="Q119" s="24">
        <f ca="1">OFFSET(COM!T$247,$E119,0)</f>
        <v>0</v>
      </c>
      <c r="R119" s="24">
        <f ca="1">OFFSET(COM!U$247,$E119,0)</f>
        <v>0</v>
      </c>
      <c r="S119" s="24">
        <f ca="1">OFFSET(COM!V$247,$E119,0)</f>
        <v>0</v>
      </c>
      <c r="T119" s="194">
        <f ca="1">OFFSET(COM!W$247,$E119,0)</f>
        <v>0</v>
      </c>
      <c r="U119" s="24">
        <f ca="1">OFFSET(COM!X$247,$E119,0)</f>
        <v>0</v>
      </c>
      <c r="V119" s="24">
        <f ca="1">OFFSET(COM!Y$247,$E119,0)</f>
        <v>0</v>
      </c>
      <c r="W119" s="24">
        <f ca="1">OFFSET(COM!Z$247,$E119,0)</f>
        <v>0</v>
      </c>
      <c r="X119" s="24">
        <f ca="1">OFFSET(COM!AA$247,$E119,0)</f>
        <v>0</v>
      </c>
      <c r="Y119" s="206">
        <f ca="1">OFFSET(COM!AB$247,$E119,0)</f>
        <v>0</v>
      </c>
      <c r="Z119" s="24">
        <f ca="1">OFFSET(COM!AC$247,$E119,0)</f>
        <v>0</v>
      </c>
      <c r="AA119" s="24">
        <f ca="1">OFFSET(COM!AD$247,$E119,0)</f>
        <v>0</v>
      </c>
      <c r="AB119" s="24">
        <f ca="1">OFFSET(COM!AE$247,$E119,0)</f>
        <v>0</v>
      </c>
      <c r="AC119" s="24">
        <f ca="1">OFFSET(COM!AF$247,$E119,0)</f>
        <v>0</v>
      </c>
      <c r="AD119" s="24">
        <f ca="1">OFFSET(COM!AG$247,$E119,0)</f>
        <v>0</v>
      </c>
      <c r="AE119" s="24">
        <f ca="1">OFFSET(COM!AH$247,$E119,0)</f>
        <v>0</v>
      </c>
      <c r="AF119" s="24">
        <f ca="1">OFFSET(COM!AI$247,$E119,0)</f>
        <v>0</v>
      </c>
      <c r="AG119" s="24">
        <f ca="1">OFFSET(COM!AJ$247,$E119,0)</f>
        <v>0</v>
      </c>
      <c r="AH119" s="24">
        <f ca="1">OFFSET(COM!AK$247,$E119,0)</f>
        <v>0</v>
      </c>
      <c r="AI119" s="24">
        <f ca="1">OFFSET(COM!AL$247,$E119,0)</f>
        <v>0</v>
      </c>
      <c r="AJ119" s="24">
        <f ca="1">OFFSET(COM!AM$247,$E119,0)</f>
        <v>0</v>
      </c>
      <c r="AK119" s="24">
        <f ca="1">OFFSET(COM!AN$247,$E119,0)</f>
        <v>0</v>
      </c>
      <c r="AL119" s="24">
        <f ca="1">OFFSET(COM!AO$247,$E119,0)</f>
        <v>0</v>
      </c>
      <c r="AM119" s="24">
        <f ca="1">OFFSET(COM!AP$247,$E119,0)</f>
        <v>0</v>
      </c>
    </row>
    <row r="120" spans="1:39">
      <c r="A120" s="35" t="s">
        <v>249</v>
      </c>
      <c r="B120" t="s">
        <v>386</v>
      </c>
      <c r="E120" s="128">
        <f>MATCH(F120,COM!$D$248:$D$266,0)</f>
        <v>12</v>
      </c>
      <c r="F120" s="4" t="str">
        <f t="shared" si="1"/>
        <v>CNH</v>
      </c>
      <c r="G120" s="24">
        <f ca="1">OFFSET(COM!J$247,$E120,0)</f>
        <v>0</v>
      </c>
      <c r="H120" s="24">
        <f ca="1">OFFSET(COM!K$247,$E120,0)</f>
        <v>0</v>
      </c>
      <c r="I120" s="24">
        <f ca="1">OFFSET(COM!L$247,$E120,0)</f>
        <v>0</v>
      </c>
      <c r="J120" s="24">
        <f ca="1">OFFSET(COM!M$247,$E120,0)</f>
        <v>0</v>
      </c>
      <c r="K120" s="24">
        <f ca="1">OFFSET(COM!N$247,$E120,0)</f>
        <v>0</v>
      </c>
      <c r="L120" s="24">
        <f ca="1">OFFSET(COM!O$247,$E120,0)</f>
        <v>0</v>
      </c>
      <c r="M120" s="24">
        <f ca="1">OFFSET(COM!P$247,$E120,0)</f>
        <v>0.15778310002993795</v>
      </c>
      <c r="N120" s="24">
        <f ca="1">OFFSET(COM!Q$247,$E120,0)</f>
        <v>0.30398195663864902</v>
      </c>
      <c r="O120" s="194">
        <f ca="1">OFFSET(COM!R$247,$E120,0)</f>
        <v>0.39574981032959627</v>
      </c>
      <c r="P120" s="24">
        <f ca="1">OFFSET(COM!S$247,$E120,0)</f>
        <v>0.57944755404003445</v>
      </c>
      <c r="Q120" s="24">
        <f ca="1">OFFSET(COM!T$247,$E120,0)</f>
        <v>0.76694029528051699</v>
      </c>
      <c r="R120" s="24">
        <f ca="1">OFFSET(COM!U$247,$E120,0)</f>
        <v>0.96155512691483591</v>
      </c>
      <c r="S120" s="24">
        <f ca="1">OFFSET(COM!V$247,$E120,0)</f>
        <v>1.1625866030489971</v>
      </c>
      <c r="T120" s="194">
        <f ca="1">OFFSET(COM!W$247,$E120,0)</f>
        <v>1.3629670682350945</v>
      </c>
      <c r="U120" s="24">
        <f ca="1">OFFSET(COM!X$247,$E120,0)</f>
        <v>1.5736677161801793</v>
      </c>
      <c r="V120" s="24">
        <f ca="1">OFFSET(COM!Y$247,$E120,0)</f>
        <v>1.78619510701135</v>
      </c>
      <c r="W120" s="24">
        <f ca="1">OFFSET(COM!Z$247,$E120,0)</f>
        <v>2.005084102831479</v>
      </c>
      <c r="X120" s="24">
        <f ca="1">OFFSET(COM!AA$247,$E120,0)</f>
        <v>2.22560185982225</v>
      </c>
      <c r="Y120" s="206">
        <f ca="1">OFFSET(COM!AB$247,$E120,0)</f>
        <v>2.4301142964606126</v>
      </c>
      <c r="Z120" s="24">
        <f ca="1">OFFSET(COM!AC$247,$E120,0)</f>
        <v>2.6515598178007713</v>
      </c>
      <c r="AA120" s="24">
        <f ca="1">OFFSET(COM!AD$247,$E120,0)</f>
        <v>2.8746656276545259</v>
      </c>
      <c r="AB120" s="24">
        <f ca="1">OFFSET(COM!AE$247,$E120,0)</f>
        <v>3.0996206266490525</v>
      </c>
      <c r="AC120" s="24">
        <f ca="1">OFFSET(COM!AF$247,$E120,0)</f>
        <v>3.3189272201155928</v>
      </c>
      <c r="AD120" s="24">
        <f ca="1">OFFSET(COM!AG$247,$E120,0)</f>
        <v>3.5435452641526801</v>
      </c>
      <c r="AE120" s="24">
        <f ca="1">OFFSET(COM!AH$247,$E120,0)</f>
        <v>3.7704529166753278</v>
      </c>
      <c r="AF120" s="24">
        <f ca="1">OFFSET(COM!AI$247,$E120,0)</f>
        <v>4.0005364245059258</v>
      </c>
      <c r="AG120" s="24">
        <f ca="1">OFFSET(COM!AJ$247,$E120,0)</f>
        <v>4.2278318855293247</v>
      </c>
      <c r="AH120" s="24">
        <f ca="1">OFFSET(COM!AK$247,$E120,0)</f>
        <v>4.4577466778914392</v>
      </c>
      <c r="AI120" s="24">
        <f ca="1">OFFSET(COM!AL$247,$E120,0)</f>
        <v>4.6936298944882786</v>
      </c>
      <c r="AJ120" s="24">
        <f ca="1">OFFSET(COM!AM$247,$E120,0)</f>
        <v>5.9114407459439384</v>
      </c>
      <c r="AK120" s="24">
        <f ca="1">OFFSET(COM!AN$247,$E120,0)</f>
        <v>7.1749192283392258</v>
      </c>
      <c r="AL120" s="24">
        <f ca="1">OFFSET(COM!AO$247,$E120,0)</f>
        <v>7.1749192283392258</v>
      </c>
      <c r="AM120" s="24">
        <f ca="1">OFFSET(COM!AP$247,$E120,0)</f>
        <v>7.1749192283392258</v>
      </c>
    </row>
    <row r="121" spans="1:39">
      <c r="A121" s="35" t="s">
        <v>250</v>
      </c>
      <c r="B121" t="s">
        <v>386</v>
      </c>
      <c r="E121" s="128">
        <f>MATCH(F121,COM!$D$248:$D$266,0)</f>
        <v>13</v>
      </c>
      <c r="F121" s="4" t="str">
        <f t="shared" si="1"/>
        <v>CNK</v>
      </c>
      <c r="G121" s="24">
        <f ca="1">OFFSET(COM!J$247,$E121,0)</f>
        <v>0</v>
      </c>
      <c r="H121" s="24">
        <f ca="1">OFFSET(COM!K$247,$E121,0)</f>
        <v>0</v>
      </c>
      <c r="I121" s="24">
        <f ca="1">OFFSET(COM!L$247,$E121,0)</f>
        <v>0</v>
      </c>
      <c r="J121" s="24">
        <f ca="1">OFFSET(COM!M$247,$E121,0)</f>
        <v>0</v>
      </c>
      <c r="K121" s="24">
        <f ca="1">OFFSET(COM!N$247,$E121,0)</f>
        <v>0</v>
      </c>
      <c r="L121" s="24">
        <f ca="1">OFFSET(COM!O$247,$E121,0)</f>
        <v>0</v>
      </c>
      <c r="M121" s="24">
        <f ca="1">OFFSET(COM!P$247,$E121,0)</f>
        <v>0.11351736674445566</v>
      </c>
      <c r="N121" s="24">
        <f ca="1">OFFSET(COM!Q$247,$E121,0)</f>
        <v>0.2187004264011754</v>
      </c>
      <c r="O121" s="194">
        <f ca="1">OFFSET(COM!R$247,$E121,0)</f>
        <v>0.28472299219440816</v>
      </c>
      <c r="P121" s="24">
        <f ca="1">OFFSET(COM!S$247,$E121,0)</f>
        <v>0.4168847011413751</v>
      </c>
      <c r="Q121" s="24">
        <f ca="1">OFFSET(COM!T$247,$E121,0)</f>
        <v>0.55177672864800165</v>
      </c>
      <c r="R121" s="24">
        <f ca="1">OFFSET(COM!U$247,$E121,0)</f>
        <v>0.69179275832641252</v>
      </c>
      <c r="S121" s="24">
        <f ca="1">OFFSET(COM!V$247,$E121,0)</f>
        <v>0.83642525571790027</v>
      </c>
      <c r="T121" s="194">
        <f ca="1">OFFSET(COM!W$247,$E121,0)</f>
        <v>0.98058938198135226</v>
      </c>
      <c r="U121" s="24">
        <f ca="1">OFFSET(COM!X$247,$E121,0)</f>
        <v>1.1321783843620785</v>
      </c>
      <c r="V121" s="24">
        <f ca="1">OFFSET(COM!Y$247,$E121,0)</f>
        <v>1.2850816405640841</v>
      </c>
      <c r="W121" s="24">
        <f ca="1">OFFSET(COM!Z$247,$E121,0)</f>
        <v>1.4425617661930303</v>
      </c>
      <c r="X121" s="24">
        <f ca="1">OFFSET(COM!AA$247,$E121,0)</f>
        <v>1.6012137073022896</v>
      </c>
      <c r="Y121" s="206">
        <f ca="1">OFFSET(COM!AB$247,$E121,0)</f>
        <v>1.7483505886873951</v>
      </c>
      <c r="Z121" s="24">
        <f ca="1">OFFSET(COM!AC$247,$E121,0)</f>
        <v>1.9076700117125371</v>
      </c>
      <c r="AA121" s="24">
        <f ca="1">OFFSET(COM!AD$247,$E121,0)</f>
        <v>2.0681839326279077</v>
      </c>
      <c r="AB121" s="24">
        <f ca="1">OFFSET(COM!AE$247,$E121,0)</f>
        <v>2.2300282563673641</v>
      </c>
      <c r="AC121" s="24">
        <f ca="1">OFFSET(COM!AF$247,$E121,0)</f>
        <v>2.3878088234578501</v>
      </c>
      <c r="AD121" s="24">
        <f ca="1">OFFSET(COM!AG$247,$E121,0)</f>
        <v>2.5494107242795625</v>
      </c>
      <c r="AE121" s="24">
        <f ca="1">OFFSET(COM!AH$247,$E121,0)</f>
        <v>2.7126598885034214</v>
      </c>
      <c r="AF121" s="24">
        <f ca="1">OFFSET(COM!AI$247,$E121,0)</f>
        <v>2.8781939281775122</v>
      </c>
      <c r="AG121" s="24">
        <f ca="1">OFFSET(COM!AJ$247,$E121,0)</f>
        <v>3.041722102002514</v>
      </c>
      <c r="AH121" s="24">
        <f ca="1">OFFSET(COM!AK$247,$E121,0)</f>
        <v>3.2071347589955215</v>
      </c>
      <c r="AI121" s="24">
        <f ca="1">OFFSET(COM!AL$247,$E121,0)</f>
        <v>3.3768414107358193</v>
      </c>
      <c r="AJ121" s="24">
        <f ca="1">OFFSET(COM!AM$247,$E121,0)</f>
        <v>4.2529978623699902</v>
      </c>
      <c r="AK121" s="24">
        <f ca="1">OFFSET(COM!AN$247,$E121,0)</f>
        <v>5.1620099823789154</v>
      </c>
      <c r="AL121" s="24">
        <f ca="1">OFFSET(COM!AO$247,$E121,0)</f>
        <v>5.1620099823789154</v>
      </c>
      <c r="AM121" s="24">
        <f ca="1">OFFSET(COM!AP$247,$E121,0)</f>
        <v>5.1620099823789154</v>
      </c>
    </row>
    <row r="122" spans="1:39">
      <c r="A122" s="35" t="s">
        <v>251</v>
      </c>
      <c r="B122" t="s">
        <v>386</v>
      </c>
      <c r="E122" s="128">
        <f>MATCH(F122,COM!$D$248:$D$266,0)</f>
        <v>14</v>
      </c>
      <c r="F122" s="4" t="str">
        <f t="shared" si="1"/>
        <v>CNL</v>
      </c>
      <c r="G122" s="24">
        <f ca="1">OFFSET(COM!J$247,$E122,0)</f>
        <v>0</v>
      </c>
      <c r="H122" s="24">
        <f ca="1">OFFSET(COM!K$247,$E122,0)</f>
        <v>0</v>
      </c>
      <c r="I122" s="24">
        <f ca="1">OFFSET(COM!L$247,$E122,0)</f>
        <v>0</v>
      </c>
      <c r="J122" s="24">
        <f ca="1">OFFSET(COM!M$247,$E122,0)</f>
        <v>0</v>
      </c>
      <c r="K122" s="24">
        <f ca="1">OFFSET(COM!N$247,$E122,0)</f>
        <v>0</v>
      </c>
      <c r="L122" s="24">
        <f ca="1">OFFSET(COM!O$247,$E122,0)</f>
        <v>0</v>
      </c>
      <c r="M122" s="24">
        <f ca="1">OFFSET(COM!P$247,$E122,0)</f>
        <v>1.439792405855393</v>
      </c>
      <c r="N122" s="24">
        <f ca="1">OFFSET(COM!Q$247,$E122,0)</f>
        <v>2.7738770033187716</v>
      </c>
      <c r="O122" s="194">
        <f ca="1">OFFSET(COM!R$247,$E122,0)</f>
        <v>3.6112712414900638</v>
      </c>
      <c r="P122" s="24">
        <f ca="1">OFFSET(COM!S$247,$E122,0)</f>
        <v>5.2875383215314313</v>
      </c>
      <c r="Q122" s="24">
        <f ca="1">OFFSET(COM!T$247,$E122,0)</f>
        <v>6.9984352739923503</v>
      </c>
      <c r="R122" s="24">
        <f ca="1">OFFSET(COM!U$247,$E122,0)</f>
        <v>8.7743222771045453</v>
      </c>
      <c r="S122" s="24">
        <f ca="1">OFFSET(COM!V$247,$E122,0)</f>
        <v>10.608762040431198</v>
      </c>
      <c r="T122" s="194">
        <f ca="1">OFFSET(COM!W$247,$E122,0)</f>
        <v>12.437261239660852</v>
      </c>
      <c r="U122" s="24">
        <f ca="1">OFFSET(COM!X$247,$E122,0)</f>
        <v>14.359933520548875</v>
      </c>
      <c r="V122" s="24">
        <f ca="1">OFFSET(COM!Y$247,$E122,0)</f>
        <v>16.29927508055702</v>
      </c>
      <c r="W122" s="24">
        <f ca="1">OFFSET(COM!Z$247,$E122,0)</f>
        <v>18.296667157701762</v>
      </c>
      <c r="X122" s="24">
        <f ca="1">OFFSET(COM!AA$247,$E122,0)</f>
        <v>20.308921903687448</v>
      </c>
      <c r="Y122" s="206">
        <f ca="1">OFFSET(COM!AB$247,$E122,0)</f>
        <v>22.175125908546182</v>
      </c>
      <c r="Z122" s="24">
        <f ca="1">OFFSET(COM!AC$247,$E122,0)</f>
        <v>24.195846631334319</v>
      </c>
      <c r="AA122" s="24">
        <f ca="1">OFFSET(COM!AD$247,$E122,0)</f>
        <v>26.231717714287456</v>
      </c>
      <c r="AB122" s="24">
        <f ca="1">OFFSET(COM!AE$247,$E122,0)</f>
        <v>28.284462901510118</v>
      </c>
      <c r="AC122" s="24">
        <f ca="1">OFFSET(COM!AF$247,$E122,0)</f>
        <v>30.285665614393999</v>
      </c>
      <c r="AD122" s="24">
        <f ca="1">OFFSET(COM!AG$247,$E122,0)</f>
        <v>32.335336041463364</v>
      </c>
      <c r="AE122" s="24">
        <f ca="1">OFFSET(COM!AH$247,$E122,0)</f>
        <v>34.405899459665903</v>
      </c>
      <c r="AF122" s="24">
        <f ca="1">OFFSET(COM!AI$247,$E122,0)</f>
        <v>36.50544299268185</v>
      </c>
      <c r="AG122" s="24">
        <f ca="1">OFFSET(COM!AJ$247,$E122,0)</f>
        <v>38.579545216587938</v>
      </c>
      <c r="AH122" s="24">
        <f ca="1">OFFSET(COM!AK$247,$E122,0)</f>
        <v>40.677549197838026</v>
      </c>
      <c r="AI122" s="24">
        <f ca="1">OFFSET(COM!AL$247,$E122,0)</f>
        <v>42.830015867972108</v>
      </c>
      <c r="AJ122" s="24">
        <f ca="1">OFFSET(COM!AM$247,$E122,0)</f>
        <v>53.942706741465258</v>
      </c>
      <c r="AK122" s="24">
        <f ca="1">OFFSET(COM!AN$247,$E122,0)</f>
        <v>65.472121004268217</v>
      </c>
      <c r="AL122" s="24">
        <f ca="1">OFFSET(COM!AO$247,$E122,0)</f>
        <v>65.472121004268217</v>
      </c>
      <c r="AM122" s="24">
        <f ca="1">OFFSET(COM!AP$247,$E122,0)</f>
        <v>65.472121004268217</v>
      </c>
    </row>
    <row r="123" spans="1:39">
      <c r="A123" s="35" t="s">
        <v>256</v>
      </c>
      <c r="B123" t="s">
        <v>386</v>
      </c>
      <c r="E123" s="128">
        <f>MATCH(F123,COM!$D$248:$D$266,0)</f>
        <v>19</v>
      </c>
      <c r="F123" s="4" t="str">
        <f t="shared" si="1"/>
        <v>CNO</v>
      </c>
      <c r="G123" s="24">
        <f ca="1">OFFSET(COM!J$247,$E123,0)</f>
        <v>0</v>
      </c>
      <c r="H123" s="24">
        <f ca="1">OFFSET(COM!K$247,$E123,0)</f>
        <v>0</v>
      </c>
      <c r="I123" s="24">
        <f ca="1">OFFSET(COM!L$247,$E123,0)</f>
        <v>0</v>
      </c>
      <c r="J123" s="24">
        <f ca="1">OFFSET(COM!M$247,$E123,0)</f>
        <v>0</v>
      </c>
      <c r="K123" s="24">
        <f ca="1">OFFSET(COM!N$247,$E123,0)</f>
        <v>0</v>
      </c>
      <c r="L123" s="24">
        <f ca="1">OFFSET(COM!O$247,$E123,0)</f>
        <v>0</v>
      </c>
      <c r="M123" s="24">
        <f ca="1">OFFSET(COM!P$247,$E123,0)</f>
        <v>0.23382419467651278</v>
      </c>
      <c r="N123" s="24">
        <f ca="1">OFFSET(COM!Q$247,$E123,0)</f>
        <v>0.45048130118964741</v>
      </c>
      <c r="O123" s="194">
        <f ca="1">OFFSET(COM!R$247,$E123,0)</f>
        <v>0.58647523515600009</v>
      </c>
      <c r="P123" s="24">
        <f ca="1">OFFSET(COM!S$247,$E123,0)</f>
        <v>0.85870323028878481</v>
      </c>
      <c r="Q123" s="24">
        <f ca="1">OFFSET(COM!T$247,$E123,0)</f>
        <v>1.136555162592874</v>
      </c>
      <c r="R123" s="24">
        <f ca="1">OFFSET(COM!U$247,$E123,0)</f>
        <v>1.4249615652454106</v>
      </c>
      <c r="S123" s="24">
        <f ca="1">OFFSET(COM!V$247,$E123,0)</f>
        <v>1.7228770137489693</v>
      </c>
      <c r="T123" s="194">
        <f ca="1">OFFSET(COM!W$247,$E123,0)</f>
        <v>2.0198277067709354</v>
      </c>
      <c r="U123" s="24">
        <f ca="1">OFFSET(COM!X$247,$E123,0)</f>
        <v>2.3320722330492942</v>
      </c>
      <c r="V123" s="24">
        <f ca="1">OFFSET(COM!Y$247,$E123,0)</f>
        <v>2.6470238723463417</v>
      </c>
      <c r="W123" s="24">
        <f ca="1">OFFSET(COM!Z$247,$E123,0)</f>
        <v>2.9714029925530117</v>
      </c>
      <c r="X123" s="24">
        <f ca="1">OFFSET(COM!AA$247,$E123,0)</f>
        <v>3.2981958298749707</v>
      </c>
      <c r="Y123" s="206">
        <f ca="1">OFFSET(COM!AB$247,$E123,0)</f>
        <v>3.6012698332962692</v>
      </c>
      <c r="Z123" s="24">
        <f ca="1">OFFSET(COM!AC$247,$E123,0)</f>
        <v>3.9294375564697805</v>
      </c>
      <c r="AA123" s="24">
        <f ca="1">OFFSET(COM!AD$247,$E123,0)</f>
        <v>4.2600657182108481</v>
      </c>
      <c r="AB123" s="24">
        <f ca="1">OFFSET(COM!AE$247,$E123,0)</f>
        <v>4.5934342568462956</v>
      </c>
      <c r="AC123" s="24">
        <f ca="1">OFFSET(COM!AF$247,$E123,0)</f>
        <v>4.9184322293467302</v>
      </c>
      <c r="AD123" s="24">
        <f ca="1">OFFSET(COM!AG$247,$E123,0)</f>
        <v>5.2513014228587096</v>
      </c>
      <c r="AE123" s="24">
        <f ca="1">OFFSET(COM!AH$247,$E123,0)</f>
        <v>5.5875636658174237</v>
      </c>
      <c r="AF123" s="24">
        <f ca="1">OFFSET(COM!AI$247,$E123,0)</f>
        <v>5.9285323178253302</v>
      </c>
      <c r="AG123" s="24">
        <f ca="1">OFFSET(COM!AJ$247,$E123,0)</f>
        <v>6.2653692675198087</v>
      </c>
      <c r="AH123" s="24">
        <f ca="1">OFFSET(COM!AK$247,$E123,0)</f>
        <v>6.6060878942807761</v>
      </c>
      <c r="AI123" s="24">
        <f ca="1">OFFSET(COM!AL$247,$E123,0)</f>
        <v>6.955651333888671</v>
      </c>
      <c r="AJ123" s="24">
        <f ca="1">OFFSET(COM!AM$247,$E123,0)</f>
        <v>8.7603670579168362</v>
      </c>
      <c r="AK123" s="24">
        <f ca="1">OFFSET(COM!AN$247,$E123,0)</f>
        <v>10.63275921259706</v>
      </c>
      <c r="AL123" s="24">
        <f ca="1">OFFSET(COM!AO$247,$E123,0)</f>
        <v>10.63275921259706</v>
      </c>
      <c r="AM123" s="24">
        <f ca="1">OFFSET(COM!AP$247,$E123,0)</f>
        <v>10.63275921259706</v>
      </c>
    </row>
    <row r="124" spans="1:39">
      <c r="A124" s="35" t="s">
        <v>252</v>
      </c>
      <c r="B124" t="s">
        <v>386</v>
      </c>
      <c r="E124" s="128">
        <f>MATCH(F124,COM!$D$248:$D$266,0)</f>
        <v>15</v>
      </c>
      <c r="F124" s="4" t="str">
        <f t="shared" si="1"/>
        <v>CNR</v>
      </c>
      <c r="G124" s="24">
        <f ca="1">OFFSET(COM!J$247,$E124,0)</f>
        <v>0</v>
      </c>
      <c r="H124" s="24">
        <f ca="1">OFFSET(COM!K$247,$E124,0)</f>
        <v>0</v>
      </c>
      <c r="I124" s="24">
        <f ca="1">OFFSET(COM!L$247,$E124,0)</f>
        <v>0</v>
      </c>
      <c r="J124" s="24">
        <f ca="1">OFFSET(COM!M$247,$E124,0)</f>
        <v>0</v>
      </c>
      <c r="K124" s="24">
        <f ca="1">OFFSET(COM!N$247,$E124,0)</f>
        <v>0</v>
      </c>
      <c r="L124" s="24">
        <f ca="1">OFFSET(COM!O$247,$E124,0)</f>
        <v>0</v>
      </c>
      <c r="M124" s="24">
        <f ca="1">OFFSET(COM!P$247,$E124,0)</f>
        <v>0.35024986912740697</v>
      </c>
      <c r="N124" s="24">
        <f ca="1">OFFSET(COM!Q$247,$E124,0)</f>
        <v>0.67478481858689709</v>
      </c>
      <c r="O124" s="194">
        <f ca="1">OFFSET(COM!R$247,$E124,0)</f>
        <v>0.87849281227734122</v>
      </c>
      <c r="P124" s="24">
        <f ca="1">OFFSET(COM!S$247,$E124,0)</f>
        <v>1.2862684909233619</v>
      </c>
      <c r="Q124" s="24">
        <f ca="1">OFFSET(COM!T$247,$E124,0)</f>
        <v>1.7024683758879597</v>
      </c>
      <c r="R124" s="24">
        <f ca="1">OFFSET(COM!U$247,$E124,0)</f>
        <v>2.1344780099820997</v>
      </c>
      <c r="S124" s="24">
        <f ca="1">OFFSET(COM!V$247,$E124,0)</f>
        <v>2.5807314312491396</v>
      </c>
      <c r="T124" s="194">
        <f ca="1">OFFSET(COM!W$247,$E124,0)</f>
        <v>3.0255397262680797</v>
      </c>
      <c r="U124" s="24">
        <f ca="1">OFFSET(COM!X$247,$E124,0)</f>
        <v>3.4932569555139446</v>
      </c>
      <c r="V124" s="24">
        <f ca="1">OFFSET(COM!Y$247,$E124,0)</f>
        <v>3.9650292226989787</v>
      </c>
      <c r="W124" s="24">
        <f ca="1">OFFSET(COM!Z$247,$E124,0)</f>
        <v>4.4509230993238083</v>
      </c>
      <c r="X124" s="24">
        <f ca="1">OFFSET(COM!AA$247,$E124,0)</f>
        <v>4.940432530382215</v>
      </c>
      <c r="Y124" s="206">
        <f ca="1">OFFSET(COM!AB$247,$E124,0)</f>
        <v>5.3944130527190337</v>
      </c>
      <c r="Z124" s="24">
        <f ca="1">OFFSET(COM!AC$247,$E124,0)</f>
        <v>5.8859819523890522</v>
      </c>
      <c r="AA124" s="24">
        <f ca="1">OFFSET(COM!AD$247,$E124,0)</f>
        <v>6.3812363914767287</v>
      </c>
      <c r="AB124" s="24">
        <f ca="1">OFFSET(COM!AE$247,$E124,0)</f>
        <v>6.8805956951184948</v>
      </c>
      <c r="AC124" s="24">
        <f ca="1">OFFSET(COM!AF$247,$E124,0)</f>
        <v>7.3674165627897388</v>
      </c>
      <c r="AD124" s="24">
        <f ca="1">OFFSET(COM!AG$247,$E124,0)</f>
        <v>7.8660278875305814</v>
      </c>
      <c r="AE124" s="24">
        <f ca="1">OFFSET(COM!AH$247,$E124,0)</f>
        <v>8.3697217279037552</v>
      </c>
      <c r="AF124" s="24">
        <f ca="1">OFFSET(COM!AI$247,$E124,0)</f>
        <v>8.8804653911398752</v>
      </c>
      <c r="AG124" s="24">
        <f ca="1">OFFSET(COM!AJ$247,$E124,0)</f>
        <v>9.3850200960581702</v>
      </c>
      <c r="AH124" s="24">
        <f ca="1">OFFSET(COM!AK$247,$E124,0)</f>
        <v>9.895389241549708</v>
      </c>
      <c r="AI124" s="24">
        <f ca="1">OFFSET(COM!AL$247,$E124,0)</f>
        <v>10.41900720650742</v>
      </c>
      <c r="AJ124" s="24">
        <f ca="1">OFFSET(COM!AM$247,$E124,0)</f>
        <v>13.122326454661049</v>
      </c>
      <c r="AK124" s="24">
        <f ca="1">OFFSET(COM!AN$247,$E124,0)</f>
        <v>15.927019561972781</v>
      </c>
      <c r="AL124" s="24">
        <f ca="1">OFFSET(COM!AO$247,$E124,0)</f>
        <v>15.927019561972781</v>
      </c>
      <c r="AM124" s="24">
        <f ca="1">OFFSET(COM!AP$247,$E124,0)</f>
        <v>15.927019561972781</v>
      </c>
    </row>
    <row r="125" spans="1:39">
      <c r="A125" s="35" t="s">
        <v>255</v>
      </c>
      <c r="B125" t="s">
        <v>386</v>
      </c>
      <c r="E125" s="128">
        <f>MATCH(F125,COM!$D$248:$D$266,0)</f>
        <v>18</v>
      </c>
      <c r="F125" s="4" t="str">
        <f t="shared" si="1"/>
        <v>CNT</v>
      </c>
      <c r="G125" s="24">
        <f ca="1">OFFSET(COM!J$247,$E125,0)</f>
        <v>0</v>
      </c>
      <c r="H125" s="24">
        <f ca="1">OFFSET(COM!K$247,$E125,0)</f>
        <v>0</v>
      </c>
      <c r="I125" s="24">
        <f ca="1">OFFSET(COM!L$247,$E125,0)</f>
        <v>0</v>
      </c>
      <c r="J125" s="24">
        <f ca="1">OFFSET(COM!M$247,$E125,0)</f>
        <v>0</v>
      </c>
      <c r="K125" s="24">
        <f ca="1">OFFSET(COM!N$247,$E125,0)</f>
        <v>0</v>
      </c>
      <c r="L125" s="24">
        <f ca="1">OFFSET(COM!O$247,$E125,0)</f>
        <v>0</v>
      </c>
      <c r="M125" s="24">
        <f ca="1">OFFSET(COM!P$247,$E125,0)</f>
        <v>0</v>
      </c>
      <c r="N125" s="24">
        <f ca="1">OFFSET(COM!Q$247,$E125,0)</f>
        <v>0</v>
      </c>
      <c r="O125" s="194">
        <f ca="1">OFFSET(COM!R$247,$E125,0)</f>
        <v>0</v>
      </c>
      <c r="P125" s="24">
        <f ca="1">OFFSET(COM!S$247,$E125,0)</f>
        <v>0</v>
      </c>
      <c r="Q125" s="24">
        <f ca="1">OFFSET(COM!T$247,$E125,0)</f>
        <v>0</v>
      </c>
      <c r="R125" s="24">
        <f ca="1">OFFSET(COM!U$247,$E125,0)</f>
        <v>0</v>
      </c>
      <c r="S125" s="24">
        <f ca="1">OFFSET(COM!V$247,$E125,0)</f>
        <v>0</v>
      </c>
      <c r="T125" s="194">
        <f ca="1">OFFSET(COM!W$247,$E125,0)</f>
        <v>0</v>
      </c>
      <c r="U125" s="24">
        <f ca="1">OFFSET(COM!X$247,$E125,0)</f>
        <v>0</v>
      </c>
      <c r="V125" s="24">
        <f ca="1">OFFSET(COM!Y$247,$E125,0)</f>
        <v>0</v>
      </c>
      <c r="W125" s="24">
        <f ca="1">OFFSET(COM!Z$247,$E125,0)</f>
        <v>0</v>
      </c>
      <c r="X125" s="24">
        <f ca="1">OFFSET(COM!AA$247,$E125,0)</f>
        <v>0</v>
      </c>
      <c r="Y125" s="206">
        <f ca="1">OFFSET(COM!AB$247,$E125,0)</f>
        <v>0</v>
      </c>
      <c r="Z125" s="24">
        <f ca="1">OFFSET(COM!AC$247,$E125,0)</f>
        <v>0</v>
      </c>
      <c r="AA125" s="24">
        <f ca="1">OFFSET(COM!AD$247,$E125,0)</f>
        <v>0</v>
      </c>
      <c r="AB125" s="24">
        <f ca="1">OFFSET(COM!AE$247,$E125,0)</f>
        <v>0</v>
      </c>
      <c r="AC125" s="24">
        <f ca="1">OFFSET(COM!AF$247,$E125,0)</f>
        <v>0</v>
      </c>
      <c r="AD125" s="24">
        <f ca="1">OFFSET(COM!AG$247,$E125,0)</f>
        <v>0</v>
      </c>
      <c r="AE125" s="24">
        <f ca="1">OFFSET(COM!AH$247,$E125,0)</f>
        <v>0</v>
      </c>
      <c r="AF125" s="24">
        <f ca="1">OFFSET(COM!AI$247,$E125,0)</f>
        <v>0</v>
      </c>
      <c r="AG125" s="24">
        <f ca="1">OFFSET(COM!AJ$247,$E125,0)</f>
        <v>0</v>
      </c>
      <c r="AH125" s="24">
        <f ca="1">OFFSET(COM!AK$247,$E125,0)</f>
        <v>0</v>
      </c>
      <c r="AI125" s="24">
        <f ca="1">OFFSET(COM!AL$247,$E125,0)</f>
        <v>0</v>
      </c>
      <c r="AJ125" s="24">
        <f ca="1">OFFSET(COM!AM$247,$E125,0)</f>
        <v>0</v>
      </c>
      <c r="AK125" s="24">
        <f ca="1">OFFSET(COM!AN$247,$E125,0)</f>
        <v>0</v>
      </c>
      <c r="AL125" s="24">
        <f ca="1">OFFSET(COM!AO$247,$E125,0)</f>
        <v>0</v>
      </c>
      <c r="AM125" s="24">
        <f ca="1">OFFSET(COM!AP$247,$E125,0)</f>
        <v>0</v>
      </c>
    </row>
    <row r="126" spans="1:39">
      <c r="A126" s="35" t="s">
        <v>253</v>
      </c>
      <c r="B126" t="s">
        <v>386</v>
      </c>
      <c r="E126" s="128">
        <f>MATCH(F126,COM!$D$248:$D$266,0)</f>
        <v>16</v>
      </c>
      <c r="F126" s="4" t="str">
        <f t="shared" si="1"/>
        <v>CNW</v>
      </c>
      <c r="G126" s="24">
        <f ca="1">OFFSET(COM!J$247,$E126,0)</f>
        <v>0</v>
      </c>
      <c r="H126" s="24">
        <f ca="1">OFFSET(COM!K$247,$E126,0)</f>
        <v>0</v>
      </c>
      <c r="I126" s="24">
        <f ca="1">OFFSET(COM!L$247,$E126,0)</f>
        <v>0</v>
      </c>
      <c r="J126" s="24">
        <f ca="1">OFFSET(COM!M$247,$E126,0)</f>
        <v>0</v>
      </c>
      <c r="K126" s="24">
        <f ca="1">OFFSET(COM!N$247,$E126,0)</f>
        <v>0</v>
      </c>
      <c r="L126" s="24">
        <f ca="1">OFFSET(COM!O$247,$E126,0)</f>
        <v>0</v>
      </c>
      <c r="M126" s="24">
        <f ca="1">OFFSET(COM!P$247,$E126,0)</f>
        <v>0.13273002272365989</v>
      </c>
      <c r="N126" s="24">
        <f ca="1">OFFSET(COM!Q$247,$E126,0)</f>
        <v>0.25571516851028336</v>
      </c>
      <c r="O126" s="194">
        <f ca="1">OFFSET(COM!R$247,$E126,0)</f>
        <v>0.3329119614709351</v>
      </c>
      <c r="P126" s="24">
        <f ca="1">OFFSET(COM!S$247,$E126,0)</f>
        <v>0.48744185530839423</v>
      </c>
      <c r="Q126" s="24">
        <f ca="1">OFFSET(COM!T$247,$E126,0)</f>
        <v>0.64516417031328799</v>
      </c>
      <c r="R126" s="24">
        <f ca="1">OFFSET(COM!U$247,$E126,0)</f>
        <v>0.808877717710209</v>
      </c>
      <c r="S126" s="24">
        <f ca="1">OFFSET(COM!V$247,$E126,0)</f>
        <v>0.97798906354125981</v>
      </c>
      <c r="T126" s="194">
        <f ca="1">OFFSET(COM!W$247,$E126,0)</f>
        <v>1.1465527670841726</v>
      </c>
      <c r="U126" s="24">
        <f ca="1">OFFSET(COM!X$247,$E126,0)</f>
        <v>1.3237979966704505</v>
      </c>
      <c r="V126" s="24">
        <f ca="1">OFFSET(COM!Y$247,$E126,0)</f>
        <v>1.5025799157040418</v>
      </c>
      <c r="W126" s="24">
        <f ca="1">OFFSET(COM!Z$247,$E126,0)</f>
        <v>1.686713332930933</v>
      </c>
      <c r="X126" s="24">
        <f ca="1">OFFSET(COM!AA$247,$E126,0)</f>
        <v>1.8722168937736461</v>
      </c>
      <c r="Y126" s="206">
        <f ca="1">OFFSET(COM!AB$247,$E126,0)</f>
        <v>2.0442564870959372</v>
      </c>
      <c r="Z126" s="24">
        <f ca="1">OFFSET(COM!AC$247,$E126,0)</f>
        <v>2.2305405002377441</v>
      </c>
      <c r="AA126" s="24">
        <f ca="1">OFFSET(COM!AD$247,$E126,0)</f>
        <v>2.4182211783715277</v>
      </c>
      <c r="AB126" s="24">
        <f ca="1">OFFSET(COM!AE$247,$E126,0)</f>
        <v>2.6074574281516316</v>
      </c>
      <c r="AC126" s="24">
        <f ca="1">OFFSET(COM!AF$247,$E126,0)</f>
        <v>2.7919421361383501</v>
      </c>
      <c r="AD126" s="24">
        <f ca="1">OFFSET(COM!AG$247,$E126,0)</f>
        <v>2.9808949332600303</v>
      </c>
      <c r="AE126" s="24">
        <f ca="1">OFFSET(COM!AH$247,$E126,0)</f>
        <v>3.1717737908169474</v>
      </c>
      <c r="AF126" s="24">
        <f ca="1">OFFSET(COM!AI$247,$E126,0)</f>
        <v>3.3653242358069377</v>
      </c>
      <c r="AG126" s="24">
        <f ca="1">OFFSET(COM!AJ$247,$E126,0)</f>
        <v>3.5565293249508079</v>
      </c>
      <c r="AH126" s="24">
        <f ca="1">OFFSET(COM!AK$247,$E126,0)</f>
        <v>3.7499378434102546</v>
      </c>
      <c r="AI126" s="24">
        <f ca="1">OFFSET(COM!AL$247,$E126,0)</f>
        <v>3.9483671092383945</v>
      </c>
      <c r="AJ126" s="24">
        <f ca="1">OFFSET(COM!AM$247,$E126,0)</f>
        <v>4.9728118181847867</v>
      </c>
      <c r="AK126" s="24">
        <f ca="1">OFFSET(COM!AN$247,$E126,0)</f>
        <v>6.0356729715488795</v>
      </c>
      <c r="AL126" s="24">
        <f ca="1">OFFSET(COM!AO$247,$E126,0)</f>
        <v>6.0356729715488795</v>
      </c>
      <c r="AM126" s="24">
        <f ca="1">OFFSET(COM!AP$247,$E126,0)</f>
        <v>6.0356729715488795</v>
      </c>
    </row>
    <row r="127" spans="1:39">
      <c r="A127" s="35" t="s">
        <v>292</v>
      </c>
      <c r="B127">
        <v>9</v>
      </c>
      <c r="E127" s="129">
        <f>MATCH(F127,IND!$D$26:$D$255,0)</f>
        <v>3</v>
      </c>
      <c r="F127" s="4" t="str">
        <f t="shared" si="1"/>
        <v>IISCRS</v>
      </c>
      <c r="G127" s="10">
        <f ca="1">OFFSET(IND!J$25,$E127,0)</f>
        <v>6.94</v>
      </c>
      <c r="H127" s="10">
        <f ca="1">OFFSET(IND!K$25,$E127,0)</f>
        <v>7.1000000000000005</v>
      </c>
      <c r="I127" s="10">
        <f ca="1">OFFSET(IND!L$25,$E127,0)</f>
        <v>6.5</v>
      </c>
      <c r="J127" s="10">
        <f ca="1">OFFSET(IND!M$25,$E127,0)</f>
        <v>6.4000000000000012</v>
      </c>
      <c r="K127" s="10">
        <f ca="1">OFFSET(IND!N$25,$E127,0)</f>
        <v>6.0910000000000002</v>
      </c>
      <c r="L127" s="10">
        <f ca="1">OFFSET(IND!O$25,$E127,0)</f>
        <v>6.23</v>
      </c>
      <c r="M127" s="10">
        <f ca="1">OFFSET(IND!P$25,$E127,0)</f>
        <v>6.3</v>
      </c>
      <c r="N127" s="10">
        <f ca="1">OFFSET(IND!Q$25,$E127,0)</f>
        <v>6.1267974837582679</v>
      </c>
      <c r="O127" s="204">
        <f ca="1">OFFSET(IND!R$25,$E127,0)</f>
        <v>5.0030232389251985</v>
      </c>
      <c r="P127" s="10">
        <f ca="1">OFFSET(IND!S$25,$E127,0)</f>
        <v>5.1366548374766143</v>
      </c>
      <c r="Q127" s="10">
        <f ca="1">OFFSET(IND!T$25,$E127,0)</f>
        <v>5.2414154520620544</v>
      </c>
      <c r="R127" s="10">
        <f ca="1">OFFSET(IND!U$25,$E127,0)</f>
        <v>5.3596581029417614</v>
      </c>
      <c r="S127" s="10">
        <f ca="1">OFFSET(IND!V$25,$E127,0)</f>
        <v>5.4872513407296708</v>
      </c>
      <c r="T127" s="204">
        <f ca="1">OFFSET(IND!W$25,$E127,0)</f>
        <v>5.622165698749809</v>
      </c>
      <c r="U127" s="10">
        <f ca="1">OFFSET(IND!X$25,$E127,0)</f>
        <v>5.7517366518961692</v>
      </c>
      <c r="V127" s="10">
        <f ca="1">OFFSET(IND!Y$25,$E127,0)</f>
        <v>5.8830719424162989</v>
      </c>
      <c r="W127" s="10">
        <f ca="1">OFFSET(IND!Z$25,$E127,0)</f>
        <v>6.0265960802466187</v>
      </c>
      <c r="X127" s="10">
        <f ca="1">OFFSET(IND!AA$25,$E127,0)</f>
        <v>6.1913851927057619</v>
      </c>
      <c r="Y127" s="207">
        <f ca="1">OFFSET(IND!AB$25,$E127,0)</f>
        <v>6.3202924655905734</v>
      </c>
      <c r="Z127" s="10">
        <f ca="1">OFFSET(IND!AC$25,$E127,0)</f>
        <v>6.4950055113668608</v>
      </c>
      <c r="AA127" s="10">
        <f ca="1">OFFSET(IND!AD$25,$E127,0)</f>
        <v>6.6875096020112732</v>
      </c>
      <c r="AB127" s="10">
        <f ca="1">OFFSET(IND!AE$25,$E127,0)</f>
        <v>6.8644917762462612</v>
      </c>
      <c r="AC127" s="10">
        <f ca="1">OFFSET(IND!AF$25,$E127,0)</f>
        <v>7.0496647807767774</v>
      </c>
      <c r="AD127" s="10">
        <f ca="1">OFFSET(IND!AG$25,$E127,0)</f>
        <v>7.2751433489665915</v>
      </c>
      <c r="AE127" s="10">
        <f ca="1">OFFSET(IND!AH$25,$E127,0)</f>
        <v>7.4449277890551233</v>
      </c>
      <c r="AF127" s="10">
        <f ca="1">OFFSET(IND!AI$25,$E127,0)</f>
        <v>7.6204593269180076</v>
      </c>
      <c r="AG127" s="10">
        <f ca="1">OFFSET(IND!AJ$25,$E127,0)</f>
        <v>7.7926253283419458</v>
      </c>
      <c r="AH127" s="10">
        <f ca="1">OFFSET(IND!AK$25,$E127,0)</f>
        <v>7.9708876211571376</v>
      </c>
      <c r="AI127" s="10">
        <f ca="1">OFFSET(IND!AL$25,$E127,0)</f>
        <v>8.1608249227025418</v>
      </c>
      <c r="AJ127" s="10">
        <f ca="1">OFFSET(IND!AM$25,$E127,0)</f>
        <v>9.2139652192812296</v>
      </c>
      <c r="AK127" s="10">
        <f ca="1">OFFSET(IND!AN$25,$E127,0)</f>
        <v>10.387644739100697</v>
      </c>
      <c r="AL127" s="10">
        <f ca="1">OFFSET(IND!AO$25,$E127,0)</f>
        <v>12.594374684958678</v>
      </c>
      <c r="AM127" s="10">
        <f ca="1">OFFSET(IND!AP$25,$E127,0)</f>
        <v>14.821194501356858</v>
      </c>
    </row>
    <row r="128" spans="1:39">
      <c r="A128" s="35" t="s">
        <v>299</v>
      </c>
      <c r="B128">
        <v>3.4</v>
      </c>
      <c r="E128" s="129">
        <f>MATCH(F128,IND!$D$26:$D$255,0)</f>
        <v>9</v>
      </c>
      <c r="F128" s="4" t="str">
        <f t="shared" si="1"/>
        <v>INMBRI</v>
      </c>
      <c r="G128" s="10">
        <f ca="1">OFFSET(IND!J$25,$E128,0)</f>
        <v>3.2959999999999998</v>
      </c>
      <c r="H128" s="10">
        <f ca="1">OFFSET(IND!K$25,$E128,0)</f>
        <v>4.5590000000000002</v>
      </c>
      <c r="I128" s="10">
        <f ca="1">OFFSET(IND!L$25,$E128,0)</f>
        <v>5.8220999999999998</v>
      </c>
      <c r="J128" s="10">
        <f ca="1">OFFSET(IND!M$25,$E128,0)</f>
        <v>7.0850999999999997</v>
      </c>
      <c r="K128" s="10">
        <f ca="1">OFFSET(IND!N$25,$E128,0)</f>
        <v>8.3482000000000003</v>
      </c>
      <c r="L128" s="10">
        <f ca="1">OFFSET(IND!O$25,$E128,0)</f>
        <v>9.6111784370000013</v>
      </c>
      <c r="M128" s="10">
        <f ca="1">OFFSET(IND!P$25,$E128,0)</f>
        <v>9.7413637140836169</v>
      </c>
      <c r="N128" s="10">
        <f ca="1">OFFSET(IND!Q$25,$E128,0)</f>
        <v>9.7513779661669719</v>
      </c>
      <c r="O128" s="204">
        <f ca="1">OFFSET(IND!R$25,$E128,0)</f>
        <v>8.9502377994985682</v>
      </c>
      <c r="P128" s="10">
        <f ca="1">OFFSET(IND!S$25,$E128,0)</f>
        <v>9.1739780514403524</v>
      </c>
      <c r="Q128" s="10">
        <f ca="1">OFFSET(IND!T$25,$E128,0)</f>
        <v>9.4035920712916869</v>
      </c>
      <c r="R128" s="10">
        <f ca="1">OFFSET(IND!U$25,$E128,0)</f>
        <v>9.6530988539844884</v>
      </c>
      <c r="S128" s="10">
        <f ca="1">OFFSET(IND!V$25,$E128,0)</f>
        <v>9.9208243928677575</v>
      </c>
      <c r="T128" s="204">
        <f ca="1">OFFSET(IND!W$25,$E128,0)</f>
        <v>10.190046392131118</v>
      </c>
      <c r="U128" s="10">
        <f ca="1">OFFSET(IND!X$25,$E128,0)</f>
        <v>10.486284169890338</v>
      </c>
      <c r="V128" s="10">
        <f ca="1">OFFSET(IND!Y$25,$E128,0)</f>
        <v>10.784723187026675</v>
      </c>
      <c r="W128" s="10">
        <f ca="1">OFFSET(IND!Z$25,$E128,0)</f>
        <v>11.102681441103412</v>
      </c>
      <c r="X128" s="10">
        <f ca="1">OFFSET(IND!AA$25,$E128,0)</f>
        <v>11.435812091391252</v>
      </c>
      <c r="Y128" s="207">
        <f ca="1">OFFSET(IND!AB$25,$E128,0)</f>
        <v>11.707428243988495</v>
      </c>
      <c r="Z128" s="10">
        <f ca="1">OFFSET(IND!AC$25,$E128,0)</f>
        <v>12.043741510401011</v>
      </c>
      <c r="AA128" s="10">
        <f ca="1">OFFSET(IND!AD$25,$E128,0)</f>
        <v>12.388073576514978</v>
      </c>
      <c r="AB128" s="10">
        <f ca="1">OFFSET(IND!AE$25,$E128,0)</f>
        <v>12.737171437062559</v>
      </c>
      <c r="AC128" s="10">
        <f ca="1">OFFSET(IND!AF$25,$E128,0)</f>
        <v>13.075440312586547</v>
      </c>
      <c r="AD128" s="10">
        <f ca="1">OFFSET(IND!AG$25,$E128,0)</f>
        <v>13.43678717326007</v>
      </c>
      <c r="AE128" s="10">
        <f ca="1">OFFSET(IND!AH$25,$E128,0)</f>
        <v>13.808397511474144</v>
      </c>
      <c r="AF128" s="10">
        <f ca="1">OFFSET(IND!AI$25,$E128,0)</f>
        <v>14.192147870049357</v>
      </c>
      <c r="AG128" s="10">
        <f ca="1">OFFSET(IND!AJ$25,$E128,0)</f>
        <v>14.569314252207011</v>
      </c>
      <c r="AH128" s="10">
        <f ca="1">OFFSET(IND!AK$25,$E128,0)</f>
        <v>14.959734644198212</v>
      </c>
      <c r="AI128" s="10">
        <f ca="1">OFFSET(IND!AL$25,$E128,0)</f>
        <v>15.373588274865583</v>
      </c>
      <c r="AJ128" s="10">
        <f ca="1">OFFSET(IND!AM$25,$E128,0)</f>
        <v>17.746748856839613</v>
      </c>
      <c r="AK128" s="10">
        <f ca="1">OFFSET(IND!AN$25,$E128,0)</f>
        <v>20.427778485607956</v>
      </c>
      <c r="AL128" s="10">
        <f ca="1">OFFSET(IND!AO$25,$E128,0)</f>
        <v>25.430657188551379</v>
      </c>
      <c r="AM128" s="10">
        <f ca="1">OFFSET(IND!AP$25,$E128,0)</f>
        <v>30.484847399293738</v>
      </c>
    </row>
    <row r="129" spans="1:39">
      <c r="A129" s="35" t="s">
        <v>293</v>
      </c>
      <c r="B129">
        <v>10</v>
      </c>
      <c r="E129" s="129">
        <f>MATCH(F129,IND!$D$26:$D$255,0)</f>
        <v>6</v>
      </c>
      <c r="F129" s="4" t="str">
        <f t="shared" si="1"/>
        <v>INMCEM</v>
      </c>
      <c r="G129" s="10">
        <f ca="1">OFFSET(IND!J$25,$E129,0)</f>
        <v>14.27</v>
      </c>
      <c r="H129" s="10">
        <f ca="1">OFFSET(IND!K$25,$E129,0)</f>
        <v>14.368</v>
      </c>
      <c r="I129" s="10">
        <f ca="1">OFFSET(IND!L$25,$E129,0)</f>
        <v>14.465999999999999</v>
      </c>
      <c r="J129" s="10">
        <f ca="1">OFFSET(IND!M$25,$E129,0)</f>
        <v>14.564</v>
      </c>
      <c r="K129" s="10">
        <f ca="1">OFFSET(IND!N$25,$E129,0)</f>
        <v>14.662000000000001</v>
      </c>
      <c r="L129" s="10">
        <f ca="1">OFFSET(IND!O$25,$E129,0)</f>
        <v>14.759960880300349</v>
      </c>
      <c r="M129" s="10">
        <f ca="1">OFFSET(IND!P$25,$E129,0)</f>
        <v>14.959887414756098</v>
      </c>
      <c r="N129" s="10">
        <f ca="1">OFFSET(IND!Q$25,$E129,0)</f>
        <v>14.975266378945001</v>
      </c>
      <c r="O129" s="204">
        <f ca="1">OFFSET(IND!R$25,$E129,0)</f>
        <v>13.744949243832703</v>
      </c>
      <c r="P129" s="10">
        <f ca="1">OFFSET(IND!S$25,$E129,0)</f>
        <v>14.088548874997191</v>
      </c>
      <c r="Q129" s="10">
        <f ca="1">OFFSET(IND!T$25,$E129,0)</f>
        <v>14.441168896859159</v>
      </c>
      <c r="R129" s="10">
        <f ca="1">OFFSET(IND!U$25,$E129,0)</f>
        <v>14.824338388098454</v>
      </c>
      <c r="S129" s="10">
        <f ca="1">OFFSET(IND!V$25,$E129,0)</f>
        <v>15.235486563785413</v>
      </c>
      <c r="T129" s="204">
        <f ca="1">OFFSET(IND!W$25,$E129,0)</f>
        <v>15.648932865223948</v>
      </c>
      <c r="U129" s="10">
        <f ca="1">OFFSET(IND!X$25,$E129,0)</f>
        <v>16.103867506137554</v>
      </c>
      <c r="V129" s="10">
        <f ca="1">OFFSET(IND!Y$25,$E129,0)</f>
        <v>16.562182607346163</v>
      </c>
      <c r="W129" s="10">
        <f ca="1">OFFSET(IND!Z$25,$E129,0)</f>
        <v>17.050473551323904</v>
      </c>
      <c r="X129" s="10">
        <f ca="1">OFFSET(IND!AA$25,$E129,0)</f>
        <v>17.562064861224954</v>
      </c>
      <c r="Y129" s="207">
        <f ca="1">OFFSET(IND!AB$25,$E129,0)</f>
        <v>17.979187882410312</v>
      </c>
      <c r="Z129" s="10">
        <f ca="1">OFFSET(IND!AC$25,$E129,0)</f>
        <v>18.49566676044935</v>
      </c>
      <c r="AA129" s="10">
        <f ca="1">OFFSET(IND!AD$25,$E129,0)</f>
        <v>19.024460171058582</v>
      </c>
      <c r="AB129" s="10">
        <f ca="1">OFFSET(IND!AE$25,$E129,0)</f>
        <v>19.560572448949781</v>
      </c>
      <c r="AC129" s="10">
        <f ca="1">OFFSET(IND!AF$25,$E129,0)</f>
        <v>20.080054570989716</v>
      </c>
      <c r="AD129" s="10">
        <f ca="1">OFFSET(IND!AG$25,$E129,0)</f>
        <v>20.634977732880913</v>
      </c>
      <c r="AE129" s="10">
        <f ca="1">OFFSET(IND!AH$25,$E129,0)</f>
        <v>21.205662596418517</v>
      </c>
      <c r="AF129" s="10">
        <f ca="1">OFFSET(IND!AI$25,$E129,0)</f>
        <v>21.794990982890486</v>
      </c>
      <c r="AG129" s="10">
        <f ca="1">OFFSET(IND!AJ$25,$E129,0)</f>
        <v>22.374208305979646</v>
      </c>
      <c r="AH129" s="10">
        <f ca="1">OFFSET(IND!AK$25,$E129,0)</f>
        <v>22.973779914230878</v>
      </c>
      <c r="AI129" s="10">
        <f ca="1">OFFSET(IND!AL$25,$E129,0)</f>
        <v>23.609338127915166</v>
      </c>
      <c r="AJ129" s="10">
        <f ca="1">OFFSET(IND!AM$25,$E129,0)</f>
        <v>27.253819143662589</v>
      </c>
      <c r="AK129" s="10">
        <f ca="1">OFFSET(IND!AN$25,$E129,0)</f>
        <v>31.37109702992133</v>
      </c>
      <c r="AL129" s="10">
        <f ca="1">OFFSET(IND!AO$25,$E129,0)</f>
        <v>39.054056453509091</v>
      </c>
      <c r="AM129" s="10">
        <f ca="1">OFFSET(IND!AP$25,$E129,0)</f>
        <v>46.815815355515227</v>
      </c>
    </row>
    <row r="130" spans="1:39">
      <c r="A130" s="35" t="s">
        <v>298</v>
      </c>
      <c r="B130">
        <v>0.63500000000000001</v>
      </c>
      <c r="E130" s="129">
        <f>MATCH(F130,IND!$D$26:$D$255,0)</f>
        <v>8</v>
      </c>
      <c r="F130" s="4" t="str">
        <f t="shared" si="1"/>
        <v>INMGLA</v>
      </c>
      <c r="G130" s="10">
        <f ca="1">OFFSET(IND!J$25,$E130,0)</f>
        <v>1.27</v>
      </c>
      <c r="H130" s="10">
        <f ca="1">OFFSET(IND!K$25,$E130,0)</f>
        <v>1.2484871200000001</v>
      </c>
      <c r="I130" s="10">
        <f ca="1">OFFSET(IND!L$25,$E130,0)</f>
        <v>1.2269742400000001</v>
      </c>
      <c r="J130" s="10">
        <f ca="1">OFFSET(IND!M$25,$E130,0)</f>
        <v>1.2054613600000001</v>
      </c>
      <c r="K130" s="10">
        <f ca="1">OFFSET(IND!N$25,$E130,0)</f>
        <v>1.1839484800000002</v>
      </c>
      <c r="L130" s="10">
        <f ca="1">OFFSET(IND!O$25,$E130,0)</f>
        <v>1.1624356</v>
      </c>
      <c r="M130" s="10">
        <f ca="1">OFFSET(IND!P$25,$E130,0)</f>
        <v>1.1781810157853607</v>
      </c>
      <c r="N130" s="10">
        <f ca="1">OFFSET(IND!Q$25,$E130,0)</f>
        <v>1.1793922016150038</v>
      </c>
      <c r="O130" s="204">
        <f ca="1">OFFSET(IND!R$25,$E130,0)</f>
        <v>1.082497335243553</v>
      </c>
      <c r="P130" s="10">
        <f ca="1">OFFSET(IND!S$25,$E130,0)</f>
        <v>1.1095578706102525</v>
      </c>
      <c r="Q130" s="10">
        <f ca="1">OFFSET(IND!T$25,$E130,0)</f>
        <v>1.1373288159406165</v>
      </c>
      <c r="R130" s="10">
        <f ca="1">OFFSET(IND!U$25,$E130,0)</f>
        <v>1.1675057155315169</v>
      </c>
      <c r="S130" s="10">
        <f ca="1">OFFSET(IND!V$25,$E130,0)</f>
        <v>1.1998861046239744</v>
      </c>
      <c r="T130" s="204">
        <f ca="1">OFFSET(IND!W$25,$E130,0)</f>
        <v>1.2324474849269487</v>
      </c>
      <c r="U130" s="10">
        <f ca="1">OFFSET(IND!X$25,$E130,0)</f>
        <v>1.2682763212334873</v>
      </c>
      <c r="V130" s="10">
        <f ca="1">OFFSET(IND!Y$25,$E130,0)</f>
        <v>1.304371389098711</v>
      </c>
      <c r="W130" s="10">
        <f ca="1">OFFSET(IND!Z$25,$E130,0)</f>
        <v>1.3428272346826176</v>
      </c>
      <c r="X130" s="10">
        <f ca="1">OFFSET(IND!AA$25,$E130,0)</f>
        <v>1.3831181240760526</v>
      </c>
      <c r="Y130" s="207">
        <f ca="1">OFFSET(IND!AB$25,$E130,0)</f>
        <v>1.4159690681495267</v>
      </c>
      <c r="Z130" s="10">
        <f ca="1">OFFSET(IND!AC$25,$E130,0)</f>
        <v>1.4566448828992755</v>
      </c>
      <c r="AA130" s="10">
        <f ca="1">OFFSET(IND!AD$25,$E130,0)</f>
        <v>1.4982905410770011</v>
      </c>
      <c r="AB130" s="10">
        <f ca="1">OFFSET(IND!AE$25,$E130,0)</f>
        <v>1.5405126040263399</v>
      </c>
      <c r="AC130" s="10">
        <f ca="1">OFFSET(IND!AF$25,$E130,0)</f>
        <v>1.5814249422852256</v>
      </c>
      <c r="AD130" s="10">
        <f ca="1">OFFSET(IND!AG$25,$E130,0)</f>
        <v>1.6251284753689641</v>
      </c>
      <c r="AE130" s="10">
        <f ca="1">OFFSET(IND!AH$25,$E130,0)</f>
        <v>1.6700733371566838</v>
      </c>
      <c r="AF130" s="10">
        <f ca="1">OFFSET(IND!AI$25,$E130,0)</f>
        <v>1.7164864883893471</v>
      </c>
      <c r="AG130" s="10">
        <f ca="1">OFFSET(IND!AJ$25,$E130,0)</f>
        <v>1.7621033326314062</v>
      </c>
      <c r="AH130" s="10">
        <f ca="1">OFFSET(IND!AK$25,$E130,0)</f>
        <v>1.8093231991224279</v>
      </c>
      <c r="AI130" s="10">
        <f ca="1">OFFSET(IND!AL$25,$E130,0)</f>
        <v>1.8593772270057314</v>
      </c>
      <c r="AJ130" s="10">
        <f ca="1">OFFSET(IND!AM$25,$E130,0)</f>
        <v>2.1464020037368985</v>
      </c>
      <c r="AK130" s="10">
        <f ca="1">OFFSET(IND!AN$25,$E130,0)</f>
        <v>2.4706623746751255</v>
      </c>
      <c r="AL130" s="10">
        <f ca="1">OFFSET(IND!AO$25,$E130,0)</f>
        <v>3.0757415899766882</v>
      </c>
      <c r="AM130" s="10">
        <f ca="1">OFFSET(IND!AP$25,$E130,0)</f>
        <v>3.6870267376460806</v>
      </c>
    </row>
    <row r="131" spans="1:39">
      <c r="A131" s="35" t="s">
        <v>297</v>
      </c>
      <c r="B131">
        <v>1.53</v>
      </c>
      <c r="E131" s="129">
        <f>MATCH(F131,IND!$D$26:$D$255,0)</f>
        <v>7</v>
      </c>
      <c r="F131" s="4" t="str">
        <f t="shared" si="1"/>
        <v>INMLIM</v>
      </c>
      <c r="G131" s="10">
        <f ca="1">OFFSET(IND!J$25,$E131,0)</f>
        <v>1.2</v>
      </c>
      <c r="H131" s="10">
        <f ca="1">OFFSET(IND!K$25,$E131,0)</f>
        <v>1.1733333333333333</v>
      </c>
      <c r="I131" s="10">
        <f ca="1">OFFSET(IND!L$25,$E131,0)</f>
        <v>1.1466666666666667</v>
      </c>
      <c r="J131" s="10">
        <f ca="1">OFFSET(IND!M$25,$E131,0)</f>
        <v>1.1200000000000001</v>
      </c>
      <c r="K131" s="10">
        <f ca="1">OFFSET(IND!N$25,$E131,0)</f>
        <v>1.1200000000000001</v>
      </c>
      <c r="L131" s="10">
        <f ca="1">OFFSET(IND!O$25,$E131,0)</f>
        <v>1.3591716472036741</v>
      </c>
      <c r="M131" s="10">
        <f ca="1">OFFSET(IND!P$25,$E131,0)</f>
        <v>1.3775818909271935</v>
      </c>
      <c r="N131" s="10">
        <f ca="1">OFFSET(IND!Q$25,$E131,0)</f>
        <v>1.3789980635213104</v>
      </c>
      <c r="O131" s="204">
        <f ca="1">OFFSET(IND!R$25,$E131,0)</f>
        <v>1.26570425599196</v>
      </c>
      <c r="P131" s="10">
        <f ca="1">OFFSET(IND!S$25,$E131,0)</f>
        <v>1.2973446431485218</v>
      </c>
      <c r="Q131" s="10">
        <f ca="1">OFFSET(IND!T$25,$E131,0)</f>
        <v>1.3298156733794213</v>
      </c>
      <c r="R131" s="10">
        <f ca="1">OFFSET(IND!U$25,$E131,0)</f>
        <v>1.3650998528423217</v>
      </c>
      <c r="S131" s="10">
        <f ca="1">OFFSET(IND!V$25,$E131,0)</f>
        <v>1.4029604506938425</v>
      </c>
      <c r="T131" s="204">
        <f ca="1">OFFSET(IND!W$25,$E131,0)</f>
        <v>1.4410326715563306</v>
      </c>
      <c r="U131" s="10">
        <f ca="1">OFFSET(IND!X$25,$E131,0)</f>
        <v>1.4829253479851572</v>
      </c>
      <c r="V131" s="10">
        <f ca="1">OFFSET(IND!Y$25,$E131,0)</f>
        <v>1.5251293142490123</v>
      </c>
      <c r="W131" s="10">
        <f ca="1">OFFSET(IND!Z$25,$E131,0)</f>
        <v>1.5700936073134095</v>
      </c>
      <c r="X131" s="10">
        <f ca="1">OFFSET(IND!AA$25,$E131,0)</f>
        <v>1.617203515599233</v>
      </c>
      <c r="Y131" s="207">
        <f ca="1">OFFSET(IND!AB$25,$E131,0)</f>
        <v>1.6556143073614085</v>
      </c>
      <c r="Z131" s="10">
        <f ca="1">OFFSET(IND!AC$25,$E131,0)</f>
        <v>1.7031742875743059</v>
      </c>
      <c r="AA131" s="10">
        <f ca="1">OFFSET(IND!AD$25,$E131,0)</f>
        <v>1.7518682520608553</v>
      </c>
      <c r="AB131" s="10">
        <f ca="1">OFFSET(IND!AE$25,$E131,0)</f>
        <v>1.8012361747631453</v>
      </c>
      <c r="AC131" s="10">
        <f ca="1">OFFSET(IND!AF$25,$E131,0)</f>
        <v>1.8490727088320293</v>
      </c>
      <c r="AD131" s="10">
        <f ca="1">OFFSET(IND!AG$25,$E131,0)</f>
        <v>1.9001728326152694</v>
      </c>
      <c r="AE131" s="10">
        <f ca="1">OFFSET(IND!AH$25,$E131,0)</f>
        <v>1.9527243733882436</v>
      </c>
      <c r="AF131" s="10">
        <f ca="1">OFFSET(IND!AI$25,$E131,0)</f>
        <v>2.0069927037910738</v>
      </c>
      <c r="AG131" s="10">
        <f ca="1">OFFSET(IND!AJ$25,$E131,0)</f>
        <v>2.0603299564773407</v>
      </c>
      <c r="AH131" s="10">
        <f ca="1">OFFSET(IND!AK$25,$E131,0)</f>
        <v>2.1155415344084876</v>
      </c>
      <c r="AI131" s="10">
        <f ca="1">OFFSET(IND!AL$25,$E131,0)</f>
        <v>2.1740669404845989</v>
      </c>
      <c r="AJ131" s="10">
        <f ca="1">OFFSET(IND!AM$25,$E131,0)</f>
        <v>2.509669135202282</v>
      </c>
      <c r="AK131" s="10">
        <f ca="1">OFFSET(IND!AN$25,$E131,0)</f>
        <v>2.8888088505473593</v>
      </c>
      <c r="AL131" s="10">
        <f ca="1">OFFSET(IND!AO$25,$E131,0)</f>
        <v>3.5962945071722348</v>
      </c>
      <c r="AM131" s="10">
        <f ca="1">OFFSET(IND!AP$25,$E131,0)</f>
        <v>4.3110364172349929</v>
      </c>
    </row>
    <row r="132" spans="1:39">
      <c r="A132" s="35" t="s">
        <v>385</v>
      </c>
      <c r="B132">
        <v>7.8658203618</v>
      </c>
      <c r="E132" s="129">
        <f ca="1">MATCH(F132,IND!$D$26:$D$255,0)</f>
        <v>228</v>
      </c>
      <c r="F132" s="4" t="str">
        <f>A132</f>
        <v>IOTR</v>
      </c>
      <c r="G132" s="10">
        <f ca="1">OFFSET(IND!J$25,$E132,0)</f>
        <v>9.4685659246785185</v>
      </c>
      <c r="H132" s="10">
        <f ca="1">OFFSET(IND!K$25,$E132,0)</f>
        <v>9.7322396423777064</v>
      </c>
      <c r="I132" s="10">
        <f ca="1">OFFSET(IND!L$25,$E132,0)</f>
        <v>9.9187176782923192</v>
      </c>
      <c r="J132" s="10">
        <f ca="1">OFFSET(IND!M$25,$E132,0)</f>
        <v>37.630000000000003</v>
      </c>
      <c r="K132" s="10">
        <f ca="1">OFFSET(IND!N$25,$E132,0)</f>
        <v>37.630000000000003</v>
      </c>
      <c r="L132" s="10">
        <f ca="1">OFFSET(IND!O$25,$E132,0)</f>
        <v>37.630000000000003</v>
      </c>
      <c r="M132" s="10">
        <f ca="1">OFFSET(IND!P$25,$E132,0)</f>
        <v>38.063561437266841</v>
      </c>
      <c r="N132" s="10">
        <f ca="1">OFFSET(IND!Q$25,$E132,0)</f>
        <v>38.022776516787751</v>
      </c>
      <c r="O132" s="204">
        <f ca="1">OFFSET(IND!R$25,$E132,0)</f>
        <v>34.459859061456903</v>
      </c>
      <c r="P132" s="10">
        <f ca="1">OFFSET(IND!S$25,$E132,0)</f>
        <v>35.363355527011024</v>
      </c>
      <c r="Q132" s="10">
        <f ca="1">OFFSET(IND!T$25,$E132,0)</f>
        <v>36.282022414027196</v>
      </c>
      <c r="R132" s="10">
        <f ca="1">OFFSET(IND!U$25,$E132,0)</f>
        <v>37.26375868773404</v>
      </c>
      <c r="S132" s="10">
        <f ca="1">OFFSET(IND!V$25,$E132,0)</f>
        <v>38.309134867721681</v>
      </c>
      <c r="T132" s="204">
        <f ca="1">OFFSET(IND!W$25,$E132,0)</f>
        <v>39.349508146445082</v>
      </c>
      <c r="U132" s="10">
        <f ca="1">OFFSET(IND!X$25,$E132,0)</f>
        <v>40.49777953013713</v>
      </c>
      <c r="V132" s="10">
        <f ca="1">OFFSET(IND!Y$25,$E132,0)</f>
        <v>41.665934379195861</v>
      </c>
      <c r="W132" s="10">
        <f ca="1">OFFSET(IND!Z$25,$E132,0)</f>
        <v>42.901310313722938</v>
      </c>
      <c r="X132" s="10">
        <f ca="1">OFFSET(IND!AA$25,$E132,0)</f>
        <v>44.141493498683765</v>
      </c>
      <c r="Y132" s="207">
        <f ca="1">OFFSET(IND!AB$25,$E132,0)</f>
        <v>45.183290512172441</v>
      </c>
      <c r="Z132" s="10">
        <f ca="1">OFFSET(IND!AC$25,$E132,0)</f>
        <v>46.48761905127197</v>
      </c>
      <c r="AA132" s="10">
        <f ca="1">OFFSET(IND!AD$25,$E132,0)</f>
        <v>47.82769446485522</v>
      </c>
      <c r="AB132" s="10">
        <f ca="1">OFFSET(IND!AE$25,$E132,0)</f>
        <v>49.182646433528831</v>
      </c>
      <c r="AC132" s="10">
        <f ca="1">OFFSET(IND!AF$25,$E132,0)</f>
        <v>50.500393755577363</v>
      </c>
      <c r="AD132" s="10">
        <f ca="1">OFFSET(IND!AG$25,$E132,0)</f>
        <v>51.91549346824538</v>
      </c>
      <c r="AE132" s="10">
        <f ca="1">OFFSET(IND!AH$25,$E132,0)</f>
        <v>53.355865941755958</v>
      </c>
      <c r="AF132" s="10">
        <f ca="1">OFFSET(IND!AI$25,$E132,0)</f>
        <v>54.846988516709274</v>
      </c>
      <c r="AG132" s="10">
        <f ca="1">OFFSET(IND!AJ$25,$E132,0)</f>
        <v>56.315745521978961</v>
      </c>
      <c r="AH132" s="10">
        <f ca="1">OFFSET(IND!AK$25,$E132,0)</f>
        <v>57.835014921921157</v>
      </c>
      <c r="AI132" s="10">
        <f ca="1">OFFSET(IND!AL$25,$E132,0)</f>
        <v>59.444595418106729</v>
      </c>
      <c r="AJ132" s="10">
        <f ca="1">OFFSET(IND!AM$25,$E132,0)</f>
        <v>68.576326061652424</v>
      </c>
      <c r="AK132" s="10">
        <f ca="1">OFFSET(IND!AN$25,$E132,0)</f>
        <v>78.896132729060412</v>
      </c>
      <c r="AL132" s="10">
        <f ca="1">OFFSET(IND!AO$25,$E132,0)</f>
        <v>98.149657369370374</v>
      </c>
      <c r="AM132" s="10">
        <f ca="1">OFFSET(IND!AP$25,$E132,0)</f>
        <v>117.60119468032414</v>
      </c>
    </row>
    <row r="133" spans="1:39">
      <c r="A133" s="35" t="s">
        <v>300</v>
      </c>
      <c r="E133" s="129">
        <f>MATCH(F133,IND!$D$26:$D$255,0)</f>
        <v>11</v>
      </c>
      <c r="F133" s="4" t="str">
        <f>A133</f>
        <v>IPPPAP</v>
      </c>
      <c r="G133" s="10">
        <f ca="1">OFFSET(IND!J$25,$E133,0)</f>
        <v>2.0533000000000001</v>
      </c>
      <c r="H133" s="10">
        <f ca="1">OFFSET(IND!K$25,$E133,0)</f>
        <v>2.0786519999999999</v>
      </c>
      <c r="I133" s="10">
        <f ca="1">OFFSET(IND!L$25,$E133,0)</f>
        <v>2.1040039999999998</v>
      </c>
      <c r="J133" s="10">
        <f ca="1">OFFSET(IND!M$25,$E133,0)</f>
        <v>2.1293559999999996</v>
      </c>
      <c r="K133" s="10">
        <f ca="1">OFFSET(IND!N$25,$E133,0)</f>
        <v>2.1547079999999994</v>
      </c>
      <c r="L133" s="10">
        <f ca="1">OFFSET(IND!O$25,$E133,0)</f>
        <v>2.1800600000000001</v>
      </c>
      <c r="M133" s="10">
        <f ca="1">OFFSET(IND!P$25,$E133,0)</f>
        <v>2.2166294765726118</v>
      </c>
      <c r="N133" s="10">
        <f ca="1">OFFSET(IND!Q$25,$E133,0)</f>
        <v>2.2151621827595132</v>
      </c>
      <c r="O133" s="204">
        <f ca="1">OFFSET(IND!R$25,$E133,0)</f>
        <v>2.0587260885322287</v>
      </c>
      <c r="P133" s="10">
        <f ca="1">OFFSET(IND!S$25,$E133,0)</f>
        <v>2.1099103563180899</v>
      </c>
      <c r="Q133" s="10">
        <f ca="1">OFFSET(IND!T$25,$E133,0)</f>
        <v>2.161418317910238</v>
      </c>
      <c r="R133" s="10">
        <f ca="1">OFFSET(IND!U$25,$E133,0)</f>
        <v>2.218735773490736</v>
      </c>
      <c r="S133" s="10">
        <f ca="1">OFFSET(IND!V$25,$E133,0)</f>
        <v>2.2792088273262467</v>
      </c>
      <c r="T133" s="204">
        <f ca="1">OFFSET(IND!W$25,$E133,0)</f>
        <v>2.339971579022472</v>
      </c>
      <c r="U133" s="10">
        <f ca="1">OFFSET(IND!X$25,$E133,0)</f>
        <v>2.4105877090621655</v>
      </c>
      <c r="V133" s="10">
        <f ca="1">OFFSET(IND!Y$25,$E133,0)</f>
        <v>2.4788625776559261</v>
      </c>
      <c r="W133" s="10">
        <f ca="1">OFFSET(IND!Z$25,$E133,0)</f>
        <v>2.5496810975362787</v>
      </c>
      <c r="X133" s="10">
        <f ca="1">OFFSET(IND!AA$25,$E133,0)</f>
        <v>2.6233860989725217</v>
      </c>
      <c r="Y133" s="207">
        <f ca="1">OFFSET(IND!AB$25,$E133,0)</f>
        <v>2.6877942082843549</v>
      </c>
      <c r="Z133" s="10">
        <f ca="1">OFFSET(IND!AC$25,$E133,0)</f>
        <v>2.7644736607835609</v>
      </c>
      <c r="AA133" s="10">
        <f ca="1">OFFSET(IND!AD$25,$E133,0)</f>
        <v>2.8424314146808336</v>
      </c>
      <c r="AB133" s="10">
        <f ca="1">OFFSET(IND!AE$25,$E133,0)</f>
        <v>2.9194929426544229</v>
      </c>
      <c r="AC133" s="10">
        <f ca="1">OFFSET(IND!AF$25,$E133,0)</f>
        <v>2.9948323927802707</v>
      </c>
      <c r="AD133" s="10">
        <f ca="1">OFFSET(IND!AG$25,$E133,0)</f>
        <v>3.0651747593163967</v>
      </c>
      <c r="AE133" s="10">
        <f ca="1">OFFSET(IND!AH$25,$E133,0)</f>
        <v>3.1445417897707628</v>
      </c>
      <c r="AF133" s="10">
        <f ca="1">OFFSET(IND!AI$25,$E133,0)</f>
        <v>3.2269500105373519</v>
      </c>
      <c r="AG133" s="10">
        <f ca="1">OFFSET(IND!AJ$25,$E133,0)</f>
        <v>3.3081464701653283</v>
      </c>
      <c r="AH133" s="10">
        <f ca="1">OFFSET(IND!AK$25,$E133,0)</f>
        <v>3.3925348631927594</v>
      </c>
      <c r="AI133" s="10">
        <f ca="1">OFFSET(IND!AL$25,$E133,0)</f>
        <v>3.48216691847687</v>
      </c>
      <c r="AJ133" s="10">
        <f ca="1">OFFSET(IND!AM$25,$E133,0)</f>
        <v>3.9791912316488602</v>
      </c>
      <c r="AK133" s="10">
        <f ca="1">OFFSET(IND!AN$25,$E133,0)</f>
        <v>4.5347231382095048</v>
      </c>
      <c r="AL133" s="10">
        <f ca="1">OFFSET(IND!AO$25,$E133,0)</f>
        <v>5.5775280923773636</v>
      </c>
      <c r="AM133" s="10">
        <f ca="1">OFFSET(IND!AP$25,$E133,0)</f>
        <v>6.6300843121099895</v>
      </c>
    </row>
    <row r="134" spans="1:39">
      <c r="A134" s="35" t="s">
        <v>301</v>
      </c>
      <c r="E134" s="129">
        <f>MATCH(F134,IND!$D$26:$D$255,0)</f>
        <v>12</v>
      </c>
      <c r="F134" s="4" t="str">
        <f>A134</f>
        <v>IPPPULPD</v>
      </c>
      <c r="G134" s="10">
        <f ca="1">OFFSET(IND!J$25,$E134,0)</f>
        <v>0.73711514499999997</v>
      </c>
      <c r="H134" s="10">
        <f ca="1">OFFSET(IND!K$25,$E134,0)</f>
        <v>0.73711514499999997</v>
      </c>
      <c r="I134" s="10">
        <f ca="1">OFFSET(IND!L$25,$E134,0)</f>
        <v>0.73711514499999997</v>
      </c>
      <c r="J134" s="10">
        <f ca="1">OFFSET(IND!M$25,$E134,0)</f>
        <v>0.73711514499999997</v>
      </c>
      <c r="K134" s="10">
        <f ca="1">OFFSET(IND!N$25,$E134,0)</f>
        <v>0.7</v>
      </c>
      <c r="L134" s="10">
        <f ca="1">OFFSET(IND!O$25,$E134,0)</f>
        <v>0.65910719806663931</v>
      </c>
      <c r="M134" s="10">
        <f ca="1">OFFSET(IND!P$25,$E134,0)</f>
        <v>0.67016340993169699</v>
      </c>
      <c r="N134" s="10">
        <f ca="1">OFFSET(IND!Q$25,$E134,0)</f>
        <v>0.66971979649266689</v>
      </c>
      <c r="O134" s="204">
        <f ca="1">OFFSET(IND!R$25,$E134,0)</f>
        <v>0.62242377906991964</v>
      </c>
      <c r="P134" s="10">
        <f ca="1">OFFSET(IND!S$25,$E134,0)</f>
        <v>0.637898545510032</v>
      </c>
      <c r="Q134" s="10">
        <f ca="1">OFFSET(IND!T$25,$E134,0)</f>
        <v>0.6534711757326519</v>
      </c>
      <c r="R134" s="10">
        <f ca="1">OFFSET(IND!U$25,$E134,0)</f>
        <v>0.67080021601042905</v>
      </c>
      <c r="S134" s="10">
        <f ca="1">OFFSET(IND!V$25,$E134,0)</f>
        <v>0.6890833022888142</v>
      </c>
      <c r="T134" s="204">
        <f ca="1">OFFSET(IND!W$25,$E134,0)</f>
        <v>0.70745397420487055</v>
      </c>
      <c r="U134" s="10">
        <f ca="1">OFFSET(IND!X$25,$E134,0)</f>
        <v>0.72880366164868948</v>
      </c>
      <c r="V134" s="10">
        <f ca="1">OFFSET(IND!Y$25,$E134,0)</f>
        <v>0.74944550514712593</v>
      </c>
      <c r="W134" s="10">
        <f ca="1">OFFSET(IND!Z$25,$E134,0)</f>
        <v>0.77085638200811413</v>
      </c>
      <c r="X134" s="10">
        <f ca="1">OFFSET(IND!AA$25,$E134,0)</f>
        <v>0.79313994162580337</v>
      </c>
      <c r="Y134" s="207">
        <f ca="1">OFFSET(IND!AB$25,$E134,0)</f>
        <v>0.81261273065972539</v>
      </c>
      <c r="Z134" s="10">
        <f ca="1">OFFSET(IND!AC$25,$E134,0)</f>
        <v>0.83579556924491838</v>
      </c>
      <c r="AA134" s="10">
        <f ca="1">OFFSET(IND!AD$25,$E134,0)</f>
        <v>0.85936488235501618</v>
      </c>
      <c r="AB134" s="10">
        <f ca="1">OFFSET(IND!AE$25,$E134,0)</f>
        <v>0.88266323551107917</v>
      </c>
      <c r="AC134" s="10">
        <f ca="1">OFFSET(IND!AF$25,$E134,0)</f>
        <v>0.9054409452421549</v>
      </c>
      <c r="AD134" s="10">
        <f ca="1">OFFSET(IND!AG$25,$E134,0)</f>
        <v>0.92670786455309262</v>
      </c>
      <c r="AE134" s="10">
        <f ca="1">OFFSET(IND!AH$25,$E134,0)</f>
        <v>0.95070325048818016</v>
      </c>
      <c r="AF134" s="10">
        <f ca="1">OFFSET(IND!AI$25,$E134,0)</f>
        <v>0.9756180929636733</v>
      </c>
      <c r="AG134" s="10">
        <f ca="1">OFFSET(IND!AJ$25,$E134,0)</f>
        <v>1.0001665783256939</v>
      </c>
      <c r="AH134" s="10">
        <f ca="1">OFFSET(IND!AK$25,$E134,0)</f>
        <v>1.0256800950535163</v>
      </c>
      <c r="AI134" s="10">
        <f ca="1">OFFSET(IND!AL$25,$E134,0)</f>
        <v>1.0527789514222696</v>
      </c>
      <c r="AJ134" s="10">
        <f ca="1">OFFSET(IND!AM$25,$E134,0)</f>
        <v>1.2030465139782478</v>
      </c>
      <c r="AK134" s="10">
        <f ca="1">OFFSET(IND!AN$25,$E134,0)</f>
        <v>1.3710029364481819</v>
      </c>
      <c r="AL134" s="10">
        <f ca="1">OFFSET(IND!AO$25,$E134,0)</f>
        <v>1.6862787781551019</v>
      </c>
      <c r="AM134" s="10">
        <f ca="1">OFFSET(IND!AP$25,$E134,0)</f>
        <v>2.0045027631810117</v>
      </c>
    </row>
    <row r="135" spans="1:39" s="4" customFormat="1">
      <c r="A135" s="35" t="s">
        <v>612</v>
      </c>
      <c r="E135" s="129">
        <f>MATCH(F135,IND!$D$26:$D$255,0)</f>
        <v>2</v>
      </c>
      <c r="F135" s="4" t="str">
        <f>A135</f>
        <v>IFAM</v>
      </c>
      <c r="G135" s="10">
        <f ca="1">OFFSET(IND!J$25,$E135,0)</f>
        <v>4.0820999999999996</v>
      </c>
      <c r="H135" s="10">
        <f ca="1">OFFSET(IND!K$25,$E135,0)</f>
        <v>4.1753999999999998</v>
      </c>
      <c r="I135" s="10">
        <f ca="1">OFFSET(IND!L$25,$E135,0)</f>
        <v>4.8628999999999998</v>
      </c>
      <c r="J135" s="10">
        <f ca="1">OFFSET(IND!M$25,$E135,0)</f>
        <v>4.4805999999999999</v>
      </c>
      <c r="K135" s="10">
        <f ca="1">OFFSET(IND!N$25,$E135,0)</f>
        <v>4.3260612235437241</v>
      </c>
      <c r="L135" s="10">
        <f ca="1">OFFSET(IND!O$25,$E135,0)</f>
        <v>4.372754104082464</v>
      </c>
      <c r="M135" s="10">
        <f ca="1">OFFSET(IND!P$25,$E135,0)</f>
        <v>4.3476514859650628</v>
      </c>
      <c r="N135" s="10">
        <f ca="1">OFFSET(IND!Q$25,$E135,0)</f>
        <v>4.2917804550454539</v>
      </c>
      <c r="O135" s="204">
        <f ca="1">OFFSET(IND!R$25,$E135,0)</f>
        <v>3.9421733809354649</v>
      </c>
      <c r="P135" s="10">
        <f ca="1">OFFSET(IND!S$25,$E135,0)</f>
        <v>4.2793468793300864</v>
      </c>
      <c r="Q135" s="10">
        <f ca="1">OFFSET(IND!T$25,$E135,0)</f>
        <v>4.2678561173141496</v>
      </c>
      <c r="R135" s="10">
        <f ca="1">OFFSET(IND!U$25,$E135,0)</f>
        <v>4.2606545513884173</v>
      </c>
      <c r="S135" s="10">
        <f ca="1">OFFSET(IND!V$25,$E135,0)</f>
        <v>4.2591956759846887</v>
      </c>
      <c r="T135" s="204">
        <f ca="1">OFFSET(IND!W$25,$E135,0)</f>
        <v>4.2546794213952159</v>
      </c>
      <c r="U135" s="10">
        <f ca="1">OFFSET(IND!X$25,$E135,0)</f>
        <v>4.332339047365025</v>
      </c>
      <c r="V135" s="10">
        <f ca="1">OFFSET(IND!Y$25,$E135,0)</f>
        <v>4.4101937448245945</v>
      </c>
      <c r="W135" s="10">
        <f ca="1">OFFSET(IND!Z$25,$E135,0)</f>
        <v>4.4968306029899168</v>
      </c>
      <c r="X135" s="10">
        <f ca="1">OFFSET(IND!AA$25,$E135,0)</f>
        <v>4.5982792007664717</v>
      </c>
      <c r="Y135" s="207">
        <f ca="1">OFFSET(IND!AB$25,$E135,0)</f>
        <v>4.6870860902271732</v>
      </c>
      <c r="Z135" s="10">
        <f ca="1">OFFSET(IND!AC$25,$E135,0)</f>
        <v>4.8024765381008452</v>
      </c>
      <c r="AA135" s="10">
        <f ca="1">OFFSET(IND!AD$25,$E135,0)</f>
        <v>4.9307318078017319</v>
      </c>
      <c r="AB135" s="10">
        <f ca="1">OFFSET(IND!AE$25,$E135,0)</f>
        <v>5.0601678703774242</v>
      </c>
      <c r="AC135" s="10">
        <f ca="1">OFFSET(IND!AF$25,$E135,0)</f>
        <v>5.1915426733624885</v>
      </c>
      <c r="AD135" s="10">
        <f ca="1">OFFSET(IND!AG$25,$E135,0)</f>
        <v>5.3529931219427924</v>
      </c>
      <c r="AE135" s="10">
        <f ca="1">OFFSET(IND!AH$25,$E135,0)</f>
        <v>5.4988693959796313</v>
      </c>
      <c r="AF135" s="10">
        <f ca="1">OFFSET(IND!AI$25,$E135,0)</f>
        <v>5.6468485077445525</v>
      </c>
      <c r="AG135" s="10">
        <f ca="1">OFFSET(IND!AJ$25,$E135,0)</f>
        <v>5.7900824539602</v>
      </c>
      <c r="AH135" s="10">
        <f ca="1">OFFSET(IND!AK$25,$E135,0)</f>
        <v>5.9365834547018244</v>
      </c>
      <c r="AI135" s="10">
        <f ca="1">OFFSET(IND!AL$25,$E135,0)</f>
        <v>6.0902064711102524</v>
      </c>
      <c r="AJ135" s="10">
        <f ca="1">OFFSET(IND!AM$25,$E135,0)</f>
        <v>6.8906681189601029</v>
      </c>
      <c r="AK135" s="10">
        <f ca="1">OFFSET(IND!AN$25,$E135,0)</f>
        <v>7.7580567310476614</v>
      </c>
      <c r="AL135" s="10">
        <f ca="1">OFFSET(IND!AO$25,$E135,0)</f>
        <v>9.4147524969454217</v>
      </c>
      <c r="AM135" s="10">
        <f ca="1">OFFSET(IND!AP$25,$E135,0)</f>
        <v>11.08260275688283</v>
      </c>
    </row>
    <row r="136" spans="1:39">
      <c r="B136" s="4"/>
      <c r="C136" s="4"/>
      <c r="E136" s="129"/>
      <c r="F136" s="4"/>
      <c r="G136" s="10"/>
      <c r="H136" s="10"/>
      <c r="I136" s="10"/>
      <c r="J136" s="10"/>
      <c r="K136" s="10"/>
      <c r="L136" s="10"/>
      <c r="M136" s="10"/>
      <c r="N136" s="10"/>
      <c r="O136" s="204"/>
      <c r="P136" s="10"/>
      <c r="Q136" s="10"/>
      <c r="R136" s="10"/>
      <c r="S136" s="10"/>
      <c r="T136" s="204"/>
      <c r="U136" s="10"/>
      <c r="V136" s="10"/>
      <c r="W136" s="10"/>
      <c r="X136" s="10"/>
      <c r="Y136" s="207"/>
      <c r="Z136" s="10"/>
      <c r="AA136" s="10"/>
      <c r="AB136" s="10"/>
      <c r="AC136" s="10"/>
      <c r="AD136" s="10"/>
      <c r="AE136" s="10"/>
      <c r="AF136" s="10"/>
      <c r="AG136" s="10"/>
      <c r="AH136" s="10"/>
      <c r="AI136" s="10"/>
      <c r="AJ136" s="10"/>
      <c r="AK136" s="10"/>
      <c r="AL136" s="10"/>
      <c r="AM136" s="10"/>
    </row>
    <row r="137" spans="1:39">
      <c r="B137" s="4"/>
      <c r="C137" s="4"/>
      <c r="E137" s="129"/>
      <c r="F137" s="4"/>
      <c r="G137" s="10"/>
      <c r="H137" s="10"/>
      <c r="I137" s="10"/>
      <c r="J137" s="10"/>
      <c r="K137" s="10"/>
      <c r="L137" s="10"/>
      <c r="M137" s="10"/>
      <c r="N137" s="10"/>
      <c r="O137" s="204"/>
      <c r="P137" s="10"/>
      <c r="Q137" s="10"/>
      <c r="R137" s="10"/>
      <c r="S137" s="10"/>
      <c r="T137" s="204"/>
      <c r="U137" s="10"/>
      <c r="V137" s="10"/>
      <c r="W137" s="10"/>
      <c r="X137" s="10"/>
      <c r="Y137" s="207"/>
      <c r="Z137" s="10"/>
      <c r="AA137" s="10"/>
      <c r="AB137" s="10"/>
      <c r="AC137" s="10"/>
      <c r="AD137" s="10"/>
      <c r="AE137" s="10"/>
      <c r="AF137" s="10"/>
      <c r="AG137" s="10"/>
      <c r="AH137" s="10"/>
      <c r="AI137" s="10"/>
      <c r="AJ137" s="10"/>
      <c r="AK137" s="10"/>
      <c r="AL137" s="10"/>
      <c r="AM137" s="10"/>
    </row>
    <row r="138" spans="1:39">
      <c r="B138" s="4"/>
      <c r="C138" s="4"/>
      <c r="E138" s="129"/>
      <c r="F138" s="4"/>
      <c r="G138" s="10"/>
      <c r="H138" s="10"/>
      <c r="I138" s="10"/>
      <c r="J138" s="10"/>
      <c r="K138" s="10"/>
      <c r="L138" s="10"/>
      <c r="M138" s="10"/>
      <c r="N138" s="10"/>
      <c r="O138" s="204"/>
      <c r="P138" s="10"/>
      <c r="Q138" s="10"/>
      <c r="R138" s="10"/>
      <c r="S138" s="10"/>
      <c r="T138" s="204"/>
      <c r="U138" s="10"/>
      <c r="V138" s="10"/>
      <c r="W138" s="10"/>
      <c r="X138" s="10"/>
      <c r="Y138" s="207"/>
      <c r="Z138" s="10"/>
      <c r="AA138" s="10"/>
      <c r="AB138" s="10"/>
      <c r="AC138" s="10"/>
      <c r="AD138" s="10"/>
      <c r="AE138" s="10"/>
      <c r="AF138" s="10"/>
      <c r="AG138" s="10"/>
      <c r="AH138" s="10"/>
      <c r="AI138" s="10"/>
      <c r="AJ138" s="10"/>
      <c r="AK138" s="10"/>
      <c r="AL138" s="10"/>
      <c r="AM138" s="10"/>
    </row>
    <row r="139" spans="1:39">
      <c r="B139" s="4"/>
      <c r="C139" s="4"/>
      <c r="E139" s="129"/>
      <c r="F139" s="4"/>
      <c r="G139" s="10"/>
      <c r="H139" s="10"/>
      <c r="I139" s="10"/>
      <c r="J139" s="10"/>
      <c r="K139" s="10"/>
      <c r="L139" s="10"/>
      <c r="M139" s="10"/>
      <c r="N139" s="10"/>
      <c r="O139" s="204"/>
      <c r="P139" s="10"/>
      <c r="Q139" s="10"/>
      <c r="R139" s="10"/>
      <c r="S139" s="10"/>
      <c r="T139" s="204"/>
      <c r="U139" s="10"/>
      <c r="V139" s="10"/>
      <c r="W139" s="10"/>
      <c r="X139" s="10"/>
      <c r="Y139" s="207"/>
      <c r="Z139" s="10"/>
      <c r="AA139" s="10"/>
      <c r="AB139" s="10"/>
      <c r="AC139" s="10"/>
      <c r="AD139" s="10"/>
      <c r="AE139" s="10"/>
      <c r="AF139" s="10"/>
      <c r="AG139" s="10"/>
      <c r="AH139" s="10"/>
      <c r="AI139" s="10"/>
      <c r="AJ139" s="10"/>
      <c r="AK139" s="10"/>
      <c r="AL139" s="10"/>
      <c r="AM139" s="10"/>
    </row>
    <row r="140" spans="1:39">
      <c r="B140" s="4"/>
      <c r="C140" s="4"/>
      <c r="E140" s="129"/>
      <c r="F140" s="4"/>
      <c r="G140" s="10"/>
      <c r="H140" s="10"/>
      <c r="I140" s="10"/>
      <c r="J140" s="10"/>
      <c r="K140" s="10"/>
      <c r="L140" s="10"/>
      <c r="M140" s="10"/>
      <c r="N140" s="10"/>
      <c r="O140" s="204"/>
      <c r="P140" s="10"/>
      <c r="Q140" s="10"/>
      <c r="R140" s="10"/>
      <c r="S140" s="10"/>
      <c r="T140" s="204"/>
      <c r="U140" s="10"/>
      <c r="V140" s="10"/>
      <c r="W140" s="10"/>
      <c r="X140" s="10"/>
      <c r="Y140" s="207"/>
      <c r="Z140" s="10"/>
      <c r="AA140" s="10"/>
      <c r="AB140" s="10"/>
      <c r="AC140" s="10"/>
      <c r="AD140" s="10"/>
      <c r="AE140" s="10"/>
      <c r="AF140" s="10"/>
      <c r="AG140" s="10"/>
      <c r="AH140" s="10"/>
      <c r="AI140" s="10"/>
      <c r="AJ140" s="10"/>
      <c r="AK140" s="10"/>
      <c r="AL140" s="10"/>
      <c r="AM140" s="10"/>
    </row>
    <row r="141" spans="1:39">
      <c r="B141" s="4"/>
      <c r="C141" s="4"/>
      <c r="E141" s="129"/>
      <c r="F141" s="4"/>
      <c r="G141" s="10"/>
      <c r="H141" s="10"/>
      <c r="I141" s="10"/>
      <c r="J141" s="10"/>
      <c r="K141" s="10"/>
      <c r="L141" s="10"/>
      <c r="M141" s="10"/>
      <c r="N141" s="10"/>
      <c r="O141" s="204"/>
      <c r="P141" s="10"/>
      <c r="Q141" s="10"/>
      <c r="R141" s="10"/>
      <c r="S141" s="10"/>
      <c r="T141" s="204"/>
      <c r="U141" s="10"/>
      <c r="V141" s="10"/>
      <c r="W141" s="10"/>
      <c r="X141" s="10"/>
      <c r="Y141" s="207"/>
      <c r="Z141" s="10"/>
      <c r="AA141" s="10"/>
      <c r="AB141" s="10"/>
      <c r="AC141" s="10"/>
      <c r="AD141" s="10"/>
      <c r="AE141" s="10"/>
      <c r="AF141" s="10"/>
      <c r="AG141" s="10"/>
      <c r="AH141" s="10"/>
      <c r="AI141" s="10"/>
      <c r="AJ141" s="10"/>
      <c r="AK141" s="10"/>
      <c r="AL141" s="10"/>
      <c r="AM141" s="10"/>
    </row>
    <row r="142" spans="1:39">
      <c r="B142" s="4"/>
      <c r="C142" s="4"/>
      <c r="E142" s="129"/>
      <c r="F142" s="4"/>
      <c r="G142" s="10"/>
      <c r="H142" s="10"/>
      <c r="I142" s="10"/>
      <c r="J142" s="10"/>
      <c r="K142" s="10"/>
      <c r="L142" s="10"/>
      <c r="M142" s="10"/>
      <c r="N142" s="10"/>
      <c r="O142" s="204"/>
      <c r="P142" s="10"/>
      <c r="Q142" s="10"/>
      <c r="R142" s="10"/>
      <c r="S142" s="10"/>
      <c r="T142" s="204"/>
      <c r="U142" s="10"/>
      <c r="V142" s="10"/>
      <c r="W142" s="10"/>
      <c r="X142" s="10"/>
      <c r="Y142" s="207"/>
      <c r="Z142" s="10"/>
      <c r="AA142" s="10"/>
      <c r="AB142" s="10"/>
      <c r="AC142" s="10"/>
      <c r="AD142" s="10"/>
      <c r="AE142" s="10"/>
      <c r="AF142" s="10"/>
      <c r="AG142" s="10"/>
      <c r="AH142" s="10"/>
      <c r="AI142" s="10"/>
      <c r="AJ142" s="10"/>
      <c r="AK142" s="10"/>
      <c r="AL142" s="10"/>
      <c r="AM142" s="10"/>
    </row>
    <row r="143" spans="1:39">
      <c r="B143" s="4"/>
      <c r="C143" s="4"/>
      <c r="E143" s="129"/>
      <c r="F143" s="4"/>
      <c r="G143" s="10"/>
      <c r="H143" s="10"/>
      <c r="I143" s="10"/>
      <c r="J143" s="10"/>
      <c r="K143" s="10"/>
      <c r="L143" s="10"/>
      <c r="M143" s="10"/>
      <c r="N143" s="10"/>
      <c r="O143" s="204"/>
      <c r="P143" s="10"/>
      <c r="Q143" s="10"/>
      <c r="R143" s="10"/>
      <c r="S143" s="10"/>
      <c r="T143" s="204"/>
      <c r="U143" s="10"/>
      <c r="V143" s="10"/>
      <c r="W143" s="10"/>
      <c r="X143" s="10"/>
      <c r="Y143" s="207"/>
      <c r="Z143" s="10"/>
      <c r="AA143" s="10"/>
      <c r="AB143" s="10"/>
      <c r="AC143" s="10"/>
      <c r="AD143" s="10"/>
      <c r="AE143" s="10"/>
      <c r="AF143" s="10"/>
      <c r="AG143" s="10"/>
      <c r="AH143" s="10"/>
      <c r="AI143" s="10"/>
      <c r="AJ143" s="10"/>
      <c r="AK143" s="10"/>
      <c r="AL143" s="10"/>
      <c r="AM143" s="10"/>
    </row>
    <row r="144" spans="1:39">
      <c r="B144" s="4"/>
      <c r="C144" s="4"/>
      <c r="E144" s="129"/>
      <c r="F144" s="4"/>
      <c r="G144" s="10"/>
      <c r="H144" s="10"/>
      <c r="I144" s="10"/>
      <c r="J144" s="10"/>
      <c r="K144" s="10"/>
      <c r="L144" s="10"/>
      <c r="M144" s="10"/>
      <c r="N144" s="10"/>
      <c r="O144" s="204"/>
      <c r="P144" s="10"/>
      <c r="Q144" s="10"/>
      <c r="R144" s="10"/>
      <c r="S144" s="10"/>
      <c r="T144" s="204"/>
      <c r="U144" s="10"/>
      <c r="V144" s="10"/>
      <c r="W144" s="10"/>
      <c r="X144" s="10"/>
      <c r="Y144" s="207"/>
      <c r="Z144" s="10"/>
      <c r="AA144" s="10"/>
      <c r="AB144" s="10"/>
      <c r="AC144" s="10"/>
      <c r="AD144" s="10"/>
      <c r="AE144" s="10"/>
      <c r="AF144" s="10"/>
      <c r="AG144" s="10"/>
      <c r="AH144" s="10"/>
      <c r="AI144" s="10"/>
      <c r="AJ144" s="10"/>
      <c r="AK144" s="10"/>
      <c r="AL144" s="10"/>
      <c r="AM144" s="10"/>
    </row>
    <row r="145" spans="2:39">
      <c r="B145" s="4"/>
      <c r="C145" s="4"/>
      <c r="E145" s="129"/>
      <c r="F145" s="4"/>
      <c r="G145" s="10"/>
      <c r="H145" s="10"/>
      <c r="I145" s="10"/>
      <c r="J145" s="10"/>
      <c r="K145" s="10"/>
      <c r="L145" s="10"/>
      <c r="M145" s="10"/>
      <c r="N145" s="10"/>
      <c r="O145" s="204"/>
      <c r="P145" s="10"/>
      <c r="Q145" s="10"/>
      <c r="R145" s="10"/>
      <c r="S145" s="10"/>
      <c r="T145" s="204"/>
      <c r="U145" s="10"/>
      <c r="V145" s="10"/>
      <c r="W145" s="10"/>
      <c r="X145" s="10"/>
      <c r="Y145" s="207"/>
      <c r="Z145" s="10"/>
      <c r="AA145" s="10"/>
      <c r="AB145" s="10"/>
      <c r="AC145" s="10"/>
      <c r="AD145" s="10"/>
      <c r="AE145" s="10"/>
      <c r="AF145" s="10"/>
      <c r="AG145" s="10"/>
      <c r="AH145" s="10"/>
      <c r="AI145" s="10"/>
      <c r="AJ145" s="10"/>
      <c r="AK145" s="10"/>
      <c r="AL145" s="10"/>
      <c r="AM145" s="10"/>
    </row>
    <row r="146" spans="2:39">
      <c r="B146" s="4"/>
      <c r="C146" s="4"/>
      <c r="E146" s="129"/>
      <c r="F146" s="4"/>
      <c r="G146" s="10"/>
      <c r="H146" s="10"/>
      <c r="I146" s="10"/>
      <c r="J146" s="10"/>
      <c r="K146" s="10"/>
      <c r="L146" s="10"/>
      <c r="M146" s="10"/>
      <c r="N146" s="10"/>
      <c r="O146" s="204"/>
      <c r="P146" s="10"/>
      <c r="Q146" s="10"/>
      <c r="R146" s="10"/>
      <c r="S146" s="10"/>
      <c r="T146" s="204"/>
      <c r="U146" s="10"/>
      <c r="V146" s="10"/>
      <c r="W146" s="10"/>
      <c r="X146" s="10"/>
      <c r="Y146" s="207"/>
      <c r="Z146" s="10"/>
      <c r="AA146" s="10"/>
      <c r="AB146" s="10"/>
      <c r="AC146" s="10"/>
      <c r="AD146" s="10"/>
      <c r="AE146" s="10"/>
      <c r="AF146" s="10"/>
      <c r="AG146" s="10"/>
      <c r="AH146" s="10"/>
      <c r="AI146" s="10"/>
      <c r="AJ146" s="10"/>
      <c r="AK146" s="10"/>
      <c r="AL146" s="10"/>
      <c r="AM146" s="10"/>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9"/>
  <dimension ref="A1:H13"/>
  <sheetViews>
    <sheetView workbookViewId="0"/>
    <sheetView workbookViewId="1"/>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B9" s="19" t="s">
        <v>37</v>
      </c>
      <c r="C9" s="18" t="str">
        <f>[3]AGR!B36</f>
        <v>AH</v>
      </c>
      <c r="D9" s="18" t="str">
        <f>[3]AGR!A36</f>
        <v>Agriculture - Heating</v>
      </c>
      <c r="E9" s="19" t="s">
        <v>38</v>
      </c>
      <c r="F9" s="19" t="s">
        <v>39</v>
      </c>
    </row>
    <row r="10" spans="1:8">
      <c r="B10" s="19" t="s">
        <v>37</v>
      </c>
      <c r="C10" s="18" t="str">
        <f>[3]AGR!B37</f>
        <v>AP</v>
      </c>
      <c r="D10" s="18" t="str">
        <f>[3]AGR!A37</f>
        <v>Agriculture - Processing</v>
      </c>
      <c r="E10" s="19" t="s">
        <v>38</v>
      </c>
      <c r="F10" s="19" t="s">
        <v>39</v>
      </c>
    </row>
    <row r="11" spans="1:8">
      <c r="B11" s="19" t="s">
        <v>37</v>
      </c>
      <c r="C11" s="18" t="str">
        <f>[3]AGR!B38</f>
        <v>AT</v>
      </c>
      <c r="D11" s="18" t="str">
        <f>[3]AGR!A38</f>
        <v>Agriculture - Traction</v>
      </c>
      <c r="E11" s="19" t="s">
        <v>38</v>
      </c>
      <c r="F11" s="19" t="s">
        <v>98</v>
      </c>
    </row>
    <row r="12" spans="1:8">
      <c r="B12" s="19" t="s">
        <v>37</v>
      </c>
      <c r="C12" s="18" t="str">
        <f>[3]AGR!B39</f>
        <v>AI</v>
      </c>
      <c r="D12" s="18" t="str">
        <f>[3]AGR!A39</f>
        <v>Agriculture - Irrigation</v>
      </c>
      <c r="E12" s="19" t="s">
        <v>38</v>
      </c>
      <c r="F12" s="19" t="s">
        <v>39</v>
      </c>
    </row>
    <row r="13" spans="1:8">
      <c r="B13" s="19" t="s">
        <v>37</v>
      </c>
      <c r="C13" s="18" t="str">
        <f>[3]AGR!B40</f>
        <v>AO</v>
      </c>
      <c r="D13" s="18" t="str">
        <f>[3]AGR!A40</f>
        <v>Agriculture - Other</v>
      </c>
      <c r="E13" s="19" t="s">
        <v>38</v>
      </c>
      <c r="F13" s="19" t="s">
        <v>39</v>
      </c>
    </row>
  </sheetData>
  <pageMargins left="0.75" right="0.75" top="1" bottom="1" header="0.5" footer="0.5"/>
  <pageSetup paperSize="9" orientation="portrait"/>
  <headerFooter alignWithMargins="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
    <tabColor theme="9" tint="-0.249977111117893"/>
  </sheetPr>
  <dimension ref="A1:AV26"/>
  <sheetViews>
    <sheetView workbookViewId="0">
      <selection activeCell="T6" sqref="T6"/>
    </sheetView>
    <sheetView workbookViewId="1"/>
  </sheetViews>
  <sheetFormatPr defaultColWidth="9.140625" defaultRowHeight="15"/>
  <cols>
    <col min="1" max="1" width="9.140625" style="4"/>
    <col min="2" max="2" width="13.140625" style="4" customWidth="1"/>
    <col min="3" max="3" width="25.42578125" style="4" customWidth="1"/>
    <col min="4" max="4" width="21.85546875" style="4" customWidth="1"/>
    <col min="5" max="16384" width="9.140625" style="4"/>
  </cols>
  <sheetData>
    <row r="1" spans="1:48">
      <c r="A1" s="4" t="str">
        <f>IF(AGR,"TS DATA","")</f>
        <v>TS DATA</v>
      </c>
      <c r="B1" s="4" t="s">
        <v>17</v>
      </c>
    </row>
    <row r="2" spans="1:48" ht="15.75" thickBot="1">
      <c r="A2" s="4" t="s">
        <v>16</v>
      </c>
      <c r="B2" s="349" t="s">
        <v>197</v>
      </c>
      <c r="C2" s="349"/>
    </row>
    <row r="3" spans="1:48">
      <c r="A3" s="4" t="s">
        <v>16</v>
      </c>
    </row>
    <row r="4" spans="1:48" ht="15.75" thickBot="1">
      <c r="A4" s="4" t="s">
        <v>16</v>
      </c>
      <c r="B4" s="349" t="s">
        <v>11</v>
      </c>
      <c r="C4" s="349"/>
      <c r="D4" s="56"/>
      <c r="E4" s="14"/>
      <c r="F4" s="14"/>
      <c r="G4" s="14"/>
      <c r="H4" s="14"/>
      <c r="I4" s="14"/>
      <c r="K4" s="4">
        <v>2012</v>
      </c>
      <c r="L4" s="4">
        <v>2013</v>
      </c>
      <c r="M4" s="4">
        <v>2014</v>
      </c>
      <c r="N4" s="4">
        <v>2015</v>
      </c>
      <c r="O4" s="4">
        <v>2016</v>
      </c>
      <c r="P4" s="4">
        <v>2017</v>
      </c>
      <c r="Q4" s="4">
        <v>2018</v>
      </c>
      <c r="R4" s="4">
        <v>2019</v>
      </c>
      <c r="S4" s="4">
        <v>2020</v>
      </c>
      <c r="T4" s="4">
        <v>2021</v>
      </c>
      <c r="U4" s="4">
        <v>2022</v>
      </c>
      <c r="V4" s="4">
        <v>2023</v>
      </c>
      <c r="W4" s="4">
        <v>2024</v>
      </c>
      <c r="X4" s="4">
        <v>2025</v>
      </c>
      <c r="Y4" s="4">
        <v>2026</v>
      </c>
      <c r="Z4" s="4">
        <v>2027</v>
      </c>
      <c r="AA4" s="4">
        <v>2028</v>
      </c>
      <c r="AB4" s="4">
        <v>2029</v>
      </c>
      <c r="AC4" s="4">
        <v>2030</v>
      </c>
      <c r="AD4" s="4">
        <v>2031</v>
      </c>
      <c r="AE4" s="4">
        <v>2032</v>
      </c>
      <c r="AF4" s="4">
        <v>2033</v>
      </c>
      <c r="AG4" s="4">
        <v>2034</v>
      </c>
      <c r="AH4" s="4">
        <v>2035</v>
      </c>
      <c r="AI4" s="4">
        <v>2036</v>
      </c>
      <c r="AJ4" s="4">
        <v>2037</v>
      </c>
      <c r="AK4" s="4">
        <v>2038</v>
      </c>
      <c r="AL4" s="4">
        <v>2039</v>
      </c>
      <c r="AM4" s="4">
        <v>2040</v>
      </c>
      <c r="AN4" s="4">
        <v>2045</v>
      </c>
      <c r="AO4" s="4">
        <v>2050</v>
      </c>
      <c r="AP4" s="4">
        <v>2060</v>
      </c>
    </row>
    <row r="5" spans="1:48">
      <c r="A5" s="4" t="s">
        <v>16</v>
      </c>
      <c r="B5" s="4" t="s">
        <v>9</v>
      </c>
      <c r="C5" s="4" t="s">
        <v>10</v>
      </c>
      <c r="D5" s="4" t="s">
        <v>280</v>
      </c>
    </row>
    <row r="6" spans="1:48">
      <c r="A6" s="4" t="s">
        <v>16</v>
      </c>
      <c r="B6" s="25" t="s">
        <v>138</v>
      </c>
      <c r="C6" s="4" t="s">
        <v>1</v>
      </c>
      <c r="D6" s="4">
        <f>MATCH(B6,Drivers!A7:A22,0)</f>
        <v>1</v>
      </c>
      <c r="J6" s="8"/>
      <c r="K6" s="126" cm="1">
        <f t="array" ref="K6">INDEX(Drivers!$C$7:$AG$22,$D$6,MATCH(K$4,Drivers!$C$5:$AG$5,0))</f>
        <v>69.817113338466598</v>
      </c>
      <c r="L6" s="126" cm="1">
        <f t="array" ref="L6">INDEX(Drivers!$C$7:$AG$22,$D$6,MATCH(L$4,Drivers!$C$5:$AG$5,0))</f>
        <v>73.084999999999994</v>
      </c>
      <c r="M6" s="126" cm="1">
        <f t="array" ref="M6">INDEX(Drivers!$C$7:$AG$22,$D$6,MATCH(M$4,Drivers!$C$5:$AG$5,0))</f>
        <v>76.058999999999997</v>
      </c>
      <c r="N6" s="126" cm="1">
        <f t="array" ref="N6">INDEX(Drivers!$C$7:$AG$22,$D$6,MATCH(N$4,Drivers!$C$5:$AG$5,0))</f>
        <v>75.036000000000001</v>
      </c>
      <c r="O6" s="126" cm="1">
        <f t="array" ref="O6">INDEX(Drivers!$C$7:$AG$22,$D$6,MATCH(O$4,Drivers!$C$5:$AG$5,0))</f>
        <v>74.197000000000003</v>
      </c>
      <c r="P6" s="126" cm="1">
        <f t="array" ref="P6">INDEX(Drivers!$C$7:$AG$22,$D$6,MATCH(P$4,Drivers!$C$5:$AG$5,0))</f>
        <v>76.781999999999996</v>
      </c>
      <c r="Q6" s="126" cm="1">
        <f t="array" ref="Q6">INDEX(Drivers!$C$7:$AG$22,$D$6,MATCH(Q$4,Drivers!$C$5:$AG$5,0))</f>
        <v>75.613</v>
      </c>
      <c r="R6" s="126" cm="1">
        <f t="array" ref="R6">INDEX(Drivers!$C$7:$AG$22,$D$6,MATCH(R$4,Drivers!$C$5:$AG$5,0))</f>
        <v>74.427999999999997</v>
      </c>
      <c r="S6" s="126" cm="1">
        <f t="array" ref="S6">INDEX(Drivers!$C$7:$AG$22,$D$6,MATCH(S$4,Drivers!$C$5:$AG$5,0))</f>
        <v>71.725999999999999</v>
      </c>
      <c r="T6" s="126" cm="1">
        <f t="array" ref="T6">INDEX(Drivers!$C$7:$AG$22,$D$6,MATCH(T$4,Drivers!$C$5:$AG$5,0))</f>
        <v>73.514822682499755</v>
      </c>
      <c r="U6" s="126" cm="1">
        <f t="array" ref="U6">INDEX(Drivers!$C$7:$AG$22,$D$6,MATCH(U$4,Drivers!$C$5:$AG$5,0))</f>
        <v>75.572664412255719</v>
      </c>
      <c r="V6" s="126" cm="1">
        <f t="array" ref="V6">INDEX(Drivers!$C$7:$AG$22,$D$6,MATCH(V$4,Drivers!$C$5:$AG$5,0))</f>
        <v>77.347567727327473</v>
      </c>
      <c r="W6" s="126" cm="1">
        <f t="array" ref="W6">INDEX(Drivers!$C$7:$AG$22,$D$6,MATCH(W$4,Drivers!$C$5:$AG$5,0))</f>
        <v>79.12077697074831</v>
      </c>
      <c r="X6" s="126" cm="1">
        <f t="array" ref="X6">INDEX(Drivers!$C$7:$AG$22,$D$6,MATCH(X$4,Drivers!$C$5:$AG$5,0))</f>
        <v>80.977521601129098</v>
      </c>
      <c r="Y6" s="126" cm="1">
        <f t="array" ref="Y6">INDEX(Drivers!$C$7:$AG$22,$D$6,MATCH(Y$4,Drivers!$C$5:$AG$5,0))</f>
        <v>82.842155240140002</v>
      </c>
      <c r="Z6" s="126" cm="1">
        <f t="array" ref="Z6">INDEX(Drivers!$C$7:$AG$22,$D$6,MATCH(Z$4,Drivers!$C$5:$AG$5,0))</f>
        <v>84.668393195806658</v>
      </c>
      <c r="AA6" s="126" cm="1">
        <f t="array" ref="AA6">INDEX(Drivers!$C$7:$AG$22,$D$6,MATCH(AA$4,Drivers!$C$5:$AG$5,0))</f>
        <v>86.405686587770418</v>
      </c>
      <c r="AB6" s="126" cm="1">
        <f t="array" ref="AB6">INDEX(Drivers!$C$7:$AG$22,$D$6,MATCH(AB$4,Drivers!$C$5:$AG$5,0))</f>
        <v>88.130023808644651</v>
      </c>
      <c r="AC6" s="126" cm="1">
        <f t="array" ref="AC6">INDEX(Drivers!$C$7:$AG$22,$D$6,MATCH(AC$4,Drivers!$C$5:$AG$5,0))</f>
        <v>89.667646106007552</v>
      </c>
      <c r="AD6" s="126" cm="1">
        <f t="array" ref="AD6">INDEX(Drivers!$C$7:$AG$22,$D$6,MATCH(AD$4,Drivers!$C$5:$AG$5,0))</f>
        <v>91.73929135011835</v>
      </c>
      <c r="AE6" s="126" cm="1">
        <f t="array" ref="AE6">INDEX(Drivers!$C$7:$AG$22,$D$6,MATCH(AE$4,Drivers!$C$5:$AG$5,0))</f>
        <v>93.687651950873686</v>
      </c>
      <c r="AF6" s="126" cm="1">
        <f t="array" ref="AF6">INDEX(Drivers!$C$7:$AG$22,$D$6,MATCH(AF$4,Drivers!$C$5:$AG$5,0))</f>
        <v>95.501120086341373</v>
      </c>
      <c r="AG6" s="126" cm="1">
        <f t="array" ref="AG6">INDEX(Drivers!$C$7:$AG$22,$D$6,MATCH(AG$4,Drivers!$C$5:$AG$5,0))</f>
        <v>97.193090069157307</v>
      </c>
      <c r="AH6" s="126" cm="1">
        <f t="array" ref="AH6">INDEX(Drivers!$C$7:$AG$22,$D$6,MATCH(AH$4,Drivers!$C$5:$AG$5,0))</f>
        <v>99.131757126691255</v>
      </c>
      <c r="AI6" s="126" cm="1">
        <f t="array" ref="AI6">INDEX(Drivers!$C$7:$AG$22,$D$6,MATCH(AI$4,Drivers!$C$5:$AG$5,0))</f>
        <v>101.02117158129585</v>
      </c>
      <c r="AJ6" s="126" cm="1">
        <f t="array" ref="AJ6">INDEX(Drivers!$C$7:$AG$22,$D$6,MATCH(AJ$4,Drivers!$C$5:$AG$5,0))</f>
        <v>102.97785195423387</v>
      </c>
      <c r="AK6" s="126" cm="1">
        <f t="array" ref="AK6">INDEX(Drivers!$C$7:$AG$22,$D$6,MATCH(AK$4,Drivers!$C$5:$AG$5,0))</f>
        <v>104.87138927845699</v>
      </c>
      <c r="AL6" s="126" cm="1">
        <f t="array" ref="AL6">INDEX(Drivers!$C$7:$AG$22,$D$6,MATCH(AL$4,Drivers!$C$5:$AG$5,0))</f>
        <v>106.81413484230917</v>
      </c>
      <c r="AM6" s="126" cm="1">
        <f t="array" ref="AM6">INDEX(Drivers!$C$7:$AG$22,$D$6,MATCH(AM$4,Drivers!$C$5:$AG$5,0))</f>
        <v>108.85935352291986</v>
      </c>
      <c r="AN6" s="126" cm="1">
        <f t="array" ref="AN6">INDEX(Drivers!$C$7:$AG$22,$D$6,MATCH(AN$4,Drivers!$C$5:$AG$5,0))</f>
        <v>120.06647375355969</v>
      </c>
      <c r="AO6" s="126" cm="1">
        <f t="array" ref="AO6">INDEX(Drivers!$C$7:$AG$22,$D$6,MATCH(AO$4,Drivers!$C$5:$AG$5,0))</f>
        <v>132.66281091257488</v>
      </c>
      <c r="AP6" s="126">
        <f>AO6</f>
        <v>132.66281091257488</v>
      </c>
      <c r="AQ6" s="126"/>
      <c r="AR6" s="126"/>
      <c r="AS6" s="24"/>
      <c r="AT6" s="24"/>
      <c r="AU6" s="24"/>
      <c r="AV6" s="24"/>
    </row>
    <row r="7" spans="1:48">
      <c r="A7" s="4" t="s">
        <v>16</v>
      </c>
      <c r="B7" s="25"/>
    </row>
    <row r="8" spans="1:48" ht="15.75" thickBot="1">
      <c r="A8" s="4" t="s">
        <v>16</v>
      </c>
      <c r="B8" s="349" t="s">
        <v>285</v>
      </c>
      <c r="C8" s="349"/>
    </row>
    <row r="9" spans="1:48">
      <c r="A9" s="4" t="s">
        <v>16</v>
      </c>
      <c r="B9" s="4" t="str">
        <f>[3]AGR!$B28</f>
        <v>AH</v>
      </c>
      <c r="C9" s="4" t="str">
        <f>[3]AGR!$A36</f>
        <v>Agriculture - Heating</v>
      </c>
    </row>
    <row r="10" spans="1:48">
      <c r="A10" s="4" t="s">
        <v>16</v>
      </c>
      <c r="B10" s="4" t="str">
        <f>[3]AGR!$B29</f>
        <v>AP</v>
      </c>
      <c r="C10" s="4" t="str">
        <f>[3]AGR!$A37</f>
        <v>Agriculture - Processing</v>
      </c>
    </row>
    <row r="11" spans="1:48">
      <c r="A11" s="4" t="s">
        <v>16</v>
      </c>
      <c r="B11" s="4" t="str">
        <f>[3]AGR!$B30</f>
        <v>AT</v>
      </c>
      <c r="C11" s="4" t="str">
        <f>[3]AGR!$A38</f>
        <v>Agriculture - Traction</v>
      </c>
    </row>
    <row r="12" spans="1:48">
      <c r="A12" s="4" t="s">
        <v>16</v>
      </c>
      <c r="B12" s="4" t="str">
        <f>[3]AGR!$B31</f>
        <v>AI</v>
      </c>
      <c r="C12" s="4" t="str">
        <f>[3]AGR!$A39</f>
        <v>Agriculture - Irrigation</v>
      </c>
    </row>
    <row r="13" spans="1:48">
      <c r="A13" s="4" t="s">
        <v>16</v>
      </c>
      <c r="B13" s="4" t="str">
        <f>[3]AGR!$B32</f>
        <v>AO</v>
      </c>
      <c r="C13" s="4" t="str">
        <f>[3]AGR!$A40</f>
        <v>Agriculture - Other</v>
      </c>
    </row>
    <row r="14" spans="1:48">
      <c r="A14" s="4" t="s">
        <v>16</v>
      </c>
      <c r="B14" s="25"/>
    </row>
    <row r="15" spans="1:48">
      <c r="A15" s="4" t="s">
        <v>16</v>
      </c>
      <c r="B15" s="25"/>
    </row>
    <row r="16" spans="1:48" ht="15.75" thickBot="1">
      <c r="A16" s="4" t="s">
        <v>16</v>
      </c>
      <c r="B16" s="349" t="s">
        <v>12</v>
      </c>
      <c r="C16" s="349"/>
      <c r="D16" s="9">
        <v>2010</v>
      </c>
      <c r="E16" s="9">
        <v>2020</v>
      </c>
      <c r="F16" s="15">
        <v>2030</v>
      </c>
      <c r="G16" s="15">
        <v>2050</v>
      </c>
    </row>
    <row r="17" spans="1:48">
      <c r="A17" s="4" t="s">
        <v>16</v>
      </c>
      <c r="B17" s="25" t="str">
        <f>B6</f>
        <v>AGR</v>
      </c>
      <c r="C17" s="4" t="str">
        <f>C6</f>
        <v>Agriculture</v>
      </c>
      <c r="D17" s="4">
        <v>1</v>
      </c>
      <c r="E17" s="4">
        <v>1</v>
      </c>
      <c r="F17" s="4">
        <v>1</v>
      </c>
      <c r="G17" s="4">
        <v>1</v>
      </c>
      <c r="J17" s="4">
        <f>D17</f>
        <v>1</v>
      </c>
      <c r="K17" s="4">
        <f>J17</f>
        <v>1</v>
      </c>
      <c r="L17" s="4">
        <f t="shared" ref="L17:AP17" si="0">K17</f>
        <v>1</v>
      </c>
      <c r="M17" s="4">
        <f t="shared" si="0"/>
        <v>1</v>
      </c>
      <c r="N17" s="4">
        <f t="shared" si="0"/>
        <v>1</v>
      </c>
      <c r="O17" s="4">
        <f t="shared" si="0"/>
        <v>1</v>
      </c>
      <c r="P17" s="4">
        <f t="shared" si="0"/>
        <v>1</v>
      </c>
      <c r="Q17" s="4">
        <f t="shared" si="0"/>
        <v>1</v>
      </c>
      <c r="R17" s="4">
        <f t="shared" si="0"/>
        <v>1</v>
      </c>
      <c r="S17" s="4">
        <f t="shared" si="0"/>
        <v>1</v>
      </c>
      <c r="T17" s="4">
        <f t="shared" si="0"/>
        <v>1</v>
      </c>
      <c r="U17" s="4">
        <f t="shared" si="0"/>
        <v>1</v>
      </c>
      <c r="V17" s="4">
        <f t="shared" si="0"/>
        <v>1</v>
      </c>
      <c r="W17" s="4">
        <f t="shared" si="0"/>
        <v>1</v>
      </c>
      <c r="X17" s="4">
        <f t="shared" si="0"/>
        <v>1</v>
      </c>
      <c r="Y17" s="4">
        <f t="shared" si="0"/>
        <v>1</v>
      </c>
      <c r="Z17" s="4">
        <f t="shared" si="0"/>
        <v>1</v>
      </c>
      <c r="AA17" s="4">
        <f t="shared" si="0"/>
        <v>1</v>
      </c>
      <c r="AB17" s="4">
        <f t="shared" si="0"/>
        <v>1</v>
      </c>
      <c r="AC17" s="4">
        <f t="shared" si="0"/>
        <v>1</v>
      </c>
      <c r="AD17" s="4">
        <f t="shared" si="0"/>
        <v>1</v>
      </c>
      <c r="AE17" s="4">
        <f t="shared" si="0"/>
        <v>1</v>
      </c>
      <c r="AF17" s="4">
        <f t="shared" si="0"/>
        <v>1</v>
      </c>
      <c r="AG17" s="4">
        <f t="shared" si="0"/>
        <v>1</v>
      </c>
      <c r="AH17" s="4">
        <f t="shared" si="0"/>
        <v>1</v>
      </c>
      <c r="AI17" s="4">
        <f t="shared" si="0"/>
        <v>1</v>
      </c>
      <c r="AJ17" s="4">
        <f t="shared" si="0"/>
        <v>1</v>
      </c>
      <c r="AK17" s="4">
        <f t="shared" si="0"/>
        <v>1</v>
      </c>
      <c r="AL17" s="4">
        <f t="shared" si="0"/>
        <v>1</v>
      </c>
      <c r="AM17" s="4">
        <f t="shared" si="0"/>
        <v>1</v>
      </c>
      <c r="AN17" s="4">
        <f t="shared" si="0"/>
        <v>1</v>
      </c>
      <c r="AO17" s="4">
        <f t="shared" si="0"/>
        <v>1</v>
      </c>
      <c r="AP17" s="4">
        <f t="shared" si="0"/>
        <v>1</v>
      </c>
    </row>
    <row r="18" spans="1:48">
      <c r="A18" s="4" t="s">
        <v>16</v>
      </c>
      <c r="B18" s="21"/>
    </row>
    <row r="19" spans="1:48">
      <c r="A19" s="4" t="s">
        <v>16</v>
      </c>
      <c r="B19" s="21"/>
    </row>
    <row r="20" spans="1:48">
      <c r="A20" s="4" t="s">
        <v>16</v>
      </c>
    </row>
    <row r="21" spans="1:48" ht="23.25">
      <c r="A21" s="4" t="s">
        <v>16</v>
      </c>
      <c r="B21" s="16" t="s">
        <v>18</v>
      </c>
      <c r="C21" s="16" t="s">
        <v>19</v>
      </c>
      <c r="D21" s="16" t="s">
        <v>20</v>
      </c>
      <c r="E21" s="16" t="s">
        <v>21</v>
      </c>
      <c r="F21" s="16" t="s">
        <v>22</v>
      </c>
      <c r="G21" s="16" t="s">
        <v>23</v>
      </c>
      <c r="H21" s="16" t="s">
        <v>24</v>
      </c>
      <c r="I21" s="17" t="s">
        <v>25</v>
      </c>
      <c r="J21" s="15">
        <v>2012</v>
      </c>
      <c r="K21" s="15">
        <v>2013</v>
      </c>
      <c r="L21" s="15">
        <v>2014</v>
      </c>
      <c r="M21" s="15">
        <v>2015</v>
      </c>
      <c r="N21" s="15">
        <v>2016</v>
      </c>
      <c r="O21" s="15">
        <v>2017</v>
      </c>
      <c r="P21" s="15">
        <v>2018</v>
      </c>
      <c r="Q21" s="15">
        <v>2019</v>
      </c>
      <c r="R21" s="15">
        <v>2020</v>
      </c>
      <c r="S21" s="15">
        <v>2021</v>
      </c>
      <c r="T21" s="15">
        <v>2022</v>
      </c>
      <c r="U21" s="15">
        <v>2023</v>
      </c>
      <c r="V21" s="15">
        <v>2024</v>
      </c>
      <c r="W21" s="15">
        <v>2025</v>
      </c>
      <c r="X21" s="15">
        <v>2026</v>
      </c>
      <c r="Y21" s="15">
        <v>2027</v>
      </c>
      <c r="Z21" s="15">
        <v>2028</v>
      </c>
      <c r="AA21" s="15">
        <v>2029</v>
      </c>
      <c r="AB21" s="15">
        <v>2030</v>
      </c>
      <c r="AC21" s="15">
        <v>2031</v>
      </c>
      <c r="AD21" s="15">
        <v>2032</v>
      </c>
      <c r="AE21" s="15">
        <v>2033</v>
      </c>
      <c r="AF21" s="15">
        <v>2034</v>
      </c>
      <c r="AG21" s="15">
        <v>2035</v>
      </c>
      <c r="AH21" s="15">
        <v>2036</v>
      </c>
      <c r="AI21" s="15">
        <v>2037</v>
      </c>
      <c r="AJ21" s="15">
        <v>2038</v>
      </c>
      <c r="AK21" s="15">
        <v>2039</v>
      </c>
      <c r="AL21" s="15">
        <v>2040</v>
      </c>
      <c r="AM21" s="15">
        <v>2045</v>
      </c>
      <c r="AN21" s="15">
        <v>2050</v>
      </c>
      <c r="AO21" s="15">
        <v>2060</v>
      </c>
      <c r="AP21" s="15">
        <v>2070</v>
      </c>
      <c r="AQ21" s="15"/>
      <c r="AR21" s="15"/>
      <c r="AS21" s="15"/>
      <c r="AT21" s="15"/>
      <c r="AU21" s="15"/>
      <c r="AV21" s="15"/>
    </row>
    <row r="22" spans="1:48">
      <c r="A22" s="4" t="str">
        <f>IF('[3]TS BYDem'!$A10="*","*", "")</f>
        <v/>
      </c>
      <c r="B22" s="22" t="str">
        <f>IF(A22="*","","COM_PROJ")</f>
        <v>COM_PROJ</v>
      </c>
      <c r="C22" s="23" t="str">
        <f>IF($A22="*","","-")</f>
        <v>-</v>
      </c>
      <c r="D22" s="22" t="str">
        <f>AGR!B9</f>
        <v>AH</v>
      </c>
      <c r="E22" s="23" t="str">
        <f t="shared" ref="E22:H26" si="1">IF($A22="*","","-")</f>
        <v>-</v>
      </c>
      <c r="F22" s="23" t="str">
        <f t="shared" si="1"/>
        <v>-</v>
      </c>
      <c r="G22" s="23" t="str">
        <f t="shared" si="1"/>
        <v>-</v>
      </c>
      <c r="H22" s="23" t="str">
        <f t="shared" si="1"/>
        <v>-</v>
      </c>
      <c r="I22" s="22">
        <f>IF(A22="*","",0)</f>
        <v>0</v>
      </c>
      <c r="J22" s="6">
        <f>'[3]TS BYDem'!$J10</f>
        <v>2.5043970166379772</v>
      </c>
      <c r="K22" s="6">
        <f>L$6/K$6*J22</f>
        <v>2.6216187866956937</v>
      </c>
      <c r="L22" s="6">
        <f t="shared" ref="L22:AP22" si="2">L$6/K$6*K22*L$17</f>
        <v>2.7443272840111796</v>
      </c>
      <c r="M22" s="6">
        <f t="shared" si="2"/>
        <v>2.8560003953561792</v>
      </c>
      <c r="N22" s="6">
        <f t="shared" si="2"/>
        <v>2.8175869478424151</v>
      </c>
      <c r="O22" s="6">
        <f t="shared" si="2"/>
        <v>2.7860826639088394</v>
      </c>
      <c r="P22" s="6">
        <f t="shared" si="2"/>
        <v>2.8831489022500709</v>
      </c>
      <c r="Q22" s="6">
        <f t="shared" si="2"/>
        <v>2.8392531836346357</v>
      </c>
      <c r="R22" s="6">
        <f t="shared" si="2"/>
        <v>2.7947566681861411</v>
      </c>
      <c r="S22" s="6">
        <f t="shared" si="2"/>
        <v>2.6932971030031596</v>
      </c>
      <c r="T22" s="6">
        <f t="shared" si="2"/>
        <v>2.7604670406626268</v>
      </c>
      <c r="U22" s="6">
        <f t="shared" si="2"/>
        <v>2.8377385902986134</v>
      </c>
      <c r="V22" s="6">
        <f t="shared" si="2"/>
        <v>2.9043858584662718</v>
      </c>
      <c r="W22" s="6">
        <f t="shared" si="2"/>
        <v>2.9709695145787522</v>
      </c>
      <c r="X22" s="6">
        <f t="shared" si="2"/>
        <v>3.0406899079371059</v>
      </c>
      <c r="Y22" s="6">
        <f t="shared" si="2"/>
        <v>3.1107065320080189</v>
      </c>
      <c r="Z22" s="6">
        <f t="shared" si="2"/>
        <v>3.1792814057691574</v>
      </c>
      <c r="AA22" s="6">
        <f t="shared" si="2"/>
        <v>3.2445164287683839</v>
      </c>
      <c r="AB22" s="6">
        <f t="shared" si="2"/>
        <v>3.3092649501076625</v>
      </c>
      <c r="AC22" s="6">
        <f t="shared" si="2"/>
        <v>3.3670023630262773</v>
      </c>
      <c r="AD22" s="6">
        <f t="shared" si="2"/>
        <v>3.4447922318941062</v>
      </c>
      <c r="AE22" s="6">
        <f t="shared" si="2"/>
        <v>3.5179527868061302</v>
      </c>
      <c r="AF22" s="6">
        <f t="shared" si="2"/>
        <v>3.5860481563463757</v>
      </c>
      <c r="AG22" s="6">
        <f t="shared" si="2"/>
        <v>3.6495812943031343</v>
      </c>
      <c r="AH22" s="6">
        <f t="shared" si="2"/>
        <v>3.7223778585858747</v>
      </c>
      <c r="AI22" s="6">
        <f t="shared" si="2"/>
        <v>3.7933249973773706</v>
      </c>
      <c r="AJ22" s="6">
        <f t="shared" si="2"/>
        <v>3.8667979580880907</v>
      </c>
      <c r="AK22" s="6">
        <f t="shared" si="2"/>
        <v>3.9378999098177072</v>
      </c>
      <c r="AL22" s="6">
        <f t="shared" si="2"/>
        <v>4.0108496212054234</v>
      </c>
      <c r="AM22" s="6">
        <f t="shared" si="2"/>
        <v>4.0876471778445325</v>
      </c>
      <c r="AN22" s="6">
        <f t="shared" si="2"/>
        <v>4.5084723242376166</v>
      </c>
      <c r="AO22" s="6">
        <f t="shared" si="2"/>
        <v>4.981462291318266</v>
      </c>
      <c r="AP22" s="6">
        <f t="shared" si="2"/>
        <v>4.981462291318266</v>
      </c>
      <c r="AQ22" s="6"/>
      <c r="AR22" s="6"/>
      <c r="AS22" s="6"/>
      <c r="AT22" s="6"/>
      <c r="AU22" s="6"/>
      <c r="AV22" s="6"/>
    </row>
    <row r="23" spans="1:48">
      <c r="A23" s="4" t="str">
        <f>IF('[3]TS BYDem'!$A11="*","*", "")</f>
        <v/>
      </c>
      <c r="B23" s="22" t="str">
        <f>IF(A23="*","","COM_PROJ")</f>
        <v>COM_PROJ</v>
      </c>
      <c r="C23" s="23" t="str">
        <f>IF($A23="*","","-")</f>
        <v>-</v>
      </c>
      <c r="D23" s="22" t="str">
        <f>AGR!B10</f>
        <v>AP</v>
      </c>
      <c r="E23" s="23" t="str">
        <f t="shared" si="1"/>
        <v>-</v>
      </c>
      <c r="F23" s="23" t="str">
        <f t="shared" si="1"/>
        <v>-</v>
      </c>
      <c r="G23" s="23" t="str">
        <f t="shared" si="1"/>
        <v>-</v>
      </c>
      <c r="H23" s="23" t="str">
        <f t="shared" si="1"/>
        <v>-</v>
      </c>
      <c r="I23" s="22">
        <f>IF(A23="*","",0)</f>
        <v>0</v>
      </c>
      <c r="J23" s="6">
        <f>'[3]TS BYDem'!$J11</f>
        <v>3.8349683201390801</v>
      </c>
      <c r="K23" s="6">
        <f>L$6/K$6*J23</f>
        <v>4.014469322422439</v>
      </c>
      <c r="L23" s="6">
        <f t="shared" ref="L23:AP23" si="3">L$6/K$6*K23*L$17</f>
        <v>4.2023721176623461</v>
      </c>
      <c r="M23" s="6">
        <f t="shared" si="3"/>
        <v>4.3733764917189628</v>
      </c>
      <c r="N23" s="6">
        <f t="shared" si="3"/>
        <v>4.3145542070317005</v>
      </c>
      <c r="O23" s="6">
        <f t="shared" si="3"/>
        <v>4.266311883617611</v>
      </c>
      <c r="P23" s="6">
        <f t="shared" si="3"/>
        <v>4.4149488395477903</v>
      </c>
      <c r="Q23" s="6">
        <f t="shared" si="3"/>
        <v>4.3477315855894227</v>
      </c>
      <c r="R23" s="6">
        <f t="shared" si="3"/>
        <v>4.2795943349986052</v>
      </c>
      <c r="S23" s="6">
        <f t="shared" si="3"/>
        <v>4.124229903693637</v>
      </c>
      <c r="T23" s="6">
        <f t="shared" si="3"/>
        <v>4.2270868314404924</v>
      </c>
      <c r="U23" s="6">
        <f t="shared" si="3"/>
        <v>4.3454122977836347</v>
      </c>
      <c r="V23" s="6">
        <f t="shared" si="3"/>
        <v>4.4474688648330156</v>
      </c>
      <c r="W23" s="6">
        <f t="shared" si="3"/>
        <v>4.5494280231190238</v>
      </c>
      <c r="X23" s="6">
        <f t="shared" si="3"/>
        <v>4.6561904485733789</v>
      </c>
      <c r="Y23" s="6">
        <f t="shared" si="3"/>
        <v>4.7634064903635505</v>
      </c>
      <c r="Z23" s="6">
        <f t="shared" si="3"/>
        <v>4.8684147884426396</v>
      </c>
      <c r="AA23" s="6">
        <f t="shared" si="3"/>
        <v>4.9683087928291423</v>
      </c>
      <c r="AB23" s="6">
        <f t="shared" si="3"/>
        <v>5.0674578201049068</v>
      </c>
      <c r="AC23" s="6">
        <f t="shared" si="3"/>
        <v>5.155870778577011</v>
      </c>
      <c r="AD23" s="6">
        <f t="shared" si="3"/>
        <v>5.2749899440903043</v>
      </c>
      <c r="AE23" s="6">
        <f t="shared" si="3"/>
        <v>5.3870202685586097</v>
      </c>
      <c r="AF23" s="6">
        <f t="shared" si="3"/>
        <v>5.4912943046639464</v>
      </c>
      <c r="AG23" s="6">
        <f t="shared" si="3"/>
        <v>5.588582222563752</v>
      </c>
      <c r="AH23" s="6">
        <f t="shared" si="3"/>
        <v>5.7000551703370457</v>
      </c>
      <c r="AI23" s="6">
        <f t="shared" si="3"/>
        <v>5.808696103808189</v>
      </c>
      <c r="AJ23" s="6">
        <f t="shared" si="3"/>
        <v>5.9212048134259208</v>
      </c>
      <c r="AK23" s="6">
        <f t="shared" si="3"/>
        <v>6.0300828110323819</v>
      </c>
      <c r="AL23" s="6">
        <f t="shared" si="3"/>
        <v>6.1417902720605628</v>
      </c>
      <c r="AM23" s="6">
        <f t="shared" si="3"/>
        <v>6.2593899157346478</v>
      </c>
      <c r="AN23" s="6">
        <f t="shared" si="3"/>
        <v>6.9037969702127269</v>
      </c>
      <c r="AO23" s="6">
        <f t="shared" si="3"/>
        <v>7.6280837056812851</v>
      </c>
      <c r="AP23" s="6">
        <f t="shared" si="3"/>
        <v>7.6280837056812851</v>
      </c>
      <c r="AQ23" s="6"/>
      <c r="AR23" s="6"/>
      <c r="AS23" s="6"/>
      <c r="AT23" s="6"/>
      <c r="AU23" s="6"/>
      <c r="AV23" s="6"/>
    </row>
    <row r="24" spans="1:48">
      <c r="A24" s="4" t="str">
        <f>IF('[3]TS BYDem'!$A12="*","*", "")</f>
        <v/>
      </c>
      <c r="B24" s="22" t="str">
        <f>IF(A24="*","","COM_PROJ")</f>
        <v>COM_PROJ</v>
      </c>
      <c r="C24" s="23" t="str">
        <f>IF($A24="*","","-")</f>
        <v>-</v>
      </c>
      <c r="D24" s="22" t="str">
        <f>AGR!B11</f>
        <v>AT</v>
      </c>
      <c r="E24" s="23" t="str">
        <f t="shared" si="1"/>
        <v>-</v>
      </c>
      <c r="F24" s="23" t="str">
        <f t="shared" si="1"/>
        <v>-</v>
      </c>
      <c r="G24" s="23" t="str">
        <f t="shared" si="1"/>
        <v>-</v>
      </c>
      <c r="H24" s="23" t="str">
        <f t="shared" si="1"/>
        <v>-</v>
      </c>
      <c r="I24" s="22">
        <f>IF(A24="*","",0)</f>
        <v>0</v>
      </c>
      <c r="J24" s="6">
        <f>'[3]TS BYDem'!$J12</f>
        <v>14.570390350961301</v>
      </c>
      <c r="K24" s="6">
        <f>L$6/K$6*J24</f>
        <v>15.25237764611645</v>
      </c>
      <c r="L24" s="6">
        <f t="shared" ref="L24:AP24" si="4">L$6/K$6*K24*L$17</f>
        <v>15.966286300929774</v>
      </c>
      <c r="M24" s="6">
        <f t="shared" si="4"/>
        <v>16.615991923957282</v>
      </c>
      <c r="N24" s="6">
        <f t="shared" si="4"/>
        <v>16.392505423500946</v>
      </c>
      <c r="O24" s="6">
        <f t="shared" si="4"/>
        <v>16.209215908463932</v>
      </c>
      <c r="P24" s="6">
        <f t="shared" si="4"/>
        <v>16.773939861229938</v>
      </c>
      <c r="Q24" s="6">
        <f t="shared" si="4"/>
        <v>16.518557926690882</v>
      </c>
      <c r="R24" s="6">
        <f t="shared" si="4"/>
        <v>16.259680602115363</v>
      </c>
      <c r="S24" s="6">
        <f t="shared" si="4"/>
        <v>15.669396609707727</v>
      </c>
      <c r="T24" s="6">
        <f t="shared" si="4"/>
        <v>16.060186171045736</v>
      </c>
      <c r="U24" s="6">
        <f t="shared" si="4"/>
        <v>16.509746138471122</v>
      </c>
      <c r="V24" s="6">
        <f t="shared" si="4"/>
        <v>16.897494848670274</v>
      </c>
      <c r="W24" s="6">
        <f t="shared" si="4"/>
        <v>17.284873468796324</v>
      </c>
      <c r="X24" s="6">
        <f t="shared" si="4"/>
        <v>17.690501386376862</v>
      </c>
      <c r="Y24" s="6">
        <f t="shared" si="4"/>
        <v>18.097852751592608</v>
      </c>
      <c r="Z24" s="6">
        <f t="shared" si="4"/>
        <v>18.49681612374556</v>
      </c>
      <c r="AA24" s="6">
        <f t="shared" si="4"/>
        <v>18.876348499538224</v>
      </c>
      <c r="AB24" s="6">
        <f t="shared" si="4"/>
        <v>19.253050445872322</v>
      </c>
      <c r="AC24" s="6">
        <f t="shared" si="4"/>
        <v>19.588962299500142</v>
      </c>
      <c r="AD24" s="6">
        <f t="shared" si="4"/>
        <v>20.041537808584533</v>
      </c>
      <c r="AE24" s="6">
        <f t="shared" si="4"/>
        <v>20.467180323041827</v>
      </c>
      <c r="AF24" s="6">
        <f t="shared" si="4"/>
        <v>20.863353976301596</v>
      </c>
      <c r="AG24" s="6">
        <f t="shared" si="4"/>
        <v>21.232984915047144</v>
      </c>
      <c r="AH24" s="6">
        <f t="shared" si="4"/>
        <v>21.656509759854806</v>
      </c>
      <c r="AI24" s="6">
        <f t="shared" si="4"/>
        <v>22.06927478856565</v>
      </c>
      <c r="AJ24" s="6">
        <f t="shared" si="4"/>
        <v>22.496734856072504</v>
      </c>
      <c r="AK24" s="6">
        <f t="shared" si="4"/>
        <v>22.910400574619988</v>
      </c>
      <c r="AL24" s="6">
        <f t="shared" si="4"/>
        <v>23.334816417574427</v>
      </c>
      <c r="AM24" s="6">
        <f t="shared" si="4"/>
        <v>23.781618729986551</v>
      </c>
      <c r="AN24" s="6">
        <f t="shared" si="4"/>
        <v>26.229947254462679</v>
      </c>
      <c r="AO24" s="6">
        <f t="shared" si="4"/>
        <v>28.981766717059344</v>
      </c>
      <c r="AP24" s="6">
        <f t="shared" si="4"/>
        <v>28.981766717059344</v>
      </c>
      <c r="AQ24" s="6"/>
      <c r="AR24" s="6"/>
      <c r="AS24" s="6"/>
      <c r="AT24" s="6"/>
      <c r="AU24" s="6"/>
      <c r="AV24" s="6"/>
    </row>
    <row r="25" spans="1:48">
      <c r="A25" s="4" t="str">
        <f>IF('[3]TS BYDem'!$A13="*","*", "")</f>
        <v/>
      </c>
      <c r="B25" s="22" t="str">
        <f>IF(A25="*","","COM_PROJ")</f>
        <v>COM_PROJ</v>
      </c>
      <c r="C25" s="23" t="str">
        <f>IF($A25="*","","-")</f>
        <v>-</v>
      </c>
      <c r="D25" s="22" t="str">
        <f>AGR!B12</f>
        <v>AI</v>
      </c>
      <c r="E25" s="23" t="str">
        <f t="shared" si="1"/>
        <v>-</v>
      </c>
      <c r="F25" s="23" t="str">
        <f t="shared" si="1"/>
        <v>-</v>
      </c>
      <c r="G25" s="23" t="str">
        <f t="shared" si="1"/>
        <v>-</v>
      </c>
      <c r="H25" s="23" t="str">
        <f t="shared" si="1"/>
        <v>-</v>
      </c>
      <c r="I25" s="22">
        <f>IF(A25="*","",0)</f>
        <v>0</v>
      </c>
      <c r="J25" s="6">
        <f>'[3]TS BYDem'!$J13</f>
        <v>5.0203080915278155</v>
      </c>
      <c r="K25" s="6">
        <f>L$6/K$6*J25</f>
        <v>5.2552905630825792</v>
      </c>
      <c r="L25" s="6">
        <f t="shared" ref="L25:AP25" si="5">L$6/K$6*K25*L$17</f>
        <v>5.5012717145851271</v>
      </c>
      <c r="M25" s="6">
        <f t="shared" si="5"/>
        <v>5.7251313585500476</v>
      </c>
      <c r="N25" s="6">
        <f t="shared" si="5"/>
        <v>5.6481278562715964</v>
      </c>
      <c r="O25" s="6">
        <f t="shared" si="5"/>
        <v>5.5849744462895625</v>
      </c>
      <c r="P25" s="6">
        <f t="shared" si="5"/>
        <v>5.7795531886060783</v>
      </c>
      <c r="Q25" s="6">
        <f t="shared" si="5"/>
        <v>5.691559939179383</v>
      </c>
      <c r="R25" s="6">
        <f t="shared" si="5"/>
        <v>5.6023623339008255</v>
      </c>
      <c r="S25" s="6">
        <f t="shared" si="5"/>
        <v>5.3989767394175665</v>
      </c>
      <c r="T25" s="6">
        <f t="shared" si="5"/>
        <v>5.533625431018363</v>
      </c>
      <c r="U25" s="6">
        <f t="shared" si="5"/>
        <v>5.6885237891082507</v>
      </c>
      <c r="V25" s="6">
        <f t="shared" si="5"/>
        <v>5.8221247387330388</v>
      </c>
      <c r="W25" s="6">
        <f t="shared" si="5"/>
        <v>5.9555981717886866</v>
      </c>
      <c r="X25" s="6">
        <f t="shared" si="5"/>
        <v>6.0953595006020089</v>
      </c>
      <c r="Y25" s="6">
        <f t="shared" si="5"/>
        <v>6.2357146527721481</v>
      </c>
      <c r="Z25" s="6">
        <f t="shared" si="5"/>
        <v>6.3731796758221693</v>
      </c>
      <c r="AA25" s="6">
        <f t="shared" si="5"/>
        <v>6.5039496422605065</v>
      </c>
      <c r="AB25" s="6">
        <f t="shared" si="5"/>
        <v>6.6337443686695066</v>
      </c>
      <c r="AC25" s="6">
        <f t="shared" si="5"/>
        <v>6.7494846444059489</v>
      </c>
      <c r="AD25" s="6">
        <f t="shared" si="5"/>
        <v>6.9054220239514308</v>
      </c>
      <c r="AE25" s="6">
        <f t="shared" si="5"/>
        <v>7.0520794921425427</v>
      </c>
      <c r="AF25" s="6">
        <f t="shared" si="5"/>
        <v>7.1885833022123213</v>
      </c>
      <c r="AG25" s="6">
        <f t="shared" si="5"/>
        <v>7.315941674086063</v>
      </c>
      <c r="AH25" s="6">
        <f t="shared" si="5"/>
        <v>7.461869487558177</v>
      </c>
      <c r="AI25" s="6">
        <f t="shared" si="5"/>
        <v>7.604089947245452</v>
      </c>
      <c r="AJ25" s="6">
        <f t="shared" si="5"/>
        <v>7.7513736633312122</v>
      </c>
      <c r="AK25" s="6">
        <f t="shared" si="5"/>
        <v>7.8939044606529594</v>
      </c>
      <c r="AL25" s="6">
        <f t="shared" si="5"/>
        <v>8.0401392724345246</v>
      </c>
      <c r="AM25" s="6">
        <f t="shared" si="5"/>
        <v>8.1940874653302576</v>
      </c>
      <c r="AN25" s="6">
        <f t="shared" si="5"/>
        <v>9.0376725173487795</v>
      </c>
      <c r="AO25" s="6">
        <f t="shared" si="5"/>
        <v>9.9858270404419986</v>
      </c>
      <c r="AP25" s="6">
        <f t="shared" si="5"/>
        <v>9.9858270404419986</v>
      </c>
      <c r="AQ25" s="6"/>
      <c r="AR25" s="6"/>
      <c r="AS25" s="6"/>
      <c r="AT25" s="6"/>
      <c r="AU25" s="6"/>
      <c r="AV25" s="6"/>
    </row>
    <row r="26" spans="1:48">
      <c r="A26" s="4" t="str">
        <f>IF('[3]TS BYDem'!$A14="*","*", "")</f>
        <v/>
      </c>
      <c r="B26" s="22" t="str">
        <f>IF(A26="*","","COM_PROJ")</f>
        <v>COM_PROJ</v>
      </c>
      <c r="C26" s="23" t="str">
        <f>IF($A26="*","","-")</f>
        <v>-</v>
      </c>
      <c r="D26" s="22" t="str">
        <f>AGR!B13</f>
        <v>AO</v>
      </c>
      <c r="E26" s="23" t="str">
        <f t="shared" si="1"/>
        <v>-</v>
      </c>
      <c r="F26" s="23" t="str">
        <f t="shared" si="1"/>
        <v>-</v>
      </c>
      <c r="G26" s="23" t="str">
        <f t="shared" si="1"/>
        <v>-</v>
      </c>
      <c r="H26" s="23" t="str">
        <f t="shared" si="1"/>
        <v>-</v>
      </c>
      <c r="I26" s="22">
        <f>IF(A26="*","",0)</f>
        <v>0</v>
      </c>
      <c r="J26" s="6">
        <f>'[3]TS BYDem'!$J14</f>
        <v>8.4310585921569263</v>
      </c>
      <c r="K26" s="6">
        <f>L$6/K$6*J26</f>
        <v>8.8256859635629592</v>
      </c>
      <c r="L26" s="6">
        <f t="shared" ref="L26:AP26" si="6">L$6/K$6*K26*L$17</f>
        <v>9.2387844155053909</v>
      </c>
      <c r="M26" s="6">
        <f t="shared" si="6"/>
        <v>9.6147322139826858</v>
      </c>
      <c r="N26" s="6">
        <f t="shared" si="6"/>
        <v>9.4854132503504491</v>
      </c>
      <c r="O26" s="6">
        <f t="shared" si="6"/>
        <v>9.3793540025621347</v>
      </c>
      <c r="P26" s="6">
        <f t="shared" si="6"/>
        <v>9.7061277278693989</v>
      </c>
      <c r="Q26" s="6">
        <f t="shared" si="6"/>
        <v>9.5583526853610081</v>
      </c>
      <c r="R26" s="6">
        <f t="shared" si="6"/>
        <v>9.4085550588661881</v>
      </c>
      <c r="S26" s="6">
        <f t="shared" si="6"/>
        <v>9.0669911881581697</v>
      </c>
      <c r="T26" s="6">
        <f t="shared" si="6"/>
        <v>9.2931189451696117</v>
      </c>
      <c r="U26" s="6">
        <f t="shared" si="6"/>
        <v>9.5532538032450862</v>
      </c>
      <c r="V26" s="6">
        <f t="shared" si="6"/>
        <v>9.7776219921527119</v>
      </c>
      <c r="W26" s="6">
        <f t="shared" si="6"/>
        <v>10.001776030923274</v>
      </c>
      <c r="X26" s="6">
        <f t="shared" si="6"/>
        <v>10.236489903191666</v>
      </c>
      <c r="Y26" s="6">
        <f t="shared" si="6"/>
        <v>10.472201036867812</v>
      </c>
      <c r="Z26" s="6">
        <f t="shared" si="6"/>
        <v>10.703058514651456</v>
      </c>
      <c r="AA26" s="6">
        <f t="shared" si="6"/>
        <v>10.922672376796017</v>
      </c>
      <c r="AB26" s="6">
        <f t="shared" si="6"/>
        <v>11.140648429929886</v>
      </c>
      <c r="AC26" s="6">
        <f t="shared" si="6"/>
        <v>11.335021569668681</v>
      </c>
      <c r="AD26" s="6">
        <f t="shared" si="6"/>
        <v>11.596901350687313</v>
      </c>
      <c r="AE26" s="6">
        <f t="shared" si="6"/>
        <v>11.843196535116993</v>
      </c>
      <c r="AF26" s="6">
        <f t="shared" si="6"/>
        <v>12.072439760785386</v>
      </c>
      <c r="AG26" s="6">
        <f t="shared" si="6"/>
        <v>12.286324222832903</v>
      </c>
      <c r="AH26" s="6">
        <f t="shared" si="6"/>
        <v>12.531394031931875</v>
      </c>
      <c r="AI26" s="6">
        <f t="shared" si="6"/>
        <v>12.77023774565742</v>
      </c>
      <c r="AJ26" s="6">
        <f t="shared" si="6"/>
        <v>13.017584644961314</v>
      </c>
      <c r="AK26" s="6">
        <f t="shared" si="6"/>
        <v>13.256949536816146</v>
      </c>
      <c r="AL26" s="6">
        <f t="shared" si="6"/>
        <v>13.502534916013106</v>
      </c>
      <c r="AM26" s="6">
        <f t="shared" si="6"/>
        <v>13.761074075522259</v>
      </c>
      <c r="AN26" s="6">
        <f t="shared" si="6"/>
        <v>15.177782945051309</v>
      </c>
      <c r="AO26" s="6">
        <f t="shared" si="6"/>
        <v>16.770104809143273</v>
      </c>
      <c r="AP26" s="6">
        <f t="shared" si="6"/>
        <v>16.770104809143273</v>
      </c>
      <c r="AQ26" s="6"/>
      <c r="AR26" s="6"/>
      <c r="AS26" s="6"/>
      <c r="AT26" s="6"/>
      <c r="AU26" s="6"/>
      <c r="AV26" s="6"/>
    </row>
  </sheetData>
  <mergeCells count="4">
    <mergeCell ref="B4:C4"/>
    <mergeCell ref="B16:C16"/>
    <mergeCell ref="B8:C8"/>
    <mergeCell ref="B2:C2"/>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6"/>
  <dimension ref="A1:G164"/>
  <sheetViews>
    <sheetView workbookViewId="0"/>
    <sheetView workbookViewId="1"/>
  </sheetViews>
  <sheetFormatPr defaultColWidth="9" defaultRowHeight="11.25"/>
  <cols>
    <col min="1" max="1" width="12.140625" style="18" customWidth="1"/>
    <col min="2" max="2" width="9" style="18"/>
    <col min="3" max="3" width="10.85546875" style="18" customWidth="1"/>
    <col min="4" max="4" width="27" style="18" customWidth="1"/>
    <col min="5" max="5" width="10" style="18" customWidth="1"/>
    <col min="6" max="6" width="28.140625" style="18" customWidth="1"/>
    <col min="7" max="16384" width="9"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A9" s="27" t="str">
        <f>[4]ITEMS_Comm!A35</f>
        <v>*</v>
      </c>
      <c r="B9" s="19" t="str">
        <f>[4]ITEMS_Comm!B35</f>
        <v>E</v>
      </c>
      <c r="C9" s="27" t="str">
        <f>[4]ITEMS_Comm!C35</f>
        <v/>
      </c>
      <c r="D9" s="27" t="str">
        <f>[4]ITEMS_Comm!D35</f>
        <v/>
      </c>
      <c r="E9" s="19" t="str">
        <f>[4]ITEMS_Comm!E35</f>
        <v>PJ</v>
      </c>
      <c r="F9" s="19" t="str">
        <f>[4]ITEMS_Comm!F35</f>
        <v>COM,NRG,ANNUAL,FOSSIL</v>
      </c>
    </row>
    <row r="10" spans="1:7">
      <c r="A10" s="27" t="str">
        <f>[4]ITEMS_Comm!A36</f>
        <v>*</v>
      </c>
      <c r="B10" s="19" t="str">
        <f>[4]ITEMS_Comm!B36</f>
        <v>Demand Commodities</v>
      </c>
      <c r="C10" s="27">
        <f>[4]ITEMS_Comm!C36</f>
        <v>0</v>
      </c>
      <c r="D10" s="27">
        <f>[4]ITEMS_Comm!D36</f>
        <v>0</v>
      </c>
      <c r="E10" s="19">
        <f>[4]ITEMS_Comm!E36</f>
        <v>0</v>
      </c>
      <c r="F10" s="19">
        <f>[4]ITEMS_Comm!F36</f>
        <v>0</v>
      </c>
    </row>
    <row r="11" spans="1:7">
      <c r="A11" s="27" t="str">
        <f>[4]ITEMS_Comm!A37</f>
        <v/>
      </c>
      <c r="B11" s="19" t="str">
        <f>[4]ITEMS_Comm!B37</f>
        <v>E</v>
      </c>
      <c r="C11" s="27" t="str">
        <f>[4]ITEMS_Comm!C37</f>
        <v>IMIK</v>
      </c>
      <c r="D11" s="27" t="str">
        <f>[4]ITEMS_Comm!D37</f>
        <v>Industry-Mining-Elec Heating - Electricity</v>
      </c>
      <c r="E11" s="19" t="str">
        <f>[4]ITEMS_Comm!E37</f>
        <v>PJ</v>
      </c>
      <c r="F11" s="19" t="str">
        <f>[4]ITEMS_Comm!F37</f>
        <v>COM,DEM,ANNUAL,RES</v>
      </c>
    </row>
    <row r="12" spans="1:7">
      <c r="A12" s="27" t="str">
        <f>[4]ITEMS_Comm!A38</f>
        <v/>
      </c>
      <c r="B12" s="19" t="str">
        <f>[4]ITEMS_Comm!B38</f>
        <v>E</v>
      </c>
      <c r="C12" s="27" t="str">
        <f>[4]ITEMS_Comm!C38</f>
        <v>IMIA</v>
      </c>
      <c r="D12" s="27" t="str">
        <f>[4]ITEMS_Comm!D38</f>
        <v>Industry-Mining-Compressed air - Electricity</v>
      </c>
      <c r="E12" s="19" t="str">
        <f>[4]ITEMS_Comm!E38</f>
        <v>PJ</v>
      </c>
      <c r="F12" s="19" t="str">
        <f>[4]ITEMS_Comm!F38</f>
        <v>COM,DEM,ANNUAL,RES</v>
      </c>
    </row>
    <row r="13" spans="1:7">
      <c r="A13" s="27" t="str">
        <f>[4]ITEMS_Comm!A39</f>
        <v/>
      </c>
      <c r="B13" s="19" t="str">
        <f>[4]ITEMS_Comm!B39</f>
        <v>E</v>
      </c>
      <c r="C13" s="27" t="str">
        <f>[4]ITEMS_Comm!C39</f>
        <v>IMIL</v>
      </c>
      <c r="D13" s="27" t="str">
        <f>[4]ITEMS_Comm!D39</f>
        <v>Industry-Mining-Lighting - Electricity</v>
      </c>
      <c r="E13" s="19" t="str">
        <f>[4]ITEMS_Comm!E39</f>
        <v>PJ</v>
      </c>
      <c r="F13" s="19" t="str">
        <f>[4]ITEMS_Comm!F39</f>
        <v>COM,DEM,ANNUAL,RES</v>
      </c>
    </row>
    <row r="14" spans="1:7">
      <c r="A14" s="27" t="str">
        <f>[4]ITEMS_Comm!A40</f>
        <v/>
      </c>
      <c r="B14" s="19" t="str">
        <f>[4]ITEMS_Comm!B40</f>
        <v>E</v>
      </c>
      <c r="C14" s="27" t="str">
        <f>[4]ITEMS_Comm!C40</f>
        <v>IMIC</v>
      </c>
      <c r="D14" s="27" t="str">
        <f>[4]ITEMS_Comm!D40</f>
        <v>Industry-Mining-Cooling - Electricity</v>
      </c>
      <c r="E14" s="19" t="str">
        <f>[4]ITEMS_Comm!E40</f>
        <v>PJ</v>
      </c>
      <c r="F14" s="19" t="str">
        <f>[4]ITEMS_Comm!F40</f>
        <v>COM,DEM,ANNUAL,RES</v>
      </c>
    </row>
    <row r="15" spans="1:7">
      <c r="A15" s="27" t="str">
        <f>[4]ITEMS_Comm!A41</f>
        <v/>
      </c>
      <c r="B15" s="19" t="str">
        <f>[4]ITEMS_Comm!B41</f>
        <v>E</v>
      </c>
      <c r="C15" s="27" t="str">
        <f>[4]ITEMS_Comm!C41</f>
        <v>IMIH</v>
      </c>
      <c r="D15" s="27" t="str">
        <f>[4]ITEMS_Comm!D41</f>
        <v>Industry-Mining-HVAC - Electricity</v>
      </c>
      <c r="E15" s="19" t="str">
        <f>[4]ITEMS_Comm!E41</f>
        <v>PJ</v>
      </c>
      <c r="F15" s="19" t="str">
        <f>[4]ITEMS_Comm!F41</f>
        <v>COM,DEM,ANNUAL,RES</v>
      </c>
    </row>
    <row r="16" spans="1:7">
      <c r="A16" s="27" t="str">
        <f>[4]ITEMS_Comm!A42</f>
        <v/>
      </c>
      <c r="B16" s="19" t="str">
        <f>[4]ITEMS_Comm!B42</f>
        <v>E</v>
      </c>
      <c r="C16" s="27" t="str">
        <f>[4]ITEMS_Comm!C42</f>
        <v>IMIP</v>
      </c>
      <c r="D16" s="27" t="str">
        <f>[4]ITEMS_Comm!D42</f>
        <v>Industry-Mining-Pumping - Electricity</v>
      </c>
      <c r="E16" s="19" t="str">
        <f>[4]ITEMS_Comm!E42</f>
        <v>PJ</v>
      </c>
      <c r="F16" s="19" t="str">
        <f>[4]ITEMS_Comm!F42</f>
        <v>COM,DEM,ANNUAL,RES</v>
      </c>
    </row>
    <row r="17" spans="1:6">
      <c r="A17" s="27" t="str">
        <f>[4]ITEMS_Comm!A43</f>
        <v/>
      </c>
      <c r="B17" s="19" t="str">
        <f>[4]ITEMS_Comm!B43</f>
        <v>E</v>
      </c>
      <c r="C17" s="27" t="str">
        <f>[4]ITEMS_Comm!C43</f>
        <v>IMIF</v>
      </c>
      <c r="D17" s="27" t="str">
        <f>[4]ITEMS_Comm!D43</f>
        <v>Industry-Mining-Fans - Electricity</v>
      </c>
      <c r="E17" s="19" t="str">
        <f>[4]ITEMS_Comm!E43</f>
        <v>PJ</v>
      </c>
      <c r="F17" s="19" t="str">
        <f>[4]ITEMS_Comm!F43</f>
        <v>COM,DEM,ANNUAL,RES</v>
      </c>
    </row>
    <row r="18" spans="1:6">
      <c r="A18" s="27" t="str">
        <f>[4]ITEMS_Comm!A44</f>
        <v/>
      </c>
      <c r="B18" s="19" t="str">
        <f>[4]ITEMS_Comm!B44</f>
        <v>E</v>
      </c>
      <c r="C18" s="27" t="str">
        <f>[4]ITEMS_Comm!C44</f>
        <v>IMIO</v>
      </c>
      <c r="D18" s="27" t="str">
        <f>[4]ITEMS_Comm!D44</f>
        <v>Industry-Mining-Other motive - Electricity</v>
      </c>
      <c r="E18" s="19" t="str">
        <f>[4]ITEMS_Comm!E44</f>
        <v>PJ</v>
      </c>
      <c r="F18" s="19" t="str">
        <f>[4]ITEMS_Comm!F44</f>
        <v>COM,DEM,ANNUAL,RES</v>
      </c>
    </row>
    <row r="19" spans="1:6">
      <c r="A19" s="27" t="str">
        <f>[4]ITEMS_Comm!A45</f>
        <v/>
      </c>
      <c r="B19" s="19" t="str">
        <f>[4]ITEMS_Comm!B45</f>
        <v>E</v>
      </c>
      <c r="C19" s="27" t="str">
        <f>[4]ITEMS_Comm!C45</f>
        <v>IMIE</v>
      </c>
      <c r="D19" s="27" t="str">
        <f>[4]ITEMS_Comm!D45</f>
        <v>Industry-Mining-Electrochemical - Electricity</v>
      </c>
      <c r="E19" s="19" t="str">
        <f>[4]ITEMS_Comm!E45</f>
        <v>PJ</v>
      </c>
      <c r="F19" s="19" t="str">
        <f>[4]ITEMS_Comm!F45</f>
        <v>COM,DEM,ANNUAL,RES</v>
      </c>
    </row>
    <row r="20" spans="1:6">
      <c r="A20" s="27" t="str">
        <f>[4]ITEMS_Comm!A46</f>
        <v>*</v>
      </c>
      <c r="B20" s="19" t="str">
        <f>[4]ITEMS_Comm!B46</f>
        <v>E</v>
      </c>
      <c r="C20" s="27">
        <f>[4]ITEMS_Comm!C46</f>
        <v>0</v>
      </c>
      <c r="D20" s="27" t="str">
        <f>[4]ITEMS_Comm!D46</f>
        <v/>
      </c>
      <c r="E20" s="19" t="str">
        <f>[4]ITEMS_Comm!E46</f>
        <v>PJ</v>
      </c>
      <c r="F20" s="19" t="str">
        <f>[4]ITEMS_Comm!F46</f>
        <v>COM,DEM,ANNUAL,RES</v>
      </c>
    </row>
    <row r="21" spans="1:6">
      <c r="A21" s="27" t="str">
        <f>[4]ITEMS_Comm!A47</f>
        <v/>
      </c>
      <c r="B21" s="19" t="str">
        <f>[4]ITEMS_Comm!B47</f>
        <v>E</v>
      </c>
      <c r="C21" s="27" t="str">
        <f>[4]ITEMS_Comm!C47</f>
        <v>IMIS</v>
      </c>
      <c r="D21" s="27" t="str">
        <f>[4]ITEMS_Comm!D47</f>
        <v>Industry-Mining-boiler/process heating - Coal - Existing</v>
      </c>
      <c r="E21" s="19" t="str">
        <f>[4]ITEMS_Comm!E47</f>
        <v>PJ</v>
      </c>
      <c r="F21" s="19" t="str">
        <f>[4]ITEMS_Comm!F47</f>
        <v>COM,DEM,ANNUAL,RES</v>
      </c>
    </row>
    <row r="22" spans="1:6">
      <c r="A22" s="27" t="str">
        <f>[4]ITEMS_Comm!A48</f>
        <v/>
      </c>
      <c r="B22" s="19" t="str">
        <f>[4]ITEMS_Comm!B48</f>
        <v>E</v>
      </c>
      <c r="C22" s="27" t="str">
        <f>[4]ITEMS_Comm!C48</f>
        <v>IMIS</v>
      </c>
      <c r="D22" s="27" t="str">
        <f>[4]ITEMS_Comm!D48</f>
        <v>Industry-Mining-boiler/process heating - Gas - Existing</v>
      </c>
      <c r="E22" s="19" t="str">
        <f>[4]ITEMS_Comm!E48</f>
        <v>PJ</v>
      </c>
      <c r="F22" s="19" t="str">
        <f>[4]ITEMS_Comm!F48</f>
        <v>COM,DEM,ANNUAL,RES</v>
      </c>
    </row>
    <row r="23" spans="1:6">
      <c r="A23" s="27" t="str">
        <f>[4]ITEMS_Comm!A49</f>
        <v/>
      </c>
      <c r="B23" s="19" t="str">
        <f>[4]ITEMS_Comm!B49</f>
        <v>E</v>
      </c>
      <c r="C23" s="27" t="str">
        <f>[4]ITEMS_Comm!C49</f>
        <v>IMIS</v>
      </c>
      <c r="D23" s="27" t="str">
        <f>[4]ITEMS_Comm!D49</f>
        <v>Industry-Mining-boiler/process heating - Oil HFO - Existing</v>
      </c>
      <c r="E23" s="19" t="str">
        <f>[4]ITEMS_Comm!E49</f>
        <v>PJ</v>
      </c>
      <c r="F23" s="19" t="str">
        <f>[4]ITEMS_Comm!F49</f>
        <v>COM,DEM,ANNUAL,RES</v>
      </c>
    </row>
    <row r="24" spans="1:6">
      <c r="A24" s="27" t="str">
        <f>[4]ITEMS_Comm!A50</f>
        <v/>
      </c>
      <c r="B24" s="19" t="str">
        <f>[4]ITEMS_Comm!B50</f>
        <v>E</v>
      </c>
      <c r="C24" s="27" t="str">
        <f>[4]ITEMS_Comm!C50</f>
        <v>IMIS</v>
      </c>
      <c r="D24" s="27" t="str">
        <f>[4]ITEMS_Comm!D50</f>
        <v>Industry-Mining-boiler/process heating - Oil LPG - Existing</v>
      </c>
      <c r="E24" s="19" t="str">
        <f>[4]ITEMS_Comm!E50</f>
        <v>PJ</v>
      </c>
      <c r="F24" s="19" t="str">
        <f>[4]ITEMS_Comm!F50</f>
        <v>COM,DEM,ANNUAL,RES</v>
      </c>
    </row>
    <row r="25" spans="1:6">
      <c r="A25" s="27" t="str">
        <f>[4]ITEMS_Comm!A51</f>
        <v/>
      </c>
      <c r="B25" s="19" t="str">
        <f>[4]ITEMS_Comm!B51</f>
        <v>E</v>
      </c>
      <c r="C25" s="27" t="str">
        <f>[4]ITEMS_Comm!C51</f>
        <v>IMIS</v>
      </c>
      <c r="D25" s="27" t="str">
        <f>[4]ITEMS_Comm!D51</f>
        <v>Industry-Mining-boiler/process heating - Electricity - Existing</v>
      </c>
      <c r="E25" s="19" t="str">
        <f>[4]ITEMS_Comm!E51</f>
        <v>PJ</v>
      </c>
      <c r="F25" s="19" t="str">
        <f>[4]ITEMS_Comm!F51</f>
        <v>COM,DEM,ANNUAL,RES</v>
      </c>
    </row>
    <row r="26" spans="1:6">
      <c r="A26" s="27" t="str">
        <f>[4]ITEMS_Comm!A52</f>
        <v/>
      </c>
      <c r="B26" s="19" t="str">
        <f>[4]ITEMS_Comm!B52</f>
        <v>E</v>
      </c>
      <c r="C26" s="27" t="str">
        <f>[4]ITEMS_Comm!C52</f>
        <v>IMIS</v>
      </c>
      <c r="D26" s="27" t="str">
        <f>[4]ITEMS_Comm!D52</f>
        <v>Industry-Mining-boiler/process heating - Waste - Existing</v>
      </c>
      <c r="E26" s="19" t="str">
        <f>[4]ITEMS_Comm!E52</f>
        <v>PJ</v>
      </c>
      <c r="F26" s="19" t="str">
        <f>[4]ITEMS_Comm!F52</f>
        <v>COM,DEM,ANNUAL,RES</v>
      </c>
    </row>
    <row r="27" spans="1:6">
      <c r="A27" s="27" t="str">
        <f>[4]ITEMS_Comm!A53</f>
        <v>*</v>
      </c>
      <c r="B27" s="19" t="str">
        <f>[4]ITEMS_Comm!B53</f>
        <v>E</v>
      </c>
      <c r="C27" s="27">
        <f>[4]ITEMS_Comm!C53</f>
        <v>0</v>
      </c>
      <c r="D27" s="27" t="str">
        <f>[4]ITEMS_Comm!D53</f>
        <v/>
      </c>
      <c r="E27" s="19" t="str">
        <f>[4]ITEMS_Comm!E53</f>
        <v>PJ</v>
      </c>
      <c r="F27" s="19" t="str">
        <f>[4]ITEMS_Comm!F53</f>
        <v>COM,DEM,ANNUAL,RES</v>
      </c>
    </row>
    <row r="28" spans="1:6">
      <c r="A28" s="27" t="str">
        <f>[4]ITEMS_Comm!A54</f>
        <v/>
      </c>
      <c r="B28" s="19" t="str">
        <f>[4]ITEMS_Comm!B54</f>
        <v>E</v>
      </c>
      <c r="C28" s="27" t="str">
        <f>[4]ITEMS_Comm!C54</f>
        <v>IMIR</v>
      </c>
      <c r="D28" s="27" t="str">
        <f>[4]ITEMS_Comm!D54</f>
        <v>Industry-Mining-Transport - Oil Diesel - Existing</v>
      </c>
      <c r="E28" s="19" t="str">
        <f>[4]ITEMS_Comm!E54</f>
        <v>PJ</v>
      </c>
      <c r="F28" s="19" t="str">
        <f>[4]ITEMS_Comm!F54</f>
        <v>COM,DEM,ANNUAL,RES</v>
      </c>
    </row>
    <row r="29" spans="1:6">
      <c r="A29" s="27" t="str">
        <f>[4]ITEMS_Comm!A55</f>
        <v>*</v>
      </c>
      <c r="B29" s="19" t="str">
        <f>[4]ITEMS_Comm!B55</f>
        <v>E</v>
      </c>
      <c r="C29" s="27" t="str">
        <f>[4]ITEMS_Comm!C55</f>
        <v>Useful Energy Service</v>
      </c>
      <c r="D29" s="27" t="str">
        <f>[4]ITEMS_Comm!D55</f>
        <v/>
      </c>
      <c r="E29" s="19" t="str">
        <f>[4]ITEMS_Comm!E55</f>
        <v>PJ</v>
      </c>
      <c r="F29" s="19" t="str">
        <f>[4]ITEMS_Comm!F55</f>
        <v>COM,DEM,ANNUAL,RES</v>
      </c>
    </row>
    <row r="30" spans="1:6">
      <c r="A30" s="27" t="str">
        <f>[4]ITEMS_Comm!A56</f>
        <v>*</v>
      </c>
      <c r="B30" s="19" t="str">
        <f>[4]ITEMS_Comm!B56</f>
        <v>E</v>
      </c>
      <c r="C30" s="27">
        <f>[4]ITEMS_Comm!C56</f>
        <v>0</v>
      </c>
      <c r="D30" s="27" t="str">
        <f>[4]ITEMS_Comm!D56</f>
        <v/>
      </c>
      <c r="E30" s="19" t="str">
        <f>[4]ITEMS_Comm!E56</f>
        <v>PJ</v>
      </c>
      <c r="F30" s="19" t="str">
        <f>[4]ITEMS_Comm!F56</f>
        <v>COM,DEM,ANNUAL,RES</v>
      </c>
    </row>
    <row r="31" spans="1:6">
      <c r="A31" s="27" t="str">
        <f>[4]ITEMS_Comm!A57</f>
        <v>*</v>
      </c>
      <c r="B31" s="19" t="str">
        <f>[4]ITEMS_Comm!B57</f>
        <v>E</v>
      </c>
      <c r="C31" s="27">
        <f>[4]ITEMS_Comm!C57</f>
        <v>2</v>
      </c>
      <c r="D31" s="27" t="str">
        <f>[4]ITEMS_Comm!D57</f>
        <v/>
      </c>
      <c r="E31" s="19" t="str">
        <f>[4]ITEMS_Comm!E57</f>
        <v>PJ</v>
      </c>
      <c r="F31" s="19" t="str">
        <f>[4]ITEMS_Comm!F57</f>
        <v>COM,DEM,ANNUAL,RES</v>
      </c>
    </row>
    <row r="32" spans="1:6">
      <c r="A32" s="27" t="str">
        <f>[4]ITEMS_Comm!A58</f>
        <v>*</v>
      </c>
      <c r="B32" s="19" t="str">
        <f>[4]ITEMS_Comm!B58</f>
        <v>E</v>
      </c>
      <c r="C32" s="27" t="str">
        <f>[4]ITEMS_Comm!C58</f>
        <v>IFAK</v>
      </c>
      <c r="D32" s="27" t="str">
        <f>[4]ITEMS_Comm!D58</f>
        <v/>
      </c>
      <c r="E32" s="19" t="str">
        <f>[4]ITEMS_Comm!E58</f>
        <v>PJ</v>
      </c>
      <c r="F32" s="19" t="str">
        <f>[4]ITEMS_Comm!F58</f>
        <v>COM,DEM,ANNUAL,RES</v>
      </c>
    </row>
    <row r="33" spans="1:6">
      <c r="A33" s="27" t="str">
        <f>[4]ITEMS_Comm!A59</f>
        <v>*</v>
      </c>
      <c r="B33" s="19" t="str">
        <f>[4]ITEMS_Comm!B59</f>
        <v>E</v>
      </c>
      <c r="C33" s="27" t="str">
        <f>[4]ITEMS_Comm!C59</f>
        <v>IFAA</v>
      </c>
      <c r="D33" s="27" t="str">
        <f>[4]ITEMS_Comm!D59</f>
        <v/>
      </c>
      <c r="E33" s="19" t="str">
        <f>[4]ITEMS_Comm!E59</f>
        <v>PJ</v>
      </c>
      <c r="F33" s="19" t="str">
        <f>[4]ITEMS_Comm!F59</f>
        <v>COM,DEM,ANNUAL,RES</v>
      </c>
    </row>
    <row r="34" spans="1:6">
      <c r="A34" s="27" t="str">
        <f>[4]ITEMS_Comm!A60</f>
        <v>*</v>
      </c>
      <c r="B34" s="19" t="str">
        <f>[4]ITEMS_Comm!B60</f>
        <v>E</v>
      </c>
      <c r="C34" s="27" t="str">
        <f>[4]ITEMS_Comm!C60</f>
        <v>IFAL</v>
      </c>
      <c r="D34" s="27" t="str">
        <f>[4]ITEMS_Comm!D60</f>
        <v/>
      </c>
      <c r="E34" s="19" t="str">
        <f>[4]ITEMS_Comm!E60</f>
        <v>PJ</v>
      </c>
      <c r="F34" s="19" t="str">
        <f>[4]ITEMS_Comm!F60</f>
        <v>COM,DEM,ANNUAL,RES</v>
      </c>
    </row>
    <row r="35" spans="1:6">
      <c r="A35" s="27" t="str">
        <f>[4]ITEMS_Comm!A61</f>
        <v>*</v>
      </c>
      <c r="B35" s="19" t="str">
        <f>[4]ITEMS_Comm!B61</f>
        <v>E</v>
      </c>
      <c r="C35" s="27" t="str">
        <f>[4]ITEMS_Comm!C61</f>
        <v>IFAC</v>
      </c>
      <c r="D35" s="27" t="str">
        <f>[4]ITEMS_Comm!D61</f>
        <v/>
      </c>
      <c r="E35" s="19" t="str">
        <f>[4]ITEMS_Comm!E61</f>
        <v>PJ</v>
      </c>
      <c r="F35" s="19" t="str">
        <f>[4]ITEMS_Comm!F61</f>
        <v>COM,DEM,ANNUAL,RES</v>
      </c>
    </row>
    <row r="36" spans="1:6">
      <c r="A36" s="27" t="str">
        <f>[4]ITEMS_Comm!A62</f>
        <v>*</v>
      </c>
      <c r="B36" s="19" t="str">
        <f>[4]ITEMS_Comm!B62</f>
        <v>E</v>
      </c>
      <c r="C36" s="27" t="str">
        <f>[4]ITEMS_Comm!C62</f>
        <v>IFAH</v>
      </c>
      <c r="D36" s="27" t="str">
        <f>[4]ITEMS_Comm!D62</f>
        <v/>
      </c>
      <c r="E36" s="19" t="str">
        <f>[4]ITEMS_Comm!E62</f>
        <v>PJ</v>
      </c>
      <c r="F36" s="19" t="str">
        <f>[4]ITEMS_Comm!F62</f>
        <v>COM,DEM,ANNUAL,RES</v>
      </c>
    </row>
    <row r="37" spans="1:6">
      <c r="A37" s="27" t="str">
        <f>[4]ITEMS_Comm!A63</f>
        <v>*</v>
      </c>
      <c r="B37" s="19" t="str">
        <f>[4]ITEMS_Comm!B63</f>
        <v>E</v>
      </c>
      <c r="C37" s="27" t="str">
        <f>[4]ITEMS_Comm!C63</f>
        <v>IFAP</v>
      </c>
      <c r="D37" s="27" t="str">
        <f>[4]ITEMS_Comm!D63</f>
        <v/>
      </c>
      <c r="E37" s="19" t="str">
        <f>[4]ITEMS_Comm!E63</f>
        <v>PJ</v>
      </c>
      <c r="F37" s="19" t="str">
        <f>[4]ITEMS_Comm!F63</f>
        <v>COM,DEM,ANNUAL,RES</v>
      </c>
    </row>
    <row r="38" spans="1:6">
      <c r="A38" s="27" t="str">
        <f>[4]ITEMS_Comm!A64</f>
        <v>*</v>
      </c>
      <c r="B38" s="19" t="str">
        <f>[4]ITEMS_Comm!B64</f>
        <v>E</v>
      </c>
      <c r="C38" s="27" t="str">
        <f>[4]ITEMS_Comm!C64</f>
        <v>IFAF</v>
      </c>
      <c r="D38" s="27" t="str">
        <f>[4]ITEMS_Comm!D64</f>
        <v/>
      </c>
      <c r="E38" s="19" t="str">
        <f>[4]ITEMS_Comm!E64</f>
        <v>PJ</v>
      </c>
      <c r="F38" s="19" t="str">
        <f>[4]ITEMS_Comm!F64</f>
        <v>COM,DEM,ANNUAL,RES</v>
      </c>
    </row>
    <row r="39" spans="1:6">
      <c r="A39" s="27" t="str">
        <f>[4]ITEMS_Comm!A65</f>
        <v>*</v>
      </c>
      <c r="B39" s="19" t="str">
        <f>[4]ITEMS_Comm!B65</f>
        <v>E</v>
      </c>
      <c r="C39" s="27" t="str">
        <f>[4]ITEMS_Comm!C65</f>
        <v>IFAO</v>
      </c>
      <c r="D39" s="27" t="str">
        <f>[4]ITEMS_Comm!D65</f>
        <v/>
      </c>
      <c r="E39" s="19" t="str">
        <f>[4]ITEMS_Comm!E65</f>
        <v>PJ</v>
      </c>
      <c r="F39" s="19" t="str">
        <f>[4]ITEMS_Comm!F65</f>
        <v>COM,DEM,ANNUAL,RES</v>
      </c>
    </row>
    <row r="40" spans="1:6">
      <c r="A40" s="27" t="str">
        <f>[4]ITEMS_Comm!A66</f>
        <v>*</v>
      </c>
      <c r="B40" s="19" t="str">
        <f>[4]ITEMS_Comm!B66</f>
        <v>E</v>
      </c>
      <c r="C40" s="27" t="str">
        <f>[4]ITEMS_Comm!C66</f>
        <v>IFAE</v>
      </c>
      <c r="D40" s="27" t="str">
        <f>[4]ITEMS_Comm!D66</f>
        <v/>
      </c>
      <c r="E40" s="19" t="str">
        <f>[4]ITEMS_Comm!E66</f>
        <v>PJ</v>
      </c>
      <c r="F40" s="19" t="str">
        <f>[4]ITEMS_Comm!F66</f>
        <v>COM,DEM,ANNUAL,RES</v>
      </c>
    </row>
    <row r="41" spans="1:6">
      <c r="A41" s="27" t="str">
        <f>[4]ITEMS_Comm!A67</f>
        <v>*</v>
      </c>
      <c r="B41" s="19" t="str">
        <f>[4]ITEMS_Comm!B67</f>
        <v>E</v>
      </c>
      <c r="C41" s="27">
        <f>[4]ITEMS_Comm!C67</f>
        <v>0</v>
      </c>
      <c r="D41" s="27" t="str">
        <f>[4]ITEMS_Comm!D67</f>
        <v/>
      </c>
      <c r="E41" s="19" t="str">
        <f>[4]ITEMS_Comm!E67</f>
        <v>PJ</v>
      </c>
      <c r="F41" s="19" t="str">
        <f>[4]ITEMS_Comm!F67</f>
        <v>COM,DEM,ANNUAL,RES</v>
      </c>
    </row>
    <row r="42" spans="1:6">
      <c r="A42" s="27" t="str">
        <f>[4]ITEMS_Comm!A68</f>
        <v>*</v>
      </c>
      <c r="B42" s="19" t="str">
        <f>[4]ITEMS_Comm!B68</f>
        <v>E</v>
      </c>
      <c r="C42" s="27" t="str">
        <f>[4]ITEMS_Comm!C68</f>
        <v>IFAS</v>
      </c>
      <c r="D42" s="27" t="str">
        <f>[4]ITEMS_Comm!D68</f>
        <v/>
      </c>
      <c r="E42" s="19" t="str">
        <f>[4]ITEMS_Comm!E68</f>
        <v>PJ</v>
      </c>
      <c r="F42" s="19" t="str">
        <f>[4]ITEMS_Comm!F68</f>
        <v>COM,DEM,ANNUAL,RES</v>
      </c>
    </row>
    <row r="43" spans="1:6">
      <c r="A43" s="27" t="str">
        <f>[4]ITEMS_Comm!A69</f>
        <v>*</v>
      </c>
      <c r="B43" s="19" t="str">
        <f>[4]ITEMS_Comm!B69</f>
        <v>E</v>
      </c>
      <c r="C43" s="27" t="str">
        <f>[4]ITEMS_Comm!C69</f>
        <v>IFAS</v>
      </c>
      <c r="D43" s="27" t="str">
        <f>[4]ITEMS_Comm!D69</f>
        <v/>
      </c>
      <c r="E43" s="19" t="str">
        <f>[4]ITEMS_Comm!E69</f>
        <v>PJ</v>
      </c>
      <c r="F43" s="19" t="str">
        <f>[4]ITEMS_Comm!F69</f>
        <v>COM,DEM,ANNUAL,RES</v>
      </c>
    </row>
    <row r="44" spans="1:6">
      <c r="A44" s="27" t="str">
        <f>[4]ITEMS_Comm!A70</f>
        <v>*</v>
      </c>
      <c r="B44" s="19" t="str">
        <f>[4]ITEMS_Comm!B70</f>
        <v>E</v>
      </c>
      <c r="C44" s="27" t="str">
        <f>[4]ITEMS_Comm!C70</f>
        <v>IFAS</v>
      </c>
      <c r="D44" s="27" t="str">
        <f>[4]ITEMS_Comm!D70</f>
        <v/>
      </c>
      <c r="E44" s="19" t="str">
        <f>[4]ITEMS_Comm!E70</f>
        <v>PJ</v>
      </c>
      <c r="F44" s="19" t="str">
        <f>[4]ITEMS_Comm!F70</f>
        <v>COM,DEM,ANNUAL,RES</v>
      </c>
    </row>
    <row r="45" spans="1:6">
      <c r="A45" s="27" t="str">
        <f>[4]ITEMS_Comm!A71</f>
        <v>*</v>
      </c>
      <c r="B45" s="19" t="str">
        <f>[4]ITEMS_Comm!B71</f>
        <v>E</v>
      </c>
      <c r="C45" s="27" t="str">
        <f>[4]ITEMS_Comm!C71</f>
        <v>IFAS</v>
      </c>
      <c r="D45" s="27" t="str">
        <f>[4]ITEMS_Comm!D71</f>
        <v/>
      </c>
      <c r="E45" s="19" t="str">
        <f>[4]ITEMS_Comm!E71</f>
        <v>PJ</v>
      </c>
      <c r="F45" s="19" t="str">
        <f>[4]ITEMS_Comm!F71</f>
        <v>COM,DEM,ANNUAL,RES</v>
      </c>
    </row>
    <row r="46" spans="1:6">
      <c r="A46" s="27" t="str">
        <f>[4]ITEMS_Comm!A72</f>
        <v>*</v>
      </c>
      <c r="B46" s="19" t="str">
        <f>[4]ITEMS_Comm!B72</f>
        <v>E</v>
      </c>
      <c r="C46" s="27" t="str">
        <f>[4]ITEMS_Comm!C72</f>
        <v>IFAS</v>
      </c>
      <c r="D46" s="27" t="str">
        <f>[4]ITEMS_Comm!D72</f>
        <v/>
      </c>
      <c r="E46" s="19" t="str">
        <f>[4]ITEMS_Comm!E72</f>
        <v>PJ</v>
      </c>
      <c r="F46" s="19" t="str">
        <f>[4]ITEMS_Comm!F72</f>
        <v>COM,DEM,ANNUAL,RES</v>
      </c>
    </row>
    <row r="47" spans="1:6">
      <c r="A47" s="27" t="str">
        <f>[4]ITEMS_Comm!A73</f>
        <v>*</v>
      </c>
      <c r="B47" s="19" t="str">
        <f>[4]ITEMS_Comm!B73</f>
        <v>E</v>
      </c>
      <c r="C47" s="27" t="str">
        <f>[4]ITEMS_Comm!C73</f>
        <v>IFAS</v>
      </c>
      <c r="D47" s="27" t="str">
        <f>[4]ITEMS_Comm!D73</f>
        <v/>
      </c>
      <c r="E47" s="19" t="str">
        <f>[4]ITEMS_Comm!E73</f>
        <v>PJ</v>
      </c>
      <c r="F47" s="19" t="str">
        <f>[4]ITEMS_Comm!F73</f>
        <v>COM,DEM,ANNUAL,RES</v>
      </c>
    </row>
    <row r="48" spans="1:6">
      <c r="A48" s="27" t="str">
        <f>[4]ITEMS_Comm!A74</f>
        <v>*</v>
      </c>
      <c r="B48" s="19" t="str">
        <f>[4]ITEMS_Comm!B74</f>
        <v>E</v>
      </c>
      <c r="C48" s="27">
        <f>[4]ITEMS_Comm!C74</f>
        <v>0</v>
      </c>
      <c r="D48" s="27" t="str">
        <f>[4]ITEMS_Comm!D74</f>
        <v/>
      </c>
      <c r="E48" s="19" t="str">
        <f>[4]ITEMS_Comm!E74</f>
        <v>PJ</v>
      </c>
      <c r="F48" s="19" t="str">
        <f>[4]ITEMS_Comm!F74</f>
        <v>COM,DEM,ANNUAL,RES</v>
      </c>
    </row>
    <row r="49" spans="1:6">
      <c r="A49" s="27" t="str">
        <f>[4]ITEMS_Comm!A75</f>
        <v>*</v>
      </c>
      <c r="B49" s="19" t="str">
        <f>[4]ITEMS_Comm!B75</f>
        <v>E</v>
      </c>
      <c r="C49" s="27" t="str">
        <f>[4]ITEMS_Comm!C75</f>
        <v>IFAR</v>
      </c>
      <c r="D49" s="27" t="str">
        <f>[4]ITEMS_Comm!D75</f>
        <v/>
      </c>
      <c r="E49" s="19" t="str">
        <f>[4]ITEMS_Comm!E75</f>
        <v>PJ</v>
      </c>
      <c r="F49" s="19" t="str">
        <f>[4]ITEMS_Comm!F75</f>
        <v>COM,DEM,ANNUAL,RES</v>
      </c>
    </row>
    <row r="50" spans="1:6">
      <c r="A50" s="27" t="str">
        <f>[4]ITEMS_Comm!A76</f>
        <v>*</v>
      </c>
      <c r="B50" s="19" t="str">
        <f>[4]ITEMS_Comm!B76</f>
        <v>E</v>
      </c>
      <c r="C50" s="27" t="str">
        <f>[4]ITEMS_Comm!C76</f>
        <v>Useful Energy Service</v>
      </c>
      <c r="D50" s="27" t="str">
        <f>[4]ITEMS_Comm!D76</f>
        <v/>
      </c>
      <c r="E50" s="19" t="str">
        <f>[4]ITEMS_Comm!E76</f>
        <v>PJ</v>
      </c>
      <c r="F50" s="19" t="str">
        <f>[4]ITEMS_Comm!F76</f>
        <v>COM,DEM,ANNUAL,RES</v>
      </c>
    </row>
    <row r="51" spans="1:6">
      <c r="A51" s="27" t="str">
        <f>[4]ITEMS_Comm!A77</f>
        <v>*</v>
      </c>
      <c r="B51" s="19" t="str">
        <f>[4]ITEMS_Comm!B77</f>
        <v>E</v>
      </c>
      <c r="C51" s="27">
        <f>[4]ITEMS_Comm!C77</f>
        <v>0</v>
      </c>
      <c r="D51" s="27" t="str">
        <f>[4]ITEMS_Comm!D77</f>
        <v/>
      </c>
      <c r="E51" s="19" t="str">
        <f>[4]ITEMS_Comm!E77</f>
        <v>PJ</v>
      </c>
      <c r="F51" s="19" t="str">
        <f>[4]ITEMS_Comm!F77</f>
        <v>COM,DEM,ANNUAL,RES</v>
      </c>
    </row>
    <row r="52" spans="1:6">
      <c r="A52" s="27" t="str">
        <f>[4]ITEMS_Comm!A78</f>
        <v>*</v>
      </c>
      <c r="B52" s="19" t="str">
        <f>[4]ITEMS_Comm!B78</f>
        <v>E</v>
      </c>
      <c r="C52" s="27">
        <f>[4]ITEMS_Comm!C78</f>
        <v>2</v>
      </c>
      <c r="D52" s="27" t="str">
        <f>[4]ITEMS_Comm!D78</f>
        <v/>
      </c>
      <c r="E52" s="19" t="str">
        <f>[4]ITEMS_Comm!E78</f>
        <v>PJ</v>
      </c>
      <c r="F52" s="19" t="str">
        <f>[4]ITEMS_Comm!F78</f>
        <v>COM,DEM,ANNUAL,RES</v>
      </c>
    </row>
    <row r="53" spans="1:6">
      <c r="A53" s="27" t="str">
        <f>[4]ITEMS_Comm!A79</f>
        <v>*</v>
      </c>
      <c r="B53" s="19" t="str">
        <f>[4]ITEMS_Comm!B79</f>
        <v>E</v>
      </c>
      <c r="C53" s="27" t="str">
        <f>[4]ITEMS_Comm!C79</f>
        <v>IISK</v>
      </c>
      <c r="D53" s="27" t="str">
        <f>[4]ITEMS_Comm!D79</f>
        <v/>
      </c>
      <c r="E53" s="19" t="str">
        <f>[4]ITEMS_Comm!E79</f>
        <v>PJ</v>
      </c>
      <c r="F53" s="19" t="str">
        <f>[4]ITEMS_Comm!F79</f>
        <v>COM,DEM,ANNUAL,RES</v>
      </c>
    </row>
    <row r="54" spans="1:6">
      <c r="A54" s="27" t="str">
        <f>[4]ITEMS_Comm!A80</f>
        <v>*</v>
      </c>
      <c r="B54" s="19" t="str">
        <f>[4]ITEMS_Comm!B80</f>
        <v>E</v>
      </c>
      <c r="C54" s="27" t="str">
        <f>[4]ITEMS_Comm!C80</f>
        <v>IISA</v>
      </c>
      <c r="D54" s="27" t="str">
        <f>[4]ITEMS_Comm!D80</f>
        <v/>
      </c>
      <c r="E54" s="19" t="str">
        <f>[4]ITEMS_Comm!E80</f>
        <v>PJ</v>
      </c>
      <c r="F54" s="19" t="str">
        <f>[4]ITEMS_Comm!F80</f>
        <v>COM,DEM,ANNUAL,RES</v>
      </c>
    </row>
    <row r="55" spans="1:6">
      <c r="A55" s="27" t="str">
        <f>[4]ITEMS_Comm!A81</f>
        <v>*</v>
      </c>
      <c r="B55" s="19" t="str">
        <f>[4]ITEMS_Comm!B81</f>
        <v>E</v>
      </c>
      <c r="C55" s="27" t="str">
        <f>[4]ITEMS_Comm!C81</f>
        <v>IISL</v>
      </c>
      <c r="D55" s="27" t="str">
        <f>[4]ITEMS_Comm!D81</f>
        <v/>
      </c>
      <c r="E55" s="19" t="str">
        <f>[4]ITEMS_Comm!E81</f>
        <v>PJ</v>
      </c>
      <c r="F55" s="19" t="str">
        <f>[4]ITEMS_Comm!F81</f>
        <v>COM,DEM,ANNUAL,RES</v>
      </c>
    </row>
    <row r="56" spans="1:6">
      <c r="A56" s="27" t="str">
        <f>[4]ITEMS_Comm!A82</f>
        <v>*</v>
      </c>
      <c r="B56" s="19" t="str">
        <f>[4]ITEMS_Comm!B82</f>
        <v>E</v>
      </c>
      <c r="C56" s="27" t="str">
        <f>[4]ITEMS_Comm!C82</f>
        <v>IISC</v>
      </c>
      <c r="D56" s="27" t="str">
        <f>[4]ITEMS_Comm!D82</f>
        <v/>
      </c>
      <c r="E56" s="19" t="str">
        <f>[4]ITEMS_Comm!E82</f>
        <v>PJ</v>
      </c>
      <c r="F56" s="19" t="str">
        <f>[4]ITEMS_Comm!F82</f>
        <v>COM,DEM,ANNUAL,RES</v>
      </c>
    </row>
    <row r="57" spans="1:6">
      <c r="A57" s="27" t="str">
        <f>[4]ITEMS_Comm!A83</f>
        <v>*</v>
      </c>
      <c r="B57" s="19" t="str">
        <f>[4]ITEMS_Comm!B83</f>
        <v>E</v>
      </c>
      <c r="C57" s="27" t="str">
        <f>[4]ITEMS_Comm!C83</f>
        <v>IISH</v>
      </c>
      <c r="D57" s="27" t="str">
        <f>[4]ITEMS_Comm!D83</f>
        <v/>
      </c>
      <c r="E57" s="19" t="str">
        <f>[4]ITEMS_Comm!E83</f>
        <v>PJ</v>
      </c>
      <c r="F57" s="19" t="str">
        <f>[4]ITEMS_Comm!F83</f>
        <v>COM,DEM,ANNUAL,RES</v>
      </c>
    </row>
    <row r="58" spans="1:6">
      <c r="A58" s="27" t="str">
        <f>[4]ITEMS_Comm!A84</f>
        <v>*</v>
      </c>
      <c r="B58" s="19" t="str">
        <f>[4]ITEMS_Comm!B84</f>
        <v>E</v>
      </c>
      <c r="C58" s="27" t="str">
        <f>[4]ITEMS_Comm!C84</f>
        <v>IISP</v>
      </c>
      <c r="D58" s="27" t="str">
        <f>[4]ITEMS_Comm!D84</f>
        <v/>
      </c>
      <c r="E58" s="19" t="str">
        <f>[4]ITEMS_Comm!E84</f>
        <v>PJ</v>
      </c>
      <c r="F58" s="19" t="str">
        <f>[4]ITEMS_Comm!F84</f>
        <v>COM,DEM,ANNUAL,RES</v>
      </c>
    </row>
    <row r="59" spans="1:6">
      <c r="A59" s="27" t="str">
        <f>[4]ITEMS_Comm!A85</f>
        <v>*</v>
      </c>
      <c r="B59" s="19" t="str">
        <f>[4]ITEMS_Comm!B85</f>
        <v>E</v>
      </c>
      <c r="C59" s="27" t="str">
        <f>[4]ITEMS_Comm!C85</f>
        <v>IISF</v>
      </c>
      <c r="D59" s="27" t="str">
        <f>[4]ITEMS_Comm!D85</f>
        <v/>
      </c>
      <c r="E59" s="19" t="str">
        <f>[4]ITEMS_Comm!E85</f>
        <v>PJ</v>
      </c>
      <c r="F59" s="19" t="str">
        <f>[4]ITEMS_Comm!F85</f>
        <v>COM,DEM,ANNUAL,RES</v>
      </c>
    </row>
    <row r="60" spans="1:6">
      <c r="A60" s="27" t="str">
        <f>[4]ITEMS_Comm!A86</f>
        <v>*</v>
      </c>
      <c r="B60" s="19" t="str">
        <f>[4]ITEMS_Comm!B86</f>
        <v>E</v>
      </c>
      <c r="C60" s="27" t="str">
        <f>[4]ITEMS_Comm!C86</f>
        <v>IISO</v>
      </c>
      <c r="D60" s="27" t="str">
        <f>[4]ITEMS_Comm!D86</f>
        <v/>
      </c>
      <c r="E60" s="19" t="str">
        <f>[4]ITEMS_Comm!E86</f>
        <v>PJ</v>
      </c>
      <c r="F60" s="19" t="str">
        <f>[4]ITEMS_Comm!F86</f>
        <v>COM,DEM,ANNUAL,RES</v>
      </c>
    </row>
    <row r="61" spans="1:6">
      <c r="A61" s="27" t="str">
        <f>[4]ITEMS_Comm!A87</f>
        <v>*</v>
      </c>
      <c r="B61" s="19" t="str">
        <f>[4]ITEMS_Comm!B87</f>
        <v>E</v>
      </c>
      <c r="C61" s="27" t="str">
        <f>[4]ITEMS_Comm!C87</f>
        <v>IISE</v>
      </c>
      <c r="D61" s="27" t="str">
        <f>[4]ITEMS_Comm!D87</f>
        <v/>
      </c>
      <c r="E61" s="19" t="str">
        <f>[4]ITEMS_Comm!E87</f>
        <v>PJ</v>
      </c>
      <c r="F61" s="19" t="str">
        <f>[4]ITEMS_Comm!F87</f>
        <v>COM,DEM,ANNUAL,RES</v>
      </c>
    </row>
    <row r="62" spans="1:6">
      <c r="A62" s="27" t="str">
        <f>[4]ITEMS_Comm!A88</f>
        <v>*</v>
      </c>
      <c r="B62" s="19" t="str">
        <f>[4]ITEMS_Comm!B88</f>
        <v>E</v>
      </c>
      <c r="C62" s="27" t="str">
        <f>[4]ITEMS_Comm!C88</f>
        <v xml:space="preserve"> </v>
      </c>
      <c r="D62" s="27" t="str">
        <f>[4]ITEMS_Comm!D88</f>
        <v/>
      </c>
      <c r="E62" s="19" t="str">
        <f>[4]ITEMS_Comm!E88</f>
        <v>PJ</v>
      </c>
      <c r="F62" s="19" t="str">
        <f>[4]ITEMS_Comm!F88</f>
        <v>COM,DEM,ANNUAL,RES</v>
      </c>
    </row>
    <row r="63" spans="1:6">
      <c r="A63" s="27" t="str">
        <f>[4]ITEMS_Comm!A89</f>
        <v>*</v>
      </c>
      <c r="B63" s="19" t="str">
        <f>[4]ITEMS_Comm!B89</f>
        <v>E</v>
      </c>
      <c r="C63" s="27" t="str">
        <f>[4]ITEMS_Comm!C89</f>
        <v>IISS</v>
      </c>
      <c r="D63" s="27" t="str">
        <f>[4]ITEMS_Comm!D89</f>
        <v/>
      </c>
      <c r="E63" s="19" t="str">
        <f>[4]ITEMS_Comm!E89</f>
        <v>PJ</v>
      </c>
      <c r="F63" s="19" t="str">
        <f>[4]ITEMS_Comm!F89</f>
        <v>COM,DEM,ANNUAL,RES</v>
      </c>
    </row>
    <row r="64" spans="1:6">
      <c r="A64" s="27" t="str">
        <f>[4]ITEMS_Comm!A90</f>
        <v>*</v>
      </c>
      <c r="B64" s="19" t="str">
        <f>[4]ITEMS_Comm!B90</f>
        <v>E</v>
      </c>
      <c r="C64" s="27" t="str">
        <f>[4]ITEMS_Comm!C90</f>
        <v>IISS</v>
      </c>
      <c r="D64" s="27" t="str">
        <f>[4]ITEMS_Comm!D90</f>
        <v/>
      </c>
      <c r="E64" s="19" t="str">
        <f>[4]ITEMS_Comm!E90</f>
        <v>PJ</v>
      </c>
      <c r="F64" s="19" t="str">
        <f>[4]ITEMS_Comm!F90</f>
        <v>COM,DEM,ANNUAL,RES</v>
      </c>
    </row>
    <row r="65" spans="1:6">
      <c r="A65" s="27" t="str">
        <f>[4]ITEMS_Comm!A91</f>
        <v>*</v>
      </c>
      <c r="B65" s="19" t="str">
        <f>[4]ITEMS_Comm!B91</f>
        <v>E</v>
      </c>
      <c r="C65" s="27" t="str">
        <f>[4]ITEMS_Comm!C91</f>
        <v>IISS</v>
      </c>
      <c r="D65" s="27" t="str">
        <f>[4]ITEMS_Comm!D91</f>
        <v/>
      </c>
      <c r="E65" s="19" t="str">
        <f>[4]ITEMS_Comm!E91</f>
        <v>PJ</v>
      </c>
      <c r="F65" s="19" t="str">
        <f>[4]ITEMS_Comm!F91</f>
        <v>COM,DEM,ANNUAL,RES</v>
      </c>
    </row>
    <row r="66" spans="1:6">
      <c r="A66" s="27" t="str">
        <f>[4]ITEMS_Comm!A92</f>
        <v>*</v>
      </c>
      <c r="B66" s="19" t="str">
        <f>[4]ITEMS_Comm!B92</f>
        <v>E</v>
      </c>
      <c r="C66" s="27" t="str">
        <f>[4]ITEMS_Comm!C92</f>
        <v>IISS</v>
      </c>
      <c r="D66" s="27" t="str">
        <f>[4]ITEMS_Comm!D92</f>
        <v/>
      </c>
      <c r="E66" s="19" t="str">
        <f>[4]ITEMS_Comm!E92</f>
        <v>PJ</v>
      </c>
      <c r="F66" s="19" t="str">
        <f>[4]ITEMS_Comm!F92</f>
        <v>COM,DEM,ANNUAL,RES</v>
      </c>
    </row>
    <row r="67" spans="1:6">
      <c r="A67" s="27" t="str">
        <f>[4]ITEMS_Comm!A93</f>
        <v>*</v>
      </c>
      <c r="B67" s="19" t="str">
        <f>[4]ITEMS_Comm!B93</f>
        <v>E</v>
      </c>
      <c r="C67" s="27" t="str">
        <f>[4]ITEMS_Comm!C93</f>
        <v>IISS</v>
      </c>
      <c r="D67" s="27" t="str">
        <f>[4]ITEMS_Comm!D93</f>
        <v/>
      </c>
      <c r="E67" s="19" t="str">
        <f>[4]ITEMS_Comm!E93</f>
        <v>PJ</v>
      </c>
      <c r="F67" s="19" t="str">
        <f>[4]ITEMS_Comm!F93</f>
        <v>COM,DEM,ANNUAL,RES</v>
      </c>
    </row>
    <row r="68" spans="1:6">
      <c r="A68" s="27" t="str">
        <f>[4]ITEMS_Comm!A94</f>
        <v>*</v>
      </c>
      <c r="B68" s="19" t="str">
        <f>[4]ITEMS_Comm!B94</f>
        <v>E</v>
      </c>
      <c r="C68" s="27" t="str">
        <f>[4]ITEMS_Comm!C94</f>
        <v>IISS</v>
      </c>
      <c r="D68" s="27" t="str">
        <f>[4]ITEMS_Comm!D94</f>
        <v/>
      </c>
      <c r="E68" s="19" t="str">
        <f>[4]ITEMS_Comm!E94</f>
        <v>PJ</v>
      </c>
      <c r="F68" s="19" t="str">
        <f>[4]ITEMS_Comm!F94</f>
        <v>COM,DEM,ANNUAL,RES</v>
      </c>
    </row>
    <row r="69" spans="1:6">
      <c r="A69" s="27" t="str">
        <f>[4]ITEMS_Comm!A95</f>
        <v>*</v>
      </c>
      <c r="B69" s="19" t="str">
        <f>[4]ITEMS_Comm!B95</f>
        <v>E</v>
      </c>
      <c r="C69" s="27">
        <f>[4]ITEMS_Comm!C95</f>
        <v>0</v>
      </c>
      <c r="D69" s="27" t="str">
        <f>[4]ITEMS_Comm!D95</f>
        <v/>
      </c>
      <c r="E69" s="19" t="str">
        <f>[4]ITEMS_Comm!E95</f>
        <v>PJ</v>
      </c>
      <c r="F69" s="19" t="str">
        <f>[4]ITEMS_Comm!F95</f>
        <v>COM,DEM,ANNUAL,RES</v>
      </c>
    </row>
    <row r="70" spans="1:6">
      <c r="A70" s="27" t="str">
        <f>[4]ITEMS_Comm!A96</f>
        <v>*</v>
      </c>
      <c r="B70" s="19" t="str">
        <f>[4]ITEMS_Comm!B96</f>
        <v>E</v>
      </c>
      <c r="C70" s="27" t="str">
        <f>[4]ITEMS_Comm!C96</f>
        <v>IIST</v>
      </c>
      <c r="D70" s="27" t="str">
        <f>[4]ITEMS_Comm!D96</f>
        <v/>
      </c>
      <c r="E70" s="19" t="str">
        <f>[4]ITEMS_Comm!E96</f>
        <v>PJ</v>
      </c>
      <c r="F70" s="19" t="str">
        <f>[4]ITEMS_Comm!F96</f>
        <v>COM,DEM,ANNUAL,RES</v>
      </c>
    </row>
    <row r="71" spans="1:6">
      <c r="A71" s="27" t="str">
        <f>[4]ITEMS_Comm!A97</f>
        <v>*</v>
      </c>
      <c r="B71" s="19" t="str">
        <f>[4]ITEMS_Comm!B97</f>
        <v>E</v>
      </c>
      <c r="C71" s="27" t="str">
        <f>[4]ITEMS_Comm!C97</f>
        <v>Useful Energy Service</v>
      </c>
      <c r="D71" s="27" t="str">
        <f>[4]ITEMS_Comm!D97</f>
        <v/>
      </c>
      <c r="E71" s="19" t="str">
        <f>[4]ITEMS_Comm!E97</f>
        <v>PJ</v>
      </c>
      <c r="F71" s="19" t="str">
        <f>[4]ITEMS_Comm!F97</f>
        <v>COM,DEM,ANNUAL,RES</v>
      </c>
    </row>
    <row r="72" spans="1:6">
      <c r="A72" s="27" t="str">
        <f>[4]ITEMS_Comm!A98</f>
        <v>*</v>
      </c>
      <c r="B72" s="19" t="str">
        <f>[4]ITEMS_Comm!B98</f>
        <v>E</v>
      </c>
      <c r="C72" s="27">
        <f>[4]ITEMS_Comm!C98</f>
        <v>0</v>
      </c>
      <c r="D72" s="27" t="str">
        <f>[4]ITEMS_Comm!D98</f>
        <v/>
      </c>
      <c r="E72" s="19" t="str">
        <f>[4]ITEMS_Comm!E98</f>
        <v>PJ</v>
      </c>
      <c r="F72" s="19" t="str">
        <f>[4]ITEMS_Comm!F98</f>
        <v>COM,DEM,ANNUAL,RES</v>
      </c>
    </row>
    <row r="73" spans="1:6">
      <c r="A73" s="27" t="str">
        <f>[4]ITEMS_Comm!A99</f>
        <v>*</v>
      </c>
      <c r="B73" s="19" t="str">
        <f>[4]ITEMS_Comm!B99</f>
        <v>E</v>
      </c>
      <c r="C73" s="27">
        <f>[4]ITEMS_Comm!C99</f>
        <v>2</v>
      </c>
      <c r="D73" s="27" t="str">
        <f>[4]ITEMS_Comm!D99</f>
        <v/>
      </c>
      <c r="E73" s="19" t="str">
        <f>[4]ITEMS_Comm!E99</f>
        <v>PJ</v>
      </c>
      <c r="F73" s="19" t="str">
        <f>[4]ITEMS_Comm!F99</f>
        <v>COM,DEM,ANNUAL,RES</v>
      </c>
    </row>
    <row r="74" spans="1:6">
      <c r="A74" s="27" t="str">
        <f>[4]ITEMS_Comm!A100</f>
        <v/>
      </c>
      <c r="B74" s="19" t="str">
        <f>[4]ITEMS_Comm!B100</f>
        <v>E</v>
      </c>
      <c r="C74" s="27" t="str">
        <f>[4]ITEMS_Comm!C100</f>
        <v>ICPK</v>
      </c>
      <c r="D74" s="27" t="str">
        <f>[4]ITEMS_Comm!D100</f>
        <v>Industry-Chemicals-Elec Heating - Electricity</v>
      </c>
      <c r="E74" s="19" t="str">
        <f>[4]ITEMS_Comm!E100</f>
        <v>PJ</v>
      </c>
      <c r="F74" s="19" t="str">
        <f>[4]ITEMS_Comm!F100</f>
        <v>COM,DEM,ANNUAL,RES</v>
      </c>
    </row>
    <row r="75" spans="1:6">
      <c r="A75" s="27" t="str">
        <f>[4]ITEMS_Comm!A101</f>
        <v/>
      </c>
      <c r="B75" s="19" t="str">
        <f>[4]ITEMS_Comm!B101</f>
        <v>E</v>
      </c>
      <c r="C75" s="27" t="str">
        <f>[4]ITEMS_Comm!C101</f>
        <v>ICPA</v>
      </c>
      <c r="D75" s="27" t="str">
        <f>[4]ITEMS_Comm!D101</f>
        <v>Industry-Chemicals-Compressed air - Electricity</v>
      </c>
      <c r="E75" s="19" t="str">
        <f>[4]ITEMS_Comm!E101</f>
        <v>PJ</v>
      </c>
      <c r="F75" s="19" t="str">
        <f>[4]ITEMS_Comm!F101</f>
        <v>COM,DEM,ANNUAL,RES</v>
      </c>
    </row>
    <row r="76" spans="1:6">
      <c r="A76" s="27" t="str">
        <f>[4]ITEMS_Comm!A102</f>
        <v/>
      </c>
      <c r="B76" s="19" t="str">
        <f>[4]ITEMS_Comm!B102</f>
        <v>E</v>
      </c>
      <c r="C76" s="27" t="str">
        <f>[4]ITEMS_Comm!C102</f>
        <v>ICPL</v>
      </c>
      <c r="D76" s="27" t="str">
        <f>[4]ITEMS_Comm!D102</f>
        <v>Industry-Chemicals-Lighting - Electricity</v>
      </c>
      <c r="E76" s="19" t="str">
        <f>[4]ITEMS_Comm!E102</f>
        <v>PJ</v>
      </c>
      <c r="F76" s="19" t="str">
        <f>[4]ITEMS_Comm!F102</f>
        <v>COM,DEM,ANNUAL,RES</v>
      </c>
    </row>
    <row r="77" spans="1:6">
      <c r="A77" s="27" t="str">
        <f>[4]ITEMS_Comm!A103</f>
        <v/>
      </c>
      <c r="B77" s="19" t="str">
        <f>[4]ITEMS_Comm!B103</f>
        <v>E</v>
      </c>
      <c r="C77" s="27" t="str">
        <f>[4]ITEMS_Comm!C103</f>
        <v>ICPC</v>
      </c>
      <c r="D77" s="27" t="str">
        <f>[4]ITEMS_Comm!D103</f>
        <v>Industry-Chemicals-Cooling - Electricity</v>
      </c>
      <c r="E77" s="19" t="str">
        <f>[4]ITEMS_Comm!E103</f>
        <v>PJ</v>
      </c>
      <c r="F77" s="19" t="str">
        <f>[4]ITEMS_Comm!F103</f>
        <v>COM,DEM,ANNUAL,RES</v>
      </c>
    </row>
    <row r="78" spans="1:6">
      <c r="A78" s="27" t="str">
        <f>[4]ITEMS_Comm!A104</f>
        <v/>
      </c>
      <c r="B78" s="19" t="str">
        <f>[4]ITEMS_Comm!B104</f>
        <v>E</v>
      </c>
      <c r="C78" s="27" t="str">
        <f>[4]ITEMS_Comm!C104</f>
        <v>ICPH</v>
      </c>
      <c r="D78" s="27" t="str">
        <f>[4]ITEMS_Comm!D104</f>
        <v>Industry-Chemicals-HVAC - Electricity</v>
      </c>
      <c r="E78" s="19" t="str">
        <f>[4]ITEMS_Comm!E104</f>
        <v>PJ</v>
      </c>
      <c r="F78" s="19" t="str">
        <f>[4]ITEMS_Comm!F104</f>
        <v>COM,DEM,ANNUAL,RES</v>
      </c>
    </row>
    <row r="79" spans="1:6">
      <c r="A79" s="27" t="str">
        <f>[4]ITEMS_Comm!A105</f>
        <v/>
      </c>
      <c r="B79" s="19" t="str">
        <f>[4]ITEMS_Comm!B105</f>
        <v>E</v>
      </c>
      <c r="C79" s="27" t="str">
        <f>[4]ITEMS_Comm!C105</f>
        <v>ICPP</v>
      </c>
      <c r="D79" s="27" t="str">
        <f>[4]ITEMS_Comm!D105</f>
        <v>Industry-Chemicals-Pumping - Electricity</v>
      </c>
      <c r="E79" s="19" t="str">
        <f>[4]ITEMS_Comm!E105</f>
        <v>PJ</v>
      </c>
      <c r="F79" s="19" t="str">
        <f>[4]ITEMS_Comm!F105</f>
        <v>COM,DEM,ANNUAL,RES</v>
      </c>
    </row>
    <row r="80" spans="1:6">
      <c r="A80" s="27" t="str">
        <f>[4]ITEMS_Comm!A106</f>
        <v/>
      </c>
      <c r="B80" s="19" t="str">
        <f>[4]ITEMS_Comm!B106</f>
        <v>E</v>
      </c>
      <c r="C80" s="27" t="str">
        <f>[4]ITEMS_Comm!C106</f>
        <v>ICPF</v>
      </c>
      <c r="D80" s="27" t="str">
        <f>[4]ITEMS_Comm!D106</f>
        <v>Industry-Chemicals-Fans - Electricity</v>
      </c>
      <c r="E80" s="19" t="str">
        <f>[4]ITEMS_Comm!E106</f>
        <v>PJ</v>
      </c>
      <c r="F80" s="19" t="str">
        <f>[4]ITEMS_Comm!F106</f>
        <v>COM,DEM,ANNUAL,RES</v>
      </c>
    </row>
    <row r="81" spans="1:6">
      <c r="A81" s="27" t="str">
        <f>[4]ITEMS_Comm!A107</f>
        <v/>
      </c>
      <c r="B81" s="19" t="str">
        <f>[4]ITEMS_Comm!B107</f>
        <v>E</v>
      </c>
      <c r="C81" s="27" t="str">
        <f>[4]ITEMS_Comm!C107</f>
        <v>ICPO</v>
      </c>
      <c r="D81" s="27" t="str">
        <f>[4]ITEMS_Comm!D107</f>
        <v>Industry-Chemicals-Other motive - Electricity</v>
      </c>
      <c r="E81" s="19" t="str">
        <f>[4]ITEMS_Comm!E107</f>
        <v>PJ</v>
      </c>
      <c r="F81" s="19" t="str">
        <f>[4]ITEMS_Comm!F107</f>
        <v>COM,DEM,ANNUAL,RES</v>
      </c>
    </row>
    <row r="82" spans="1:6">
      <c r="A82" s="27" t="str">
        <f>[4]ITEMS_Comm!A108</f>
        <v/>
      </c>
      <c r="B82" s="19" t="str">
        <f>[4]ITEMS_Comm!B108</f>
        <v>E</v>
      </c>
      <c r="C82" s="27" t="str">
        <f>[4]ITEMS_Comm!C108</f>
        <v>ICPE</v>
      </c>
      <c r="D82" s="27" t="str">
        <f>[4]ITEMS_Comm!D108</f>
        <v>Industry-Chemicals-Electrochemical - Electricity</v>
      </c>
      <c r="E82" s="19" t="str">
        <f>[4]ITEMS_Comm!E108</f>
        <v>PJ</v>
      </c>
      <c r="F82" s="19" t="str">
        <f>[4]ITEMS_Comm!F108</f>
        <v>COM,DEM,ANNUAL,RES</v>
      </c>
    </row>
    <row r="83" spans="1:6">
      <c r="A83" s="27" t="str">
        <f>[4]ITEMS_Comm!A109</f>
        <v>*</v>
      </c>
      <c r="B83" s="19" t="str">
        <f>[4]ITEMS_Comm!B109</f>
        <v>E</v>
      </c>
      <c r="C83" s="27" t="str">
        <f>[4]ITEMS_Comm!C109</f>
        <v xml:space="preserve"> </v>
      </c>
      <c r="D83" s="27" t="str">
        <f>[4]ITEMS_Comm!D109</f>
        <v/>
      </c>
      <c r="E83" s="19" t="str">
        <f>[4]ITEMS_Comm!E109</f>
        <v>PJ</v>
      </c>
      <c r="F83" s="19" t="str">
        <f>[4]ITEMS_Comm!F109</f>
        <v>COM,DEM,ANNUAL,RES</v>
      </c>
    </row>
    <row r="84" spans="1:6">
      <c r="A84" s="27" t="str">
        <f>[4]ITEMS_Comm!A110</f>
        <v/>
      </c>
      <c r="B84" s="19" t="str">
        <f>[4]ITEMS_Comm!B110</f>
        <v>E</v>
      </c>
      <c r="C84" s="27" t="str">
        <f>[4]ITEMS_Comm!C110</f>
        <v>ICPS</v>
      </c>
      <c r="D84" s="27" t="str">
        <f>[4]ITEMS_Comm!D110</f>
        <v>Industry-Chemicals-boiler/process heating - Coal - Existing</v>
      </c>
      <c r="E84" s="19" t="str">
        <f>[4]ITEMS_Comm!E110</f>
        <v>PJ</v>
      </c>
      <c r="F84" s="19" t="str">
        <f>[4]ITEMS_Comm!F110</f>
        <v>COM,DEM,ANNUAL,RES</v>
      </c>
    </row>
    <row r="85" spans="1:6">
      <c r="A85" s="27" t="str">
        <f>[4]ITEMS_Comm!A111</f>
        <v/>
      </c>
      <c r="B85" s="19" t="str">
        <f>[4]ITEMS_Comm!B111</f>
        <v>E</v>
      </c>
      <c r="C85" s="27" t="str">
        <f>[4]ITEMS_Comm!C111</f>
        <v>ICPS</v>
      </c>
      <c r="D85" s="27" t="str">
        <f>[4]ITEMS_Comm!D111</f>
        <v>Industry-Chemicals-boiler/process heating - Gas - Existing</v>
      </c>
      <c r="E85" s="19" t="str">
        <f>[4]ITEMS_Comm!E111</f>
        <v>PJ</v>
      </c>
      <c r="F85" s="19" t="str">
        <f>[4]ITEMS_Comm!F111</f>
        <v>COM,DEM,ANNUAL,RES</v>
      </c>
    </row>
    <row r="86" spans="1:6">
      <c r="A86" s="27" t="str">
        <f>[4]ITEMS_Comm!A112</f>
        <v/>
      </c>
      <c r="B86" s="19" t="str">
        <f>[4]ITEMS_Comm!B112</f>
        <v>E</v>
      </c>
      <c r="C86" s="27" t="str">
        <f>[4]ITEMS_Comm!C112</f>
        <v>ICPS</v>
      </c>
      <c r="D86" s="27" t="str">
        <f>[4]ITEMS_Comm!D112</f>
        <v>Industry-Chemicals-boiler/process heating - Oil HFO - Existing</v>
      </c>
      <c r="E86" s="19" t="str">
        <f>[4]ITEMS_Comm!E112</f>
        <v>PJ</v>
      </c>
      <c r="F86" s="19" t="str">
        <f>[4]ITEMS_Comm!F112</f>
        <v>COM,DEM,ANNUAL,RES</v>
      </c>
    </row>
    <row r="87" spans="1:6">
      <c r="A87" s="27" t="str">
        <f>[4]ITEMS_Comm!A113</f>
        <v/>
      </c>
      <c r="B87" s="19" t="str">
        <f>[4]ITEMS_Comm!B113</f>
        <v>E</v>
      </c>
      <c r="C87" s="27" t="str">
        <f>[4]ITEMS_Comm!C113</f>
        <v>ICPS</v>
      </c>
      <c r="D87" s="27" t="str">
        <f>[4]ITEMS_Comm!D113</f>
        <v>Industry-Chemicals-boiler/process heating - Oil LPG - Existing</v>
      </c>
      <c r="E87" s="19" t="str">
        <f>[4]ITEMS_Comm!E113</f>
        <v>PJ</v>
      </c>
      <c r="F87" s="19" t="str">
        <f>[4]ITEMS_Comm!F113</f>
        <v>COM,DEM,ANNUAL,RES</v>
      </c>
    </row>
    <row r="88" spans="1:6">
      <c r="A88" s="27" t="str">
        <f>[4]ITEMS_Comm!A114</f>
        <v/>
      </c>
      <c r="B88" s="19" t="str">
        <f>[4]ITEMS_Comm!B114</f>
        <v>E</v>
      </c>
      <c r="C88" s="27" t="str">
        <f>[4]ITEMS_Comm!C114</f>
        <v>ICPS</v>
      </c>
      <c r="D88" s="27" t="str">
        <f>[4]ITEMS_Comm!D114</f>
        <v>Industry-Chemicals-boiler/process heating - Electricity - Existing</v>
      </c>
      <c r="E88" s="19" t="str">
        <f>[4]ITEMS_Comm!E114</f>
        <v>PJ</v>
      </c>
      <c r="F88" s="19" t="str">
        <f>[4]ITEMS_Comm!F114</f>
        <v>COM,DEM,ANNUAL,RES</v>
      </c>
    </row>
    <row r="89" spans="1:6">
      <c r="A89" s="27" t="str">
        <f>[4]ITEMS_Comm!A115</f>
        <v/>
      </c>
      <c r="B89" s="19" t="str">
        <f>[4]ITEMS_Comm!B115</f>
        <v>E</v>
      </c>
      <c r="C89" s="27" t="str">
        <f>[4]ITEMS_Comm!C115</f>
        <v>ICPS</v>
      </c>
      <c r="D89" s="27" t="str">
        <f>[4]ITEMS_Comm!D115</f>
        <v>Industry-Chemicals-boiler/process heating - Waste - Existing</v>
      </c>
      <c r="E89" s="19" t="str">
        <f>[4]ITEMS_Comm!E115</f>
        <v>PJ</v>
      </c>
      <c r="F89" s="19" t="str">
        <f>[4]ITEMS_Comm!F115</f>
        <v>COM,DEM,ANNUAL,RES</v>
      </c>
    </row>
    <row r="90" spans="1:6">
      <c r="A90" s="27" t="str">
        <f>[4]ITEMS_Comm!A116</f>
        <v>*</v>
      </c>
      <c r="B90" s="19" t="str">
        <f>[4]ITEMS_Comm!B116</f>
        <v>E</v>
      </c>
      <c r="C90" s="27">
        <f>[4]ITEMS_Comm!C116</f>
        <v>0</v>
      </c>
      <c r="D90" s="27" t="str">
        <f>[4]ITEMS_Comm!D116</f>
        <v/>
      </c>
      <c r="E90" s="19" t="str">
        <f>[4]ITEMS_Comm!E116</f>
        <v>PJ</v>
      </c>
      <c r="F90" s="19" t="str">
        <f>[4]ITEMS_Comm!F116</f>
        <v>COM,DEM,ANNUAL,RES</v>
      </c>
    </row>
    <row r="91" spans="1:6">
      <c r="A91" s="27" t="str">
        <f>[4]ITEMS_Comm!A117</f>
        <v/>
      </c>
      <c r="B91" s="19" t="str">
        <f>[4]ITEMS_Comm!B117</f>
        <v>E</v>
      </c>
      <c r="C91" s="27" t="str">
        <f>[4]ITEMS_Comm!C117</f>
        <v>ICPT</v>
      </c>
      <c r="D91" s="27" t="str">
        <f>[4]ITEMS_Comm!D117</f>
        <v>Industry-Chemicals-Ancillary - Gas - Existing</v>
      </c>
      <c r="E91" s="19" t="str">
        <f>[4]ITEMS_Comm!E117</f>
        <v>PJ</v>
      </c>
      <c r="F91" s="19" t="str">
        <f>[4]ITEMS_Comm!F117</f>
        <v>COM,DEM,ANNUAL,RES</v>
      </c>
    </row>
    <row r="92" spans="1:6">
      <c r="A92" s="27" t="str">
        <f>[4]ITEMS_Comm!A118</f>
        <v>*</v>
      </c>
      <c r="B92" s="19" t="str">
        <f>[4]ITEMS_Comm!B118</f>
        <v>E</v>
      </c>
      <c r="C92" s="27" t="str">
        <f>[4]ITEMS_Comm!C118</f>
        <v>Useful Energy Service</v>
      </c>
      <c r="D92" s="27" t="str">
        <f>[4]ITEMS_Comm!D118</f>
        <v/>
      </c>
      <c r="E92" s="19" t="str">
        <f>[4]ITEMS_Comm!E118</f>
        <v>PJ</v>
      </c>
      <c r="F92" s="19" t="str">
        <f>[4]ITEMS_Comm!F118</f>
        <v>COM,DEM,ANNUAL,RES</v>
      </c>
    </row>
    <row r="93" spans="1:6">
      <c r="A93" s="27" t="str">
        <f>[4]ITEMS_Comm!A119</f>
        <v>*</v>
      </c>
      <c r="B93" s="19" t="str">
        <f>[4]ITEMS_Comm!B119</f>
        <v>E</v>
      </c>
      <c r="C93" s="27">
        <f>[4]ITEMS_Comm!C119</f>
        <v>0</v>
      </c>
      <c r="D93" s="27" t="str">
        <f>[4]ITEMS_Comm!D119</f>
        <v/>
      </c>
      <c r="E93" s="19" t="str">
        <f>[4]ITEMS_Comm!E119</f>
        <v>PJ</v>
      </c>
      <c r="F93" s="19" t="str">
        <f>[4]ITEMS_Comm!F119</f>
        <v>COM,DEM,ANNUAL,RES</v>
      </c>
    </row>
    <row r="94" spans="1:6">
      <c r="A94" s="27" t="str">
        <f>[4]ITEMS_Comm!A120</f>
        <v>*</v>
      </c>
      <c r="B94" s="19" t="str">
        <f>[4]ITEMS_Comm!B120</f>
        <v>E</v>
      </c>
      <c r="C94" s="27">
        <f>[4]ITEMS_Comm!C120</f>
        <v>2</v>
      </c>
      <c r="D94" s="27" t="str">
        <f>[4]ITEMS_Comm!D120</f>
        <v/>
      </c>
      <c r="E94" s="19" t="str">
        <f>[4]ITEMS_Comm!E120</f>
        <v>PJ</v>
      </c>
      <c r="F94" s="19" t="str">
        <f>[4]ITEMS_Comm!F120</f>
        <v>COM,DEM,ANNUAL,RES</v>
      </c>
    </row>
    <row r="95" spans="1:6">
      <c r="A95" s="27" t="str">
        <f>[4]ITEMS_Comm!A121</f>
        <v/>
      </c>
      <c r="B95" s="19" t="str">
        <f>[4]ITEMS_Comm!B121</f>
        <v>E</v>
      </c>
      <c r="C95" s="27" t="str">
        <f>[4]ITEMS_Comm!C121</f>
        <v>INFK</v>
      </c>
      <c r="D95" s="27" t="str">
        <f>[4]ITEMS_Comm!D121</f>
        <v>Industry-Precious &amp; Non-Ferrous metals-Elec Heating - Electricity</v>
      </c>
      <c r="E95" s="19" t="str">
        <f>[4]ITEMS_Comm!E121</f>
        <v>PJ</v>
      </c>
      <c r="F95" s="19" t="str">
        <f>[4]ITEMS_Comm!F121</f>
        <v>COM,DEM,ANNUAL,RES</v>
      </c>
    </row>
    <row r="96" spans="1:6">
      <c r="A96" s="27" t="str">
        <f>[4]ITEMS_Comm!A122</f>
        <v/>
      </c>
      <c r="B96" s="19" t="str">
        <f>[4]ITEMS_Comm!B122</f>
        <v>E</v>
      </c>
      <c r="C96" s="27" t="str">
        <f>[4]ITEMS_Comm!C122</f>
        <v>INFA</v>
      </c>
      <c r="D96" s="27" t="str">
        <f>[4]ITEMS_Comm!D122</f>
        <v>Industry-Precious &amp; Non-Ferrous metals-Compressed air - Electricity</v>
      </c>
      <c r="E96" s="19" t="str">
        <f>[4]ITEMS_Comm!E122</f>
        <v>PJ</v>
      </c>
      <c r="F96" s="19" t="str">
        <f>[4]ITEMS_Comm!F122</f>
        <v>COM,DEM,ANNUAL,RES</v>
      </c>
    </row>
    <row r="97" spans="1:6">
      <c r="A97" s="27" t="str">
        <f>[4]ITEMS_Comm!A123</f>
        <v/>
      </c>
      <c r="B97" s="19" t="str">
        <f>[4]ITEMS_Comm!B123</f>
        <v>E</v>
      </c>
      <c r="C97" s="27" t="str">
        <f>[4]ITEMS_Comm!C123</f>
        <v>INFL</v>
      </c>
      <c r="D97" s="27" t="str">
        <f>[4]ITEMS_Comm!D123</f>
        <v>Industry-Precious &amp; Non-Ferrous metals-Lighting - Electricity</v>
      </c>
      <c r="E97" s="19" t="str">
        <f>[4]ITEMS_Comm!E123</f>
        <v>PJ</v>
      </c>
      <c r="F97" s="19" t="str">
        <f>[4]ITEMS_Comm!F123</f>
        <v>COM,DEM,ANNUAL,RES</v>
      </c>
    </row>
    <row r="98" spans="1:6">
      <c r="A98" s="27" t="str">
        <f>[4]ITEMS_Comm!A124</f>
        <v/>
      </c>
      <c r="B98" s="19" t="str">
        <f>[4]ITEMS_Comm!B124</f>
        <v>E</v>
      </c>
      <c r="C98" s="27" t="str">
        <f>[4]ITEMS_Comm!C124</f>
        <v>INFC</v>
      </c>
      <c r="D98" s="27" t="str">
        <f>[4]ITEMS_Comm!D124</f>
        <v>Industry-Precious &amp; Non-Ferrous metals-Cooling - Electricity</v>
      </c>
      <c r="E98" s="19" t="str">
        <f>[4]ITEMS_Comm!E124</f>
        <v>PJ</v>
      </c>
      <c r="F98" s="19" t="str">
        <f>[4]ITEMS_Comm!F124</f>
        <v>COM,DEM,ANNUAL,RES</v>
      </c>
    </row>
    <row r="99" spans="1:6">
      <c r="A99" s="27" t="str">
        <f>[4]ITEMS_Comm!A125</f>
        <v/>
      </c>
      <c r="B99" s="19" t="str">
        <f>[4]ITEMS_Comm!B125</f>
        <v>E</v>
      </c>
      <c r="C99" s="27" t="str">
        <f>[4]ITEMS_Comm!C125</f>
        <v>INFH</v>
      </c>
      <c r="D99" s="27" t="str">
        <f>[4]ITEMS_Comm!D125</f>
        <v>Industry-Precious &amp; Non-Ferrous metals-HVAC - Electricity</v>
      </c>
      <c r="E99" s="19" t="str">
        <f>[4]ITEMS_Comm!E125</f>
        <v>PJ</v>
      </c>
      <c r="F99" s="19" t="str">
        <f>[4]ITEMS_Comm!F125</f>
        <v>COM,DEM,ANNUAL,RES</v>
      </c>
    </row>
    <row r="100" spans="1:6">
      <c r="A100" s="27" t="str">
        <f>[4]ITEMS_Comm!A126</f>
        <v/>
      </c>
      <c r="B100" s="19" t="str">
        <f>[4]ITEMS_Comm!B126</f>
        <v>E</v>
      </c>
      <c r="C100" s="27" t="str">
        <f>[4]ITEMS_Comm!C126</f>
        <v>INFP</v>
      </c>
      <c r="D100" s="27" t="str">
        <f>[4]ITEMS_Comm!D126</f>
        <v>Industry-Precious &amp; Non-Ferrous metals-Pumping - Electricity</v>
      </c>
      <c r="E100" s="19" t="str">
        <f>[4]ITEMS_Comm!E126</f>
        <v>PJ</v>
      </c>
      <c r="F100" s="19" t="str">
        <f>[4]ITEMS_Comm!F126</f>
        <v>COM,DEM,ANNUAL,RES</v>
      </c>
    </row>
    <row r="101" spans="1:6">
      <c r="A101" s="27" t="str">
        <f>[4]ITEMS_Comm!A127</f>
        <v/>
      </c>
      <c r="B101" s="19" t="str">
        <f>[4]ITEMS_Comm!B127</f>
        <v>E</v>
      </c>
      <c r="C101" s="27" t="str">
        <f>[4]ITEMS_Comm!C127</f>
        <v>INFF</v>
      </c>
      <c r="D101" s="27" t="str">
        <f>[4]ITEMS_Comm!D127</f>
        <v>Industry-Precious &amp; Non-Ferrous metals-Fans - Electricity</v>
      </c>
      <c r="E101" s="19" t="str">
        <f>[4]ITEMS_Comm!E127</f>
        <v>PJ</v>
      </c>
      <c r="F101" s="19" t="str">
        <f>[4]ITEMS_Comm!F127</f>
        <v>COM,DEM,ANNUAL,RES</v>
      </c>
    </row>
    <row r="102" spans="1:6">
      <c r="A102" s="27" t="str">
        <f>[4]ITEMS_Comm!A128</f>
        <v/>
      </c>
      <c r="B102" s="19" t="str">
        <f>[4]ITEMS_Comm!B128</f>
        <v>E</v>
      </c>
      <c r="C102" s="27" t="str">
        <f>[4]ITEMS_Comm!C128</f>
        <v>INFO</v>
      </c>
      <c r="D102" s="27" t="str">
        <f>[4]ITEMS_Comm!D128</f>
        <v>Industry-Precious &amp; Non-Ferrous metals-Other motive - Electricity</v>
      </c>
      <c r="E102" s="19" t="str">
        <f>[4]ITEMS_Comm!E128</f>
        <v>PJ</v>
      </c>
      <c r="F102" s="19" t="str">
        <f>[4]ITEMS_Comm!F128</f>
        <v>COM,DEM,ANNUAL,RES</v>
      </c>
    </row>
    <row r="103" spans="1:6">
      <c r="A103" s="27" t="str">
        <f>[4]ITEMS_Comm!A129</f>
        <v/>
      </c>
      <c r="B103" s="19" t="str">
        <f>[4]ITEMS_Comm!B129</f>
        <v>E</v>
      </c>
      <c r="C103" s="27" t="str">
        <f>[4]ITEMS_Comm!C129</f>
        <v>INFE</v>
      </c>
      <c r="D103" s="27" t="str">
        <f>[4]ITEMS_Comm!D129</f>
        <v>Industry-Precious &amp; Non-Ferrous metals-Electrochemical - Electricity</v>
      </c>
      <c r="E103" s="19" t="str">
        <f>[4]ITEMS_Comm!E129</f>
        <v>PJ</v>
      </c>
      <c r="F103" s="19" t="str">
        <f>[4]ITEMS_Comm!F129</f>
        <v>COM,DEM,ANNUAL,RES</v>
      </c>
    </row>
    <row r="104" spans="1:6">
      <c r="A104" s="27" t="str">
        <f>[4]ITEMS_Comm!A130</f>
        <v>*</v>
      </c>
      <c r="B104" s="19" t="str">
        <f>[4]ITEMS_Comm!B130</f>
        <v>E</v>
      </c>
      <c r="C104" s="27" t="str">
        <f>[4]ITEMS_Comm!C130</f>
        <v xml:space="preserve"> </v>
      </c>
      <c r="D104" s="27" t="str">
        <f>[4]ITEMS_Comm!D130</f>
        <v/>
      </c>
      <c r="E104" s="19" t="str">
        <f>[4]ITEMS_Comm!E130</f>
        <v>PJ</v>
      </c>
      <c r="F104" s="19" t="str">
        <f>[4]ITEMS_Comm!F130</f>
        <v>COM,DEM,ANNUAL,RES</v>
      </c>
    </row>
    <row r="105" spans="1:6">
      <c r="A105" s="27" t="str">
        <f>[4]ITEMS_Comm!A131</f>
        <v/>
      </c>
      <c r="B105" s="19" t="str">
        <f>[4]ITEMS_Comm!B131</f>
        <v>E</v>
      </c>
      <c r="C105" s="27" t="str">
        <f>[4]ITEMS_Comm!C131</f>
        <v>INFS</v>
      </c>
      <c r="D105" s="27" t="str">
        <f>[4]ITEMS_Comm!D131</f>
        <v>Industry-Precious &amp; Non-Ferrous metals-boiler/process heating - Coal - Existing</v>
      </c>
      <c r="E105" s="19" t="str">
        <f>[4]ITEMS_Comm!E131</f>
        <v>PJ</v>
      </c>
      <c r="F105" s="19" t="str">
        <f>[4]ITEMS_Comm!F131</f>
        <v>COM,DEM,ANNUAL,RES</v>
      </c>
    </row>
    <row r="106" spans="1:6">
      <c r="A106" s="27" t="str">
        <f>[4]ITEMS_Comm!A132</f>
        <v/>
      </c>
      <c r="B106" s="19" t="str">
        <f>[4]ITEMS_Comm!B132</f>
        <v>E</v>
      </c>
      <c r="C106" s="27" t="str">
        <f>[4]ITEMS_Comm!C132</f>
        <v>INFS</v>
      </c>
      <c r="D106" s="27" t="str">
        <f>[4]ITEMS_Comm!D132</f>
        <v>Industry-Precious &amp; Non-Ferrous metals-boiler/process heating - Gas - Existing</v>
      </c>
      <c r="E106" s="19" t="str">
        <f>[4]ITEMS_Comm!E132</f>
        <v>PJ</v>
      </c>
      <c r="F106" s="19" t="str">
        <f>[4]ITEMS_Comm!F132</f>
        <v>COM,DEM,ANNUAL,RES</v>
      </c>
    </row>
    <row r="107" spans="1:6">
      <c r="A107" s="27" t="str">
        <f>[4]ITEMS_Comm!A133</f>
        <v/>
      </c>
      <c r="B107" s="19" t="str">
        <f>[4]ITEMS_Comm!B133</f>
        <v>E</v>
      </c>
      <c r="C107" s="27" t="str">
        <f>[4]ITEMS_Comm!C133</f>
        <v>INFS</v>
      </c>
      <c r="D107" s="27" t="str">
        <f>[4]ITEMS_Comm!D133</f>
        <v>Industry-Precious &amp; Non-Ferrous metals-boiler/process heating - Oil HFO - Existing</v>
      </c>
      <c r="E107" s="19" t="str">
        <f>[4]ITEMS_Comm!E133</f>
        <v>PJ</v>
      </c>
      <c r="F107" s="19" t="str">
        <f>[4]ITEMS_Comm!F133</f>
        <v>COM,DEM,ANNUAL,RES</v>
      </c>
    </row>
    <row r="108" spans="1:6">
      <c r="A108" s="27" t="str">
        <f>[4]ITEMS_Comm!A134</f>
        <v/>
      </c>
      <c r="B108" s="19" t="str">
        <f>[4]ITEMS_Comm!B134</f>
        <v>E</v>
      </c>
      <c r="C108" s="27" t="str">
        <f>[4]ITEMS_Comm!C134</f>
        <v>INFS</v>
      </c>
      <c r="D108" s="27" t="str">
        <f>[4]ITEMS_Comm!D134</f>
        <v>Industry-Precious &amp; Non-Ferrous metals-boiler/process heating - Oil LPG - Existing</v>
      </c>
      <c r="E108" s="19" t="str">
        <f>[4]ITEMS_Comm!E134</f>
        <v>PJ</v>
      </c>
      <c r="F108" s="19" t="str">
        <f>[4]ITEMS_Comm!F134</f>
        <v>COM,DEM,ANNUAL,RES</v>
      </c>
    </row>
    <row r="109" spans="1:6">
      <c r="A109" s="27" t="str">
        <f>[4]ITEMS_Comm!A135</f>
        <v/>
      </c>
      <c r="B109" s="19" t="str">
        <f>[4]ITEMS_Comm!B135</f>
        <v>E</v>
      </c>
      <c r="C109" s="27" t="str">
        <f>[4]ITEMS_Comm!C135</f>
        <v>INFS</v>
      </c>
      <c r="D109" s="27" t="str">
        <f>[4]ITEMS_Comm!D135</f>
        <v>Industry-Precious &amp; Non-Ferrous metals-boiler/process heating - Electricity - Existing</v>
      </c>
      <c r="E109" s="19" t="str">
        <f>[4]ITEMS_Comm!E135</f>
        <v>PJ</v>
      </c>
      <c r="F109" s="19" t="str">
        <f>[4]ITEMS_Comm!F135</f>
        <v>COM,DEM,ANNUAL,RES</v>
      </c>
    </row>
    <row r="110" spans="1:6">
      <c r="A110" s="27" t="str">
        <f>[4]ITEMS_Comm!A136</f>
        <v/>
      </c>
      <c r="B110" s="19" t="str">
        <f>[4]ITEMS_Comm!B136</f>
        <v>E</v>
      </c>
      <c r="C110" s="27" t="str">
        <f>[4]ITEMS_Comm!C136</f>
        <v>INFS</v>
      </c>
      <c r="D110" s="27" t="str">
        <f>[4]ITEMS_Comm!D136</f>
        <v>Industry-Precious &amp; Non-Ferrous metals-boiler/process heating - Waste - Existing</v>
      </c>
      <c r="E110" s="19" t="str">
        <f>[4]ITEMS_Comm!E136</f>
        <v>PJ</v>
      </c>
      <c r="F110" s="19" t="str">
        <f>[4]ITEMS_Comm!F136</f>
        <v>COM,DEM,ANNUAL,RES</v>
      </c>
    </row>
    <row r="111" spans="1:6">
      <c r="A111" s="27" t="str">
        <f>[4]ITEMS_Comm!A137</f>
        <v>*</v>
      </c>
      <c r="B111" s="19" t="str">
        <f>[4]ITEMS_Comm!B137</f>
        <v>E</v>
      </c>
      <c r="C111" s="27" t="str">
        <f>[4]ITEMS_Comm!C137</f>
        <v>Useful Energy Service</v>
      </c>
      <c r="D111" s="27" t="str">
        <f>[4]ITEMS_Comm!D137</f>
        <v/>
      </c>
      <c r="E111" s="19" t="str">
        <f>[4]ITEMS_Comm!E137</f>
        <v>PJ</v>
      </c>
      <c r="F111" s="19" t="str">
        <f>[4]ITEMS_Comm!F137</f>
        <v>COM,DEM,ANNUAL,RES</v>
      </c>
    </row>
    <row r="112" spans="1:6">
      <c r="A112" s="27" t="str">
        <f>[4]ITEMS_Comm!A138</f>
        <v>*</v>
      </c>
      <c r="B112" s="19" t="str">
        <f>[4]ITEMS_Comm!B138</f>
        <v>E</v>
      </c>
      <c r="C112" s="27">
        <f>[4]ITEMS_Comm!C138</f>
        <v>0</v>
      </c>
      <c r="D112" s="27" t="str">
        <f>[4]ITEMS_Comm!D138</f>
        <v/>
      </c>
      <c r="E112" s="19" t="str">
        <f>[4]ITEMS_Comm!E138</f>
        <v>PJ</v>
      </c>
      <c r="F112" s="19" t="str">
        <f>[4]ITEMS_Comm!F138</f>
        <v>COM,DEM,ANNUAL,RES</v>
      </c>
    </row>
    <row r="113" spans="1:6">
      <c r="A113" s="27" t="str">
        <f>[4]ITEMS_Comm!A139</f>
        <v>*</v>
      </c>
      <c r="B113" s="19" t="str">
        <f>[4]ITEMS_Comm!B139</f>
        <v>E</v>
      </c>
      <c r="C113" s="27">
        <f>[4]ITEMS_Comm!C139</f>
        <v>2</v>
      </c>
      <c r="D113" s="27" t="str">
        <f>[4]ITEMS_Comm!D139</f>
        <v/>
      </c>
      <c r="E113" s="19" t="str">
        <f>[4]ITEMS_Comm!E139</f>
        <v>PJ</v>
      </c>
      <c r="F113" s="19" t="str">
        <f>[4]ITEMS_Comm!F139</f>
        <v>COM,DEM,ANNUAL,RES</v>
      </c>
    </row>
    <row r="114" spans="1:6">
      <c r="A114" s="27" t="str">
        <f>[4]ITEMS_Comm!A140</f>
        <v>*</v>
      </c>
      <c r="B114" s="19" t="str">
        <f>[4]ITEMS_Comm!B140</f>
        <v>E</v>
      </c>
      <c r="C114" s="27" t="str">
        <f>[4]ITEMS_Comm!C140</f>
        <v>INMK</v>
      </c>
      <c r="D114" s="27" t="str">
        <f>[4]ITEMS_Comm!D140</f>
        <v/>
      </c>
      <c r="E114" s="19" t="str">
        <f>[4]ITEMS_Comm!E140</f>
        <v>PJ</v>
      </c>
      <c r="F114" s="19" t="str">
        <f>[4]ITEMS_Comm!F140</f>
        <v>COM,DEM,ANNUAL,RES</v>
      </c>
    </row>
    <row r="115" spans="1:6">
      <c r="A115" s="27" t="str">
        <f>[4]ITEMS_Comm!A141</f>
        <v>*</v>
      </c>
      <c r="B115" s="19" t="str">
        <f>[4]ITEMS_Comm!B141</f>
        <v>E</v>
      </c>
      <c r="C115" s="27" t="str">
        <f>[4]ITEMS_Comm!C141</f>
        <v>INMA</v>
      </c>
      <c r="D115" s="27" t="str">
        <f>[4]ITEMS_Comm!D141</f>
        <v/>
      </c>
      <c r="E115" s="19" t="str">
        <f>[4]ITEMS_Comm!E141</f>
        <v>PJ</v>
      </c>
      <c r="F115" s="19" t="str">
        <f>[4]ITEMS_Comm!F141</f>
        <v>COM,DEM,ANNUAL,RES</v>
      </c>
    </row>
    <row r="116" spans="1:6">
      <c r="A116" s="27" t="str">
        <f>[4]ITEMS_Comm!A142</f>
        <v>*</v>
      </c>
      <c r="B116" s="19" t="str">
        <f>[4]ITEMS_Comm!B142</f>
        <v>E</v>
      </c>
      <c r="C116" s="27" t="str">
        <f>[4]ITEMS_Comm!C142</f>
        <v>INML</v>
      </c>
      <c r="D116" s="27" t="str">
        <f>[4]ITEMS_Comm!D142</f>
        <v/>
      </c>
      <c r="E116" s="19" t="str">
        <f>[4]ITEMS_Comm!E142</f>
        <v>PJ</v>
      </c>
      <c r="F116" s="19" t="str">
        <f>[4]ITEMS_Comm!F142</f>
        <v>COM,DEM,ANNUAL,RES</v>
      </c>
    </row>
    <row r="117" spans="1:6">
      <c r="A117" s="27" t="str">
        <f>[4]ITEMS_Comm!A143</f>
        <v>*</v>
      </c>
      <c r="B117" s="19" t="str">
        <f>[4]ITEMS_Comm!B143</f>
        <v>E</v>
      </c>
      <c r="C117" s="27" t="str">
        <f>[4]ITEMS_Comm!C143</f>
        <v>INMC</v>
      </c>
      <c r="D117" s="27" t="str">
        <f>[4]ITEMS_Comm!D143</f>
        <v/>
      </c>
      <c r="E117" s="19" t="str">
        <f>[4]ITEMS_Comm!E143</f>
        <v>PJ</v>
      </c>
      <c r="F117" s="19" t="str">
        <f>[4]ITEMS_Comm!F143</f>
        <v>COM,DEM,ANNUAL,RES</v>
      </c>
    </row>
    <row r="118" spans="1:6">
      <c r="A118" s="27" t="str">
        <f>[4]ITEMS_Comm!A144</f>
        <v>*</v>
      </c>
      <c r="B118" s="19" t="str">
        <f>[4]ITEMS_Comm!B144</f>
        <v>E</v>
      </c>
      <c r="C118" s="27" t="str">
        <f>[4]ITEMS_Comm!C144</f>
        <v>INMH</v>
      </c>
      <c r="D118" s="27" t="str">
        <f>[4]ITEMS_Comm!D144</f>
        <v/>
      </c>
      <c r="E118" s="19" t="str">
        <f>[4]ITEMS_Comm!E144</f>
        <v>PJ</v>
      </c>
      <c r="F118" s="19" t="str">
        <f>[4]ITEMS_Comm!F144</f>
        <v>COM,DEM,ANNUAL,RES</v>
      </c>
    </row>
    <row r="119" spans="1:6">
      <c r="A119" s="27" t="str">
        <f>[4]ITEMS_Comm!A145</f>
        <v>*</v>
      </c>
      <c r="B119" s="19" t="str">
        <f>[4]ITEMS_Comm!B145</f>
        <v>E</v>
      </c>
      <c r="C119" s="27" t="str">
        <f>[4]ITEMS_Comm!C145</f>
        <v>INMP</v>
      </c>
      <c r="D119" s="27" t="str">
        <f>[4]ITEMS_Comm!D145</f>
        <v/>
      </c>
      <c r="E119" s="19" t="str">
        <f>[4]ITEMS_Comm!E145</f>
        <v>PJ</v>
      </c>
      <c r="F119" s="19" t="str">
        <f>[4]ITEMS_Comm!F145</f>
        <v>COM,DEM,ANNUAL,RES</v>
      </c>
    </row>
    <row r="120" spans="1:6">
      <c r="A120" s="27" t="str">
        <f>[4]ITEMS_Comm!A146</f>
        <v>*</v>
      </c>
      <c r="B120" s="19" t="str">
        <f>[4]ITEMS_Comm!B146</f>
        <v>E</v>
      </c>
      <c r="C120" s="27" t="str">
        <f>[4]ITEMS_Comm!C146</f>
        <v>INMF</v>
      </c>
      <c r="D120" s="27" t="str">
        <f>[4]ITEMS_Comm!D146</f>
        <v/>
      </c>
      <c r="E120" s="19" t="str">
        <f>[4]ITEMS_Comm!E146</f>
        <v>PJ</v>
      </c>
      <c r="F120" s="19" t="str">
        <f>[4]ITEMS_Comm!F146</f>
        <v>COM,DEM,ANNUAL,RES</v>
      </c>
    </row>
    <row r="121" spans="1:6">
      <c r="A121" s="27" t="str">
        <f>[4]ITEMS_Comm!A147</f>
        <v>*</v>
      </c>
      <c r="B121" s="19" t="str">
        <f>[4]ITEMS_Comm!B147</f>
        <v>E</v>
      </c>
      <c r="C121" s="27" t="str">
        <f>[4]ITEMS_Comm!C147</f>
        <v>INMO</v>
      </c>
      <c r="D121" s="27" t="str">
        <f>[4]ITEMS_Comm!D147</f>
        <v/>
      </c>
      <c r="E121" s="19" t="str">
        <f>[4]ITEMS_Comm!E147</f>
        <v>PJ</v>
      </c>
      <c r="F121" s="19" t="str">
        <f>[4]ITEMS_Comm!F147</f>
        <v>COM,DEM,ANNUAL,RES</v>
      </c>
    </row>
    <row r="122" spans="1:6">
      <c r="A122" s="27" t="str">
        <f>[4]ITEMS_Comm!A148</f>
        <v>*</v>
      </c>
      <c r="B122" s="19" t="str">
        <f>[4]ITEMS_Comm!B148</f>
        <v>E</v>
      </c>
      <c r="C122" s="27" t="str">
        <f>[4]ITEMS_Comm!C148</f>
        <v>INME</v>
      </c>
      <c r="D122" s="27" t="str">
        <f>[4]ITEMS_Comm!D148</f>
        <v/>
      </c>
      <c r="E122" s="19" t="str">
        <f>[4]ITEMS_Comm!E148</f>
        <v>PJ</v>
      </c>
      <c r="F122" s="19" t="str">
        <f>[4]ITEMS_Comm!F148</f>
        <v>COM,DEM,ANNUAL,RES</v>
      </c>
    </row>
    <row r="123" spans="1:6">
      <c r="A123" s="27" t="str">
        <f>[4]ITEMS_Comm!A149</f>
        <v>*</v>
      </c>
      <c r="B123" s="19" t="str">
        <f>[4]ITEMS_Comm!B149</f>
        <v>E</v>
      </c>
      <c r="C123" s="27" t="str">
        <f>[4]ITEMS_Comm!C149</f>
        <v xml:space="preserve"> </v>
      </c>
      <c r="D123" s="27" t="str">
        <f>[4]ITEMS_Comm!D149</f>
        <v/>
      </c>
      <c r="E123" s="19" t="str">
        <f>[4]ITEMS_Comm!E149</f>
        <v>PJ</v>
      </c>
      <c r="F123" s="19" t="str">
        <f>[4]ITEMS_Comm!F149</f>
        <v>COM,DEM,ANNUAL,RES</v>
      </c>
    </row>
    <row r="124" spans="1:6">
      <c r="A124" s="27" t="str">
        <f>[4]ITEMS_Comm!A150</f>
        <v>*</v>
      </c>
      <c r="B124" s="19" t="str">
        <f>[4]ITEMS_Comm!B150</f>
        <v>E</v>
      </c>
      <c r="C124" s="27" t="str">
        <f>[4]ITEMS_Comm!C150</f>
        <v>INMS</v>
      </c>
      <c r="D124" s="27" t="str">
        <f>[4]ITEMS_Comm!D150</f>
        <v/>
      </c>
      <c r="E124" s="19" t="str">
        <f>[4]ITEMS_Comm!E150</f>
        <v>PJ</v>
      </c>
      <c r="F124" s="19" t="str">
        <f>[4]ITEMS_Comm!F150</f>
        <v>COM,DEM,ANNUAL,RES</v>
      </c>
    </row>
    <row r="125" spans="1:6">
      <c r="A125" s="27" t="str">
        <f>[4]ITEMS_Comm!A151</f>
        <v>*</v>
      </c>
      <c r="B125" s="19" t="str">
        <f>[4]ITEMS_Comm!B151</f>
        <v>E</v>
      </c>
      <c r="C125" s="27" t="str">
        <f>[4]ITEMS_Comm!C151</f>
        <v>INMS</v>
      </c>
      <c r="D125" s="27" t="str">
        <f>[4]ITEMS_Comm!D151</f>
        <v/>
      </c>
      <c r="E125" s="19" t="str">
        <f>[4]ITEMS_Comm!E151</f>
        <v>PJ</v>
      </c>
      <c r="F125" s="19" t="str">
        <f>[4]ITEMS_Comm!F151</f>
        <v>COM,DEM,ANNUAL,RES</v>
      </c>
    </row>
    <row r="126" spans="1:6">
      <c r="A126" s="27" t="str">
        <f>[4]ITEMS_Comm!A152</f>
        <v>*</v>
      </c>
      <c r="B126" s="19" t="str">
        <f>[4]ITEMS_Comm!B152</f>
        <v>E</v>
      </c>
      <c r="C126" s="27" t="str">
        <f>[4]ITEMS_Comm!C152</f>
        <v>INMS</v>
      </c>
      <c r="D126" s="27" t="str">
        <f>[4]ITEMS_Comm!D152</f>
        <v/>
      </c>
      <c r="E126" s="19" t="str">
        <f>[4]ITEMS_Comm!E152</f>
        <v>PJ</v>
      </c>
      <c r="F126" s="19" t="str">
        <f>[4]ITEMS_Comm!F152</f>
        <v>COM,DEM,ANNUAL,RES</v>
      </c>
    </row>
    <row r="127" spans="1:6">
      <c r="A127" s="27" t="str">
        <f>[4]ITEMS_Comm!A153</f>
        <v>*</v>
      </c>
      <c r="B127" s="19" t="str">
        <f>[4]ITEMS_Comm!B153</f>
        <v>E</v>
      </c>
      <c r="C127" s="27" t="str">
        <f>[4]ITEMS_Comm!C153</f>
        <v>INMS</v>
      </c>
      <c r="D127" s="27" t="str">
        <f>[4]ITEMS_Comm!D153</f>
        <v/>
      </c>
      <c r="E127" s="19" t="str">
        <f>[4]ITEMS_Comm!E153</f>
        <v>PJ</v>
      </c>
      <c r="F127" s="19" t="str">
        <f>[4]ITEMS_Comm!F153</f>
        <v>COM,DEM,ANNUAL,RES</v>
      </c>
    </row>
    <row r="128" spans="1:6">
      <c r="A128" s="27" t="str">
        <f>[4]ITEMS_Comm!A154</f>
        <v>*</v>
      </c>
      <c r="B128" s="19" t="str">
        <f>[4]ITEMS_Comm!B154</f>
        <v>E</v>
      </c>
      <c r="C128" s="27" t="str">
        <f>[4]ITEMS_Comm!C154</f>
        <v>INMS</v>
      </c>
      <c r="D128" s="27" t="str">
        <f>[4]ITEMS_Comm!D154</f>
        <v/>
      </c>
      <c r="E128" s="19" t="str">
        <f>[4]ITEMS_Comm!E154</f>
        <v>PJ</v>
      </c>
      <c r="F128" s="19" t="str">
        <f>[4]ITEMS_Comm!F154</f>
        <v>COM,DEM,ANNUAL,RES</v>
      </c>
    </row>
    <row r="129" spans="1:6">
      <c r="A129" s="27" t="str">
        <f>[4]ITEMS_Comm!A155</f>
        <v>*</v>
      </c>
      <c r="B129" s="19" t="str">
        <f>[4]ITEMS_Comm!B155</f>
        <v>E</v>
      </c>
      <c r="C129" s="27" t="str">
        <f>[4]ITEMS_Comm!C155</f>
        <v>INMS</v>
      </c>
      <c r="D129" s="27" t="str">
        <f>[4]ITEMS_Comm!D155</f>
        <v/>
      </c>
      <c r="E129" s="19" t="str">
        <f>[4]ITEMS_Comm!E155</f>
        <v>PJ</v>
      </c>
      <c r="F129" s="19" t="str">
        <f>[4]ITEMS_Comm!F155</f>
        <v>COM,DEM,ANNUAL,RES</v>
      </c>
    </row>
    <row r="130" spans="1:6">
      <c r="A130" s="27" t="str">
        <f>[4]ITEMS_Comm!A156</f>
        <v>*</v>
      </c>
      <c r="B130" s="19" t="str">
        <f>[4]ITEMS_Comm!B156</f>
        <v>E</v>
      </c>
      <c r="C130" s="27" t="str">
        <f>[4]ITEMS_Comm!C156</f>
        <v>Useful Energy Service</v>
      </c>
      <c r="D130" s="27" t="str">
        <f>[4]ITEMS_Comm!D156</f>
        <v/>
      </c>
      <c r="E130" s="19" t="str">
        <f>[4]ITEMS_Comm!E156</f>
        <v>PJ</v>
      </c>
      <c r="F130" s="19" t="str">
        <f>[4]ITEMS_Comm!F156</f>
        <v>COM,DEM,ANNUAL,RES</v>
      </c>
    </row>
    <row r="131" spans="1:6">
      <c r="A131" s="27" t="str">
        <f>[4]ITEMS_Comm!A157</f>
        <v>*</v>
      </c>
      <c r="B131" s="19" t="str">
        <f>[4]ITEMS_Comm!B157</f>
        <v>E</v>
      </c>
      <c r="C131" s="27">
        <f>[4]ITEMS_Comm!C157</f>
        <v>0</v>
      </c>
      <c r="D131" s="27" t="str">
        <f>[4]ITEMS_Comm!D157</f>
        <v/>
      </c>
      <c r="E131" s="19" t="str">
        <f>[4]ITEMS_Comm!E157</f>
        <v>PJ</v>
      </c>
      <c r="F131" s="19" t="str">
        <f>[4]ITEMS_Comm!F157</f>
        <v>COM,DEM,ANNUAL,RES</v>
      </c>
    </row>
    <row r="132" spans="1:6">
      <c r="A132" s="27" t="str">
        <f>[4]ITEMS_Comm!A158</f>
        <v>*</v>
      </c>
      <c r="B132" s="19" t="str">
        <f>[4]ITEMS_Comm!B158</f>
        <v>E</v>
      </c>
      <c r="C132" s="27">
        <f>[4]ITEMS_Comm!C158</f>
        <v>2</v>
      </c>
      <c r="D132" s="27" t="str">
        <f>[4]ITEMS_Comm!D158</f>
        <v/>
      </c>
      <c r="E132" s="19" t="str">
        <f>[4]ITEMS_Comm!E158</f>
        <v>PJ</v>
      </c>
      <c r="F132" s="19" t="str">
        <f>[4]ITEMS_Comm!F158</f>
        <v>COM,DEM,ANNUAL,RES</v>
      </c>
    </row>
    <row r="133" spans="1:6">
      <c r="A133" s="27" t="str">
        <f>[4]ITEMS_Comm!A159</f>
        <v/>
      </c>
      <c r="B133" s="19" t="str">
        <f>[4]ITEMS_Comm!B159</f>
        <v>E</v>
      </c>
      <c r="C133" s="27" t="str">
        <f>[4]ITEMS_Comm!C159</f>
        <v>IFBK</v>
      </c>
      <c r="D133" s="27" t="str">
        <f>[4]ITEMS_Comm!D159</f>
        <v>Industry-Food, Beverage &amp; Tabacco-Elec Heating - Electricity</v>
      </c>
      <c r="E133" s="19" t="str">
        <f>[4]ITEMS_Comm!E159</f>
        <v>PJ</v>
      </c>
      <c r="F133" s="19" t="str">
        <f>[4]ITEMS_Comm!F159</f>
        <v>COM,DEM,ANNUAL,RES</v>
      </c>
    </row>
    <row r="134" spans="1:6">
      <c r="A134" s="27" t="str">
        <f>[4]ITEMS_Comm!A160</f>
        <v/>
      </c>
      <c r="B134" s="19" t="str">
        <f>[4]ITEMS_Comm!B160</f>
        <v>E</v>
      </c>
      <c r="C134" s="27" t="str">
        <f>[4]ITEMS_Comm!C160</f>
        <v>IFBA</v>
      </c>
      <c r="D134" s="27" t="str">
        <f>[4]ITEMS_Comm!D160</f>
        <v>Industry-Food, Beverage &amp; Tabacco-Compressed air - Electricity</v>
      </c>
      <c r="E134" s="19" t="str">
        <f>[4]ITEMS_Comm!E160</f>
        <v>PJ</v>
      </c>
      <c r="F134" s="19" t="str">
        <f>[4]ITEMS_Comm!F160</f>
        <v>COM,DEM,ANNUAL,RES</v>
      </c>
    </row>
    <row r="135" spans="1:6">
      <c r="A135" s="27" t="str">
        <f>[4]ITEMS_Comm!A161</f>
        <v/>
      </c>
      <c r="B135" s="19" t="str">
        <f>[4]ITEMS_Comm!B161</f>
        <v>E</v>
      </c>
      <c r="C135" s="27" t="str">
        <f>[4]ITEMS_Comm!C161</f>
        <v>IFBL</v>
      </c>
      <c r="D135" s="27" t="str">
        <f>[4]ITEMS_Comm!D161</f>
        <v>Industry-Food, Beverage &amp; Tabacco-Lighting - Electricity</v>
      </c>
      <c r="E135" s="19" t="str">
        <f>[4]ITEMS_Comm!E161</f>
        <v>PJ</v>
      </c>
      <c r="F135" s="19" t="str">
        <f>[4]ITEMS_Comm!F161</f>
        <v>COM,DEM,ANNUAL,RES</v>
      </c>
    </row>
    <row r="136" spans="1:6">
      <c r="A136" s="27" t="str">
        <f>[4]ITEMS_Comm!A162</f>
        <v/>
      </c>
      <c r="B136" s="19" t="str">
        <f>[4]ITEMS_Comm!B162</f>
        <v>E</v>
      </c>
      <c r="C136" s="27" t="str">
        <f>[4]ITEMS_Comm!C162</f>
        <v>IFBC</v>
      </c>
      <c r="D136" s="27" t="str">
        <f>[4]ITEMS_Comm!D162</f>
        <v>Industry-Food, Beverage &amp; Tabacco-Cooling - Electricity</v>
      </c>
      <c r="E136" s="19" t="str">
        <f>[4]ITEMS_Comm!E162</f>
        <v>PJ</v>
      </c>
      <c r="F136" s="19" t="str">
        <f>[4]ITEMS_Comm!F162</f>
        <v>COM,DEM,ANNUAL,RES</v>
      </c>
    </row>
    <row r="137" spans="1:6">
      <c r="A137" s="27" t="str">
        <f>[4]ITEMS_Comm!A163</f>
        <v/>
      </c>
      <c r="B137" s="19" t="str">
        <f>[4]ITEMS_Comm!B163</f>
        <v>E</v>
      </c>
      <c r="C137" s="27" t="str">
        <f>[4]ITEMS_Comm!C163</f>
        <v>IFBH</v>
      </c>
      <c r="D137" s="27" t="str">
        <f>[4]ITEMS_Comm!D163</f>
        <v>Industry-Food, Beverage &amp; Tabacco-HVAC - Electricity</v>
      </c>
      <c r="E137" s="19" t="str">
        <f>[4]ITEMS_Comm!E163</f>
        <v>PJ</v>
      </c>
      <c r="F137" s="19" t="str">
        <f>[4]ITEMS_Comm!F163</f>
        <v>COM,DEM,ANNUAL,RES</v>
      </c>
    </row>
    <row r="138" spans="1:6">
      <c r="A138" s="27" t="str">
        <f>[4]ITEMS_Comm!A164</f>
        <v/>
      </c>
      <c r="B138" s="19" t="str">
        <f>[4]ITEMS_Comm!B164</f>
        <v>E</v>
      </c>
      <c r="C138" s="27" t="str">
        <f>[4]ITEMS_Comm!C164</f>
        <v>IFBP</v>
      </c>
      <c r="D138" s="27" t="str">
        <f>[4]ITEMS_Comm!D164</f>
        <v>Industry-Food, Beverage &amp; Tabacco-Pumping - Electricity</v>
      </c>
      <c r="E138" s="19" t="str">
        <f>[4]ITEMS_Comm!E164</f>
        <v>PJ</v>
      </c>
      <c r="F138" s="19" t="str">
        <f>[4]ITEMS_Comm!F164</f>
        <v>COM,DEM,ANNUAL,RES</v>
      </c>
    </row>
    <row r="139" spans="1:6">
      <c r="A139" s="27" t="str">
        <f>[4]ITEMS_Comm!A165</f>
        <v/>
      </c>
      <c r="B139" s="19" t="str">
        <f>[4]ITEMS_Comm!B165</f>
        <v>E</v>
      </c>
      <c r="C139" s="27" t="str">
        <f>[4]ITEMS_Comm!C165</f>
        <v>IFBF</v>
      </c>
      <c r="D139" s="27" t="str">
        <f>[4]ITEMS_Comm!D165</f>
        <v>Industry-Food, Beverage &amp; Tabacco-Fans - Electricity</v>
      </c>
      <c r="E139" s="19" t="str">
        <f>[4]ITEMS_Comm!E165</f>
        <v>PJ</v>
      </c>
      <c r="F139" s="19" t="str">
        <f>[4]ITEMS_Comm!F165</f>
        <v>COM,DEM,ANNUAL,RES</v>
      </c>
    </row>
    <row r="140" spans="1:6">
      <c r="A140" s="27" t="str">
        <f>[4]ITEMS_Comm!A166</f>
        <v/>
      </c>
      <c r="B140" s="19" t="str">
        <f>[4]ITEMS_Comm!B166</f>
        <v>E</v>
      </c>
      <c r="C140" s="27" t="str">
        <f>[4]ITEMS_Comm!C166</f>
        <v>IFBO</v>
      </c>
      <c r="D140" s="27" t="str">
        <f>[4]ITEMS_Comm!D166</f>
        <v>Industry-Food, Beverage &amp; Tabacco-Other motive - Electricity</v>
      </c>
      <c r="E140" s="19" t="str">
        <f>[4]ITEMS_Comm!E166</f>
        <v>PJ</v>
      </c>
      <c r="F140" s="19" t="str">
        <f>[4]ITEMS_Comm!F166</f>
        <v>COM,DEM,ANNUAL,RES</v>
      </c>
    </row>
    <row r="141" spans="1:6">
      <c r="A141" s="27" t="str">
        <f>[4]ITEMS_Comm!A167</f>
        <v/>
      </c>
      <c r="B141" s="19" t="str">
        <f>[4]ITEMS_Comm!B167</f>
        <v>E</v>
      </c>
      <c r="C141" s="27" t="str">
        <f>[4]ITEMS_Comm!C167</f>
        <v>IFBE</v>
      </c>
      <c r="D141" s="27" t="str">
        <f>[4]ITEMS_Comm!D167</f>
        <v>Industry-Food, Beverage &amp; Tabacco-Electrochemical - Electricity</v>
      </c>
      <c r="E141" s="19" t="str">
        <f>[4]ITEMS_Comm!E167</f>
        <v>PJ</v>
      </c>
      <c r="F141" s="19" t="str">
        <f>[4]ITEMS_Comm!F167</f>
        <v>COM,DEM,ANNUAL,RES</v>
      </c>
    </row>
    <row r="142" spans="1:6">
      <c r="A142" s="27" t="str">
        <f>[4]ITEMS_Comm!A168</f>
        <v>*</v>
      </c>
      <c r="B142" s="19" t="str">
        <f>[4]ITEMS_Comm!B168</f>
        <v>E</v>
      </c>
      <c r="C142" s="27" t="str">
        <f>[4]ITEMS_Comm!C168</f>
        <v xml:space="preserve"> </v>
      </c>
      <c r="D142" s="27" t="str">
        <f>[4]ITEMS_Comm!D168</f>
        <v/>
      </c>
      <c r="E142" s="19" t="str">
        <f>[4]ITEMS_Comm!E168</f>
        <v>PJ</v>
      </c>
      <c r="F142" s="19" t="str">
        <f>[4]ITEMS_Comm!F168</f>
        <v>COM,DEM,ANNUAL,RES</v>
      </c>
    </row>
    <row r="143" spans="1:6">
      <c r="A143" s="27" t="str">
        <f>[4]ITEMS_Comm!A169</f>
        <v/>
      </c>
      <c r="B143" s="19" t="str">
        <f>[4]ITEMS_Comm!B169</f>
        <v>E</v>
      </c>
      <c r="C143" s="27" t="str">
        <f>[4]ITEMS_Comm!C169</f>
        <v>IFBS</v>
      </c>
      <c r="D143" s="27" t="str">
        <f>[4]ITEMS_Comm!D169</f>
        <v>Industry-Food, Beverage &amp; Tabacco-boiler/process heating - Coal - Existing</v>
      </c>
      <c r="E143" s="19" t="str">
        <f>[4]ITEMS_Comm!E169</f>
        <v>PJ</v>
      </c>
      <c r="F143" s="19" t="str">
        <f>[4]ITEMS_Comm!F169</f>
        <v>COM,DEM,ANNUAL,RES</v>
      </c>
    </row>
    <row r="144" spans="1:6">
      <c r="A144" s="27" t="str">
        <f>[4]ITEMS_Comm!A170</f>
        <v/>
      </c>
      <c r="B144" s="19" t="str">
        <f>[4]ITEMS_Comm!B170</f>
        <v>E</v>
      </c>
      <c r="C144" s="27" t="str">
        <f>[4]ITEMS_Comm!C170</f>
        <v>IFBS</v>
      </c>
      <c r="D144" s="27" t="str">
        <f>[4]ITEMS_Comm!D170</f>
        <v>Industry-Food, Beverage &amp; Tabacco-boiler/process heating - Gas - Existing</v>
      </c>
      <c r="E144" s="19" t="str">
        <f>[4]ITEMS_Comm!E170</f>
        <v>PJ</v>
      </c>
      <c r="F144" s="19" t="str">
        <f>[4]ITEMS_Comm!F170</f>
        <v>COM,DEM,ANNUAL,RES</v>
      </c>
    </row>
    <row r="145" spans="1:6">
      <c r="A145" s="27" t="str">
        <f>[4]ITEMS_Comm!A171</f>
        <v/>
      </c>
      <c r="B145" s="19" t="str">
        <f>[4]ITEMS_Comm!B171</f>
        <v>E</v>
      </c>
      <c r="C145" s="27" t="str">
        <f>[4]ITEMS_Comm!C171</f>
        <v>IFBS</v>
      </c>
      <c r="D145" s="27" t="str">
        <f>[4]ITEMS_Comm!D171</f>
        <v>Industry-Food, Beverage &amp; Tabacco-boiler/process heating - Oil HFO - Existing</v>
      </c>
      <c r="E145" s="19" t="str">
        <f>[4]ITEMS_Comm!E171</f>
        <v>PJ</v>
      </c>
      <c r="F145" s="19" t="str">
        <f>[4]ITEMS_Comm!F171</f>
        <v>COM,DEM,ANNUAL,RES</v>
      </c>
    </row>
    <row r="146" spans="1:6">
      <c r="A146" s="27" t="str">
        <f>[4]ITEMS_Comm!A172</f>
        <v/>
      </c>
      <c r="B146" s="19" t="str">
        <f>[4]ITEMS_Comm!B172</f>
        <v>E</v>
      </c>
      <c r="C146" s="27" t="str">
        <f>[4]ITEMS_Comm!C172</f>
        <v>IFBS</v>
      </c>
      <c r="D146" s="27" t="str">
        <f>[4]ITEMS_Comm!D172</f>
        <v>Industry-Food, Beverage &amp; Tabacco-boiler/process heating - Oil LPG - Existing</v>
      </c>
      <c r="E146" s="19" t="str">
        <f>[4]ITEMS_Comm!E172</f>
        <v>PJ</v>
      </c>
      <c r="F146" s="19" t="str">
        <f>[4]ITEMS_Comm!F172</f>
        <v>COM,DEM,ANNUAL,RES</v>
      </c>
    </row>
    <row r="147" spans="1:6">
      <c r="A147" s="27" t="str">
        <f>[4]ITEMS_Comm!A173</f>
        <v/>
      </c>
      <c r="B147" s="19" t="str">
        <f>[4]ITEMS_Comm!B173</f>
        <v>E</v>
      </c>
      <c r="C147" s="27" t="str">
        <f>[4]ITEMS_Comm!C173</f>
        <v>IFBS</v>
      </c>
      <c r="D147" s="27" t="str">
        <f>[4]ITEMS_Comm!D173</f>
        <v>Industry-Food, Beverage &amp; Tabacco-boiler/process heating - Electricity - Existing</v>
      </c>
      <c r="E147" s="19" t="str">
        <f>[4]ITEMS_Comm!E173</f>
        <v>PJ</v>
      </c>
      <c r="F147" s="19" t="str">
        <f>[4]ITEMS_Comm!F173</f>
        <v>COM,DEM,ANNUAL,RES</v>
      </c>
    </row>
    <row r="148" spans="1:6">
      <c r="A148" s="27" t="str">
        <f>[4]ITEMS_Comm!A174</f>
        <v/>
      </c>
      <c r="B148" s="19" t="str">
        <f>[4]ITEMS_Comm!B174</f>
        <v>E</v>
      </c>
      <c r="C148" s="27" t="str">
        <f>[4]ITEMS_Comm!C174</f>
        <v>IFBS</v>
      </c>
      <c r="D148" s="27" t="str">
        <f>[4]ITEMS_Comm!D174</f>
        <v>Industry-Food, Beverage &amp; Tabacco-boiler/process heating - Biomass bagasse - Existing</v>
      </c>
      <c r="E148" s="19" t="str">
        <f>[4]ITEMS_Comm!E174</f>
        <v>PJ</v>
      </c>
      <c r="F148" s="19" t="str">
        <f>[4]ITEMS_Comm!F174</f>
        <v>COM,DEM,ANNUAL,RES</v>
      </c>
    </row>
    <row r="149" spans="1:6">
      <c r="A149" s="27" t="str">
        <f>[4]ITEMS_Comm!A175</f>
        <v/>
      </c>
      <c r="B149" s="19" t="str">
        <f>[4]ITEMS_Comm!B175</f>
        <v>E</v>
      </c>
      <c r="C149" s="27" t="str">
        <f>[4]ITEMS_Comm!C175</f>
        <v>IFBS</v>
      </c>
      <c r="D149" s="27" t="str">
        <f>[4]ITEMS_Comm!D175</f>
        <v>Industry-Food, Beverage &amp; Tabacco-boiler/process heating - Waste - Existing</v>
      </c>
      <c r="E149" s="19" t="str">
        <f>[4]ITEMS_Comm!E175</f>
        <v>PJ</v>
      </c>
      <c r="F149" s="19" t="str">
        <f>[4]ITEMS_Comm!F175</f>
        <v>COM,DEM,ANNUAL,RES</v>
      </c>
    </row>
    <row r="150" spans="1:6">
      <c r="A150" s="27" t="str">
        <f>[4]ITEMS_Comm!A176</f>
        <v>*</v>
      </c>
      <c r="B150" s="19" t="str">
        <f>[4]ITEMS_Comm!B176</f>
        <v>E</v>
      </c>
      <c r="C150" s="27" t="str">
        <f>[4]ITEMS_Comm!C176</f>
        <v>Useful Energy Service</v>
      </c>
      <c r="D150" s="27" t="str">
        <f>[4]ITEMS_Comm!D176</f>
        <v/>
      </c>
      <c r="E150" s="19" t="str">
        <f>[4]ITEMS_Comm!E176</f>
        <v>PJ</v>
      </c>
      <c r="F150" s="19" t="str">
        <f>[4]ITEMS_Comm!F176</f>
        <v>COM,DEM,ANNUAL,RES</v>
      </c>
    </row>
    <row r="151" spans="1:6">
      <c r="A151" s="27" t="str">
        <f>[4]ITEMS_Comm!A177</f>
        <v>*</v>
      </c>
      <c r="B151" s="19" t="str">
        <f>[4]ITEMS_Comm!B177</f>
        <v>E</v>
      </c>
      <c r="C151" s="27">
        <f>[4]ITEMS_Comm!C177</f>
        <v>0</v>
      </c>
      <c r="D151" s="27" t="str">
        <f>[4]ITEMS_Comm!D177</f>
        <v/>
      </c>
      <c r="E151" s="19" t="str">
        <f>[4]ITEMS_Comm!E177</f>
        <v>PJ</v>
      </c>
      <c r="F151" s="19" t="str">
        <f>[4]ITEMS_Comm!F177</f>
        <v>COM,DEM,ANNUAL,RES</v>
      </c>
    </row>
    <row r="152" spans="1:6">
      <c r="A152" s="27" t="str">
        <f>[4]ITEMS_Comm!A178</f>
        <v>*</v>
      </c>
      <c r="B152" s="19" t="str">
        <f>[4]ITEMS_Comm!B178</f>
        <v>E</v>
      </c>
      <c r="C152" s="27">
        <f>[4]ITEMS_Comm!C178</f>
        <v>2</v>
      </c>
      <c r="D152" s="27" t="str">
        <f>[4]ITEMS_Comm!D178</f>
        <v/>
      </c>
      <c r="E152" s="19" t="str">
        <f>[4]ITEMS_Comm!E178</f>
        <v>PJ</v>
      </c>
      <c r="F152" s="19" t="str">
        <f>[4]ITEMS_Comm!F178</f>
        <v>COM,DEM,ANNUAL,RES</v>
      </c>
    </row>
    <row r="153" spans="1:6">
      <c r="A153" s="27" t="str">
        <f>[4]ITEMS_Comm!A179</f>
        <v>*</v>
      </c>
      <c r="B153" s="19" t="str">
        <f>[4]ITEMS_Comm!B179</f>
        <v>E</v>
      </c>
      <c r="C153" s="27" t="str">
        <f>[4]ITEMS_Comm!C179</f>
        <v>IPPK</v>
      </c>
      <c r="D153" s="27" t="str">
        <f>[4]ITEMS_Comm!D179</f>
        <v/>
      </c>
      <c r="E153" s="19" t="str">
        <f>[4]ITEMS_Comm!E179</f>
        <v>PJ</v>
      </c>
      <c r="F153" s="19" t="str">
        <f>[4]ITEMS_Comm!F179</f>
        <v>COM,DEM,ANNUAL,RES</v>
      </c>
    </row>
    <row r="154" spans="1:6">
      <c r="A154" s="27" t="str">
        <f>[4]ITEMS_Comm!A180</f>
        <v>*</v>
      </c>
      <c r="B154" s="19" t="str">
        <f>[4]ITEMS_Comm!B180</f>
        <v>E</v>
      </c>
      <c r="C154" s="27" t="str">
        <f>[4]ITEMS_Comm!C180</f>
        <v>IPPA</v>
      </c>
      <c r="D154" s="27" t="str">
        <f>[4]ITEMS_Comm!D180</f>
        <v/>
      </c>
      <c r="E154" s="19" t="str">
        <f>[4]ITEMS_Comm!E180</f>
        <v>PJ</v>
      </c>
      <c r="F154" s="19" t="str">
        <f>[4]ITEMS_Comm!F180</f>
        <v>COM,DEM,ANNUAL,RES</v>
      </c>
    </row>
    <row r="155" spans="1:6">
      <c r="A155" s="27" t="str">
        <f>[4]ITEMS_Comm!A181</f>
        <v>*</v>
      </c>
      <c r="B155" s="19" t="str">
        <f>[4]ITEMS_Comm!B181</f>
        <v>E</v>
      </c>
      <c r="C155" s="27" t="str">
        <f>[4]ITEMS_Comm!C181</f>
        <v>IPPL</v>
      </c>
      <c r="D155" s="27" t="str">
        <f>[4]ITEMS_Comm!D181</f>
        <v/>
      </c>
      <c r="E155" s="19" t="str">
        <f>[4]ITEMS_Comm!E181</f>
        <v>PJ</v>
      </c>
      <c r="F155" s="19" t="str">
        <f>[4]ITEMS_Comm!F181</f>
        <v>COM,DEM,ANNUAL,RES</v>
      </c>
    </row>
    <row r="156" spans="1:6">
      <c r="A156" s="27" t="str">
        <f>[4]ITEMS_Comm!A182</f>
        <v>*</v>
      </c>
      <c r="B156" s="19" t="str">
        <f>[4]ITEMS_Comm!B182</f>
        <v>E</v>
      </c>
      <c r="C156" s="27" t="str">
        <f>[4]ITEMS_Comm!C182</f>
        <v>IPPC</v>
      </c>
      <c r="D156" s="27" t="str">
        <f>[4]ITEMS_Comm!D182</f>
        <v/>
      </c>
      <c r="E156" s="19" t="str">
        <f>[4]ITEMS_Comm!E182</f>
        <v>PJ</v>
      </c>
      <c r="F156" s="19" t="str">
        <f>[4]ITEMS_Comm!F182</f>
        <v>COM,DEM,ANNUAL,RES</v>
      </c>
    </row>
    <row r="157" spans="1:6">
      <c r="A157" s="27" t="str">
        <f>[4]ITEMS_Comm!A183</f>
        <v>*</v>
      </c>
      <c r="B157" s="19" t="str">
        <f>[4]ITEMS_Comm!B183</f>
        <v>E</v>
      </c>
      <c r="C157" s="27" t="str">
        <f>[4]ITEMS_Comm!C183</f>
        <v>IPPH</v>
      </c>
      <c r="D157" s="27" t="str">
        <f>[4]ITEMS_Comm!D183</f>
        <v/>
      </c>
      <c r="E157" s="19" t="str">
        <f>[4]ITEMS_Comm!E183</f>
        <v>PJ</v>
      </c>
      <c r="F157" s="19" t="str">
        <f>[4]ITEMS_Comm!F183</f>
        <v>COM,DEM,ANNUAL,RES</v>
      </c>
    </row>
    <row r="158" spans="1:6">
      <c r="A158" s="27" t="str">
        <f>[4]ITEMS_Comm!A184</f>
        <v>*</v>
      </c>
      <c r="B158" s="19" t="str">
        <f>[4]ITEMS_Comm!B184</f>
        <v>E</v>
      </c>
      <c r="C158" s="27" t="str">
        <f>[4]ITEMS_Comm!C184</f>
        <v>IPPP</v>
      </c>
      <c r="D158" s="27" t="str">
        <f>[4]ITEMS_Comm!D184</f>
        <v/>
      </c>
      <c r="E158" s="19" t="str">
        <f>[4]ITEMS_Comm!E184</f>
        <v>PJ</v>
      </c>
      <c r="F158" s="19" t="str">
        <f>[4]ITEMS_Comm!F184</f>
        <v>COM,DEM,ANNUAL,RES</v>
      </c>
    </row>
    <row r="159" spans="1:6">
      <c r="A159" s="27" t="str">
        <f>[4]ITEMS_Comm!A185</f>
        <v>*</v>
      </c>
      <c r="B159" s="19" t="str">
        <f>[4]ITEMS_Comm!B185</f>
        <v>E</v>
      </c>
      <c r="C159" s="27" t="str">
        <f>[4]ITEMS_Comm!C185</f>
        <v>IPPF</v>
      </c>
      <c r="D159" s="27" t="str">
        <f>[4]ITEMS_Comm!D185</f>
        <v/>
      </c>
      <c r="E159" s="19" t="str">
        <f>[4]ITEMS_Comm!E185</f>
        <v>PJ</v>
      </c>
      <c r="F159" s="19" t="str">
        <f>[4]ITEMS_Comm!F185</f>
        <v>COM,DEM,ANNUAL,RES</v>
      </c>
    </row>
    <row r="160" spans="1:6">
      <c r="A160" s="27" t="str">
        <f>[4]ITEMS_Comm!A186</f>
        <v>*</v>
      </c>
      <c r="B160" s="19" t="str">
        <f>[4]ITEMS_Comm!B186</f>
        <v>E</v>
      </c>
      <c r="C160" s="27" t="str">
        <f>[4]ITEMS_Comm!C186</f>
        <v>IPPO</v>
      </c>
      <c r="D160" s="27" t="str">
        <f>[4]ITEMS_Comm!D186</f>
        <v/>
      </c>
      <c r="E160" s="19" t="str">
        <f>[4]ITEMS_Comm!E186</f>
        <v>PJ</v>
      </c>
      <c r="F160" s="19" t="str">
        <f>[4]ITEMS_Comm!F186</f>
        <v>COM,DEM,ANNUAL,RES</v>
      </c>
    </row>
    <row r="161" spans="1:6">
      <c r="A161" s="27" t="str">
        <f>[4]ITEMS_Comm!A187</f>
        <v>*</v>
      </c>
      <c r="B161" s="19" t="str">
        <f>[4]ITEMS_Comm!B187</f>
        <v>E</v>
      </c>
      <c r="C161" s="27" t="str">
        <f>[4]ITEMS_Comm!C187</f>
        <v>IPPE</v>
      </c>
      <c r="D161" s="27" t="str">
        <f>[4]ITEMS_Comm!D187</f>
        <v/>
      </c>
      <c r="E161" s="19" t="str">
        <f>[4]ITEMS_Comm!E187</f>
        <v>PJ</v>
      </c>
      <c r="F161" s="19" t="str">
        <f>[4]ITEMS_Comm!F187</f>
        <v>COM,DEM,ANNUAL,RES</v>
      </c>
    </row>
    <row r="162" spans="1:6">
      <c r="A162" s="27" t="str">
        <f>[4]ITEMS_Comm!A188</f>
        <v>*</v>
      </c>
      <c r="B162" s="19" t="str">
        <f>[4]ITEMS_Comm!B188</f>
        <v>E</v>
      </c>
      <c r="C162" s="27" t="str">
        <f>[4]ITEMS_Comm!C188</f>
        <v xml:space="preserve"> </v>
      </c>
      <c r="D162" s="27" t="str">
        <f>[4]ITEMS_Comm!D188</f>
        <v/>
      </c>
      <c r="E162" s="19" t="str">
        <f>[4]ITEMS_Comm!E188</f>
        <v>PJ</v>
      </c>
      <c r="F162" s="19" t="str">
        <f>[4]ITEMS_Comm!F188</f>
        <v>COM,DEM,ANNUAL,RES</v>
      </c>
    </row>
    <row r="163" spans="1:6">
      <c r="A163" s="27" t="str">
        <f>[4]ITEMS_Comm!A189</f>
        <v>*</v>
      </c>
      <c r="B163" s="19" t="str">
        <f>[4]ITEMS_Comm!B189</f>
        <v>E</v>
      </c>
      <c r="C163" s="27" t="str">
        <f>[4]ITEMS_Comm!C189</f>
        <v>IPPS</v>
      </c>
      <c r="D163" s="27" t="str">
        <f>[4]ITEMS_Comm!D189</f>
        <v/>
      </c>
      <c r="E163" s="19" t="str">
        <f>[4]ITEMS_Comm!E189</f>
        <v>PJ</v>
      </c>
      <c r="F163" s="19" t="str">
        <f>[4]ITEMS_Comm!F189</f>
        <v>COM,DEM,ANNUAL,RES</v>
      </c>
    </row>
    <row r="164" spans="1:6">
      <c r="A164" s="27" t="str">
        <f>[4]ITEMS_Comm!A190</f>
        <v>*</v>
      </c>
      <c r="B164" s="19" t="str">
        <f>[4]ITEMS_Comm!B190</f>
        <v>E</v>
      </c>
      <c r="C164" s="27" t="str">
        <f>[4]ITEMS_Comm!C190</f>
        <v>IPPS</v>
      </c>
      <c r="D164" s="27" t="str">
        <f>[4]ITEMS_Comm!D190</f>
        <v/>
      </c>
      <c r="E164" s="19" t="str">
        <f>[4]ITEMS_Comm!E190</f>
        <v>PJ</v>
      </c>
      <c r="F164" s="19" t="str">
        <f>[4]ITEMS_Comm!F190</f>
        <v>COM,DEM,ANNUAL,RES</v>
      </c>
    </row>
  </sheetData>
  <pageMargins left="0.75" right="0.75" top="1" bottom="1" header="0.5" footer="0.5"/>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B09CF-AD01-4B7F-BBBC-E2AC97BBC3E8}">
  <sheetPr codeName="Sheet23">
    <tabColor theme="9" tint="-0.249977111117893"/>
  </sheetPr>
  <dimension ref="A1:AV254"/>
  <sheetViews>
    <sheetView topLeftCell="D1" workbookViewId="0">
      <selection activeCell="S42" sqref="S42"/>
    </sheetView>
    <sheetView workbookViewId="1"/>
  </sheetViews>
  <sheetFormatPr defaultColWidth="8.85546875" defaultRowHeight="15"/>
  <cols>
    <col min="1" max="1" width="8.85546875" style="185"/>
    <col min="2" max="2" width="11.85546875" style="185" customWidth="1"/>
    <col min="3" max="3" width="34.85546875" style="185" customWidth="1"/>
    <col min="4" max="4" width="8.85546875" style="185"/>
    <col min="5" max="5" width="6.42578125" style="185" customWidth="1"/>
    <col min="6" max="6" width="9.7109375" style="185" customWidth="1"/>
    <col min="7" max="8" width="6.42578125" style="185" customWidth="1"/>
    <col min="9" max="9" width="9.140625" style="185" customWidth="1"/>
    <col min="10" max="10" width="8.85546875" style="5" customWidth="1"/>
    <col min="11" max="11" width="8.42578125" style="185" customWidth="1"/>
    <col min="12" max="29" width="6.42578125" style="185" customWidth="1"/>
    <col min="30" max="46" width="6.140625" style="185" customWidth="1"/>
    <col min="47" max="47" width="10.42578125" style="185" customWidth="1"/>
    <col min="48" max="48" width="6.140625" style="185" customWidth="1"/>
    <col min="49" max="16384" width="8.85546875" style="185"/>
  </cols>
  <sheetData>
    <row r="1" spans="1:48">
      <c r="A1" s="185" t="s">
        <v>607</v>
      </c>
      <c r="B1" s="185" t="s">
        <v>17</v>
      </c>
      <c r="G1" s="185" t="s">
        <v>283</v>
      </c>
    </row>
    <row r="2" spans="1:48" ht="15.75" thickBot="1">
      <c r="A2" s="185" t="s">
        <v>16</v>
      </c>
      <c r="B2" s="349" t="s">
        <v>197</v>
      </c>
      <c r="C2" s="349"/>
      <c r="G2" s="185" t="s">
        <v>282</v>
      </c>
      <c r="H2" s="185">
        <v>1</v>
      </c>
    </row>
    <row r="3" spans="1:48">
      <c r="A3" s="185" t="s">
        <v>16</v>
      </c>
      <c r="G3" s="185" t="s">
        <v>284</v>
      </c>
      <c r="H3" s="185">
        <v>0</v>
      </c>
      <c r="J3" s="5">
        <v>2012</v>
      </c>
      <c r="K3" s="5">
        <v>2013</v>
      </c>
      <c r="L3" s="5">
        <v>2014</v>
      </c>
      <c r="M3" s="5">
        <v>2015</v>
      </c>
      <c r="N3" s="5">
        <v>2016</v>
      </c>
      <c r="O3" s="5">
        <v>2017</v>
      </c>
      <c r="P3" s="5">
        <v>2018</v>
      </c>
      <c r="Q3" s="5">
        <v>2019</v>
      </c>
      <c r="R3" s="5">
        <v>2020</v>
      </c>
      <c r="S3" s="5">
        <v>2021</v>
      </c>
      <c r="T3" s="5">
        <v>2022</v>
      </c>
      <c r="U3" s="5">
        <v>2023</v>
      </c>
      <c r="V3" s="5">
        <v>2024</v>
      </c>
      <c r="W3" s="5">
        <v>2025</v>
      </c>
      <c r="X3" s="5">
        <v>2026</v>
      </c>
      <c r="Y3" s="5">
        <v>2027</v>
      </c>
      <c r="Z3" s="5">
        <v>2028</v>
      </c>
      <c r="AA3" s="5">
        <v>2029</v>
      </c>
      <c r="AB3" s="5">
        <v>2030</v>
      </c>
      <c r="AC3" s="5">
        <v>2031</v>
      </c>
      <c r="AD3" s="5">
        <v>2032</v>
      </c>
      <c r="AE3" s="5">
        <v>2033</v>
      </c>
      <c r="AF3" s="5">
        <v>2034</v>
      </c>
      <c r="AG3" s="5">
        <v>2035</v>
      </c>
      <c r="AH3" s="5">
        <v>2036</v>
      </c>
      <c r="AI3" s="5">
        <v>2037</v>
      </c>
      <c r="AJ3" s="5">
        <v>2038</v>
      </c>
      <c r="AK3" s="5">
        <v>2039</v>
      </c>
      <c r="AL3" s="5">
        <v>2040</v>
      </c>
      <c r="AM3" s="5">
        <v>2045</v>
      </c>
      <c r="AN3" s="5">
        <v>2050</v>
      </c>
      <c r="AO3" s="5">
        <v>2060</v>
      </c>
      <c r="AP3" s="5">
        <v>2070</v>
      </c>
      <c r="AQ3" s="5"/>
      <c r="AR3" s="5"/>
      <c r="AS3" s="5"/>
      <c r="AT3" s="5"/>
      <c r="AU3" s="5"/>
      <c r="AV3" s="5"/>
    </row>
    <row r="4" spans="1:48">
      <c r="A4" s="185" t="s">
        <v>16</v>
      </c>
      <c r="D4" s="185">
        <v>2012</v>
      </c>
      <c r="E4" s="185">
        <v>2020</v>
      </c>
      <c r="F4" s="185">
        <v>2030</v>
      </c>
      <c r="G4" s="185">
        <v>2050</v>
      </c>
      <c r="H4" s="185">
        <v>1</v>
      </c>
      <c r="I4" s="185" t="s">
        <v>392</v>
      </c>
      <c r="J4" s="185">
        <f>MATCH(J$3,$D$4:$G$4,$H4)</f>
        <v>1</v>
      </c>
      <c r="K4" s="185">
        <f t="shared" ref="K4:AP5" si="0">MATCH(K$3,$D$4:$G$4,$H4)</f>
        <v>1</v>
      </c>
      <c r="L4" s="185">
        <f t="shared" si="0"/>
        <v>1</v>
      </c>
      <c r="M4" s="185">
        <f t="shared" si="0"/>
        <v>1</v>
      </c>
      <c r="N4" s="185">
        <f t="shared" si="0"/>
        <v>1</v>
      </c>
      <c r="O4" s="185">
        <f t="shared" si="0"/>
        <v>1</v>
      </c>
      <c r="P4" s="185">
        <f t="shared" si="0"/>
        <v>1</v>
      </c>
      <c r="Q4" s="185">
        <f t="shared" si="0"/>
        <v>1</v>
      </c>
      <c r="R4" s="185">
        <f t="shared" si="0"/>
        <v>2</v>
      </c>
      <c r="S4" s="185">
        <f t="shared" si="0"/>
        <v>2</v>
      </c>
      <c r="T4" s="185">
        <f t="shared" si="0"/>
        <v>2</v>
      </c>
      <c r="U4" s="185">
        <f t="shared" si="0"/>
        <v>2</v>
      </c>
      <c r="V4" s="185">
        <f t="shared" si="0"/>
        <v>2</v>
      </c>
      <c r="W4" s="185">
        <f t="shared" si="0"/>
        <v>2</v>
      </c>
      <c r="X4" s="185">
        <f t="shared" si="0"/>
        <v>2</v>
      </c>
      <c r="Y4" s="185">
        <f t="shared" si="0"/>
        <v>2</v>
      </c>
      <c r="Z4" s="185">
        <f t="shared" si="0"/>
        <v>2</v>
      </c>
      <c r="AA4" s="185">
        <f t="shared" si="0"/>
        <v>2</v>
      </c>
      <c r="AB4" s="185">
        <f t="shared" si="0"/>
        <v>3</v>
      </c>
      <c r="AC4" s="185">
        <f t="shared" si="0"/>
        <v>3</v>
      </c>
      <c r="AD4" s="185">
        <f t="shared" si="0"/>
        <v>3</v>
      </c>
      <c r="AE4" s="185">
        <f t="shared" si="0"/>
        <v>3</v>
      </c>
      <c r="AF4" s="185">
        <f t="shared" si="0"/>
        <v>3</v>
      </c>
      <c r="AG4" s="185">
        <f t="shared" si="0"/>
        <v>3</v>
      </c>
      <c r="AH4" s="185">
        <f t="shared" si="0"/>
        <v>3</v>
      </c>
      <c r="AI4" s="185">
        <f t="shared" si="0"/>
        <v>3</v>
      </c>
      <c r="AJ4" s="185">
        <f t="shared" si="0"/>
        <v>3</v>
      </c>
      <c r="AK4" s="185">
        <f t="shared" si="0"/>
        <v>3</v>
      </c>
      <c r="AL4" s="185">
        <f t="shared" si="0"/>
        <v>3</v>
      </c>
      <c r="AM4" s="185">
        <f t="shared" si="0"/>
        <v>3</v>
      </c>
      <c r="AN4" s="185">
        <f t="shared" si="0"/>
        <v>4</v>
      </c>
      <c r="AO4" s="185">
        <f t="shared" si="0"/>
        <v>4</v>
      </c>
      <c r="AP4" s="185">
        <f t="shared" si="0"/>
        <v>4</v>
      </c>
    </row>
    <row r="5" spans="1:48">
      <c r="A5" s="185" t="s">
        <v>16</v>
      </c>
      <c r="D5" s="185" cm="1">
        <f t="array" ref="D5">INDEX($D4:$G4,0,COUNT($D4:$G4)-D6)</f>
        <v>2050</v>
      </c>
      <c r="E5" s="185" cm="1">
        <f t="array" ref="E5">INDEX($D4:$G4,0,COUNT($D4:$G4)-E6)</f>
        <v>2030</v>
      </c>
      <c r="F5" s="185" cm="1">
        <f t="array" ref="F5">INDEX($D4:$G4,0,COUNT($D4:$G4)-F6)</f>
        <v>2020</v>
      </c>
      <c r="G5" s="185" cm="1">
        <f t="array" ref="G5">INDEX($D4:$G4,0,COUNT($D4:$G4)-G6)</f>
        <v>2012</v>
      </c>
      <c r="H5" s="185">
        <v>0</v>
      </c>
      <c r="I5" s="185" t="s">
        <v>393</v>
      </c>
      <c r="J5" s="185">
        <f t="shared" ref="J5:Y5" si="1">MATCH(J$3,$D$4:$G$4,$H5)</f>
        <v>1</v>
      </c>
      <c r="K5" s="185" t="e">
        <f t="shared" si="1"/>
        <v>#N/A</v>
      </c>
      <c r="L5" s="185" t="e">
        <f t="shared" si="1"/>
        <v>#N/A</v>
      </c>
      <c r="M5" s="185" t="e">
        <f t="shared" si="1"/>
        <v>#N/A</v>
      </c>
      <c r="N5" s="185" t="e">
        <f t="shared" si="1"/>
        <v>#N/A</v>
      </c>
      <c r="O5" s="185" t="e">
        <f t="shared" si="1"/>
        <v>#N/A</v>
      </c>
      <c r="P5" s="185" t="e">
        <f t="shared" si="1"/>
        <v>#N/A</v>
      </c>
      <c r="Q5" s="185" t="e">
        <f t="shared" si="1"/>
        <v>#N/A</v>
      </c>
      <c r="R5" s="185">
        <f t="shared" si="1"/>
        <v>2</v>
      </c>
      <c r="S5" s="185" t="e">
        <f t="shared" si="1"/>
        <v>#N/A</v>
      </c>
      <c r="T5" s="185" t="e">
        <f t="shared" si="1"/>
        <v>#N/A</v>
      </c>
      <c r="U5" s="185" t="e">
        <f t="shared" si="1"/>
        <v>#N/A</v>
      </c>
      <c r="V5" s="185" t="e">
        <f t="shared" si="1"/>
        <v>#N/A</v>
      </c>
      <c r="W5" s="185" t="e">
        <f t="shared" si="1"/>
        <v>#N/A</v>
      </c>
      <c r="X5" s="185" t="e">
        <f t="shared" si="1"/>
        <v>#N/A</v>
      </c>
      <c r="Y5" s="185" t="e">
        <f t="shared" si="1"/>
        <v>#N/A</v>
      </c>
      <c r="Z5" s="185" t="e">
        <f t="shared" si="0"/>
        <v>#N/A</v>
      </c>
      <c r="AA5" s="185" t="e">
        <f t="shared" si="0"/>
        <v>#N/A</v>
      </c>
      <c r="AB5" s="185">
        <f t="shared" si="0"/>
        <v>3</v>
      </c>
      <c r="AC5" s="185" t="e">
        <f t="shared" si="0"/>
        <v>#N/A</v>
      </c>
      <c r="AD5" s="185" t="e">
        <f t="shared" si="0"/>
        <v>#N/A</v>
      </c>
      <c r="AE5" s="185" t="e">
        <f t="shared" si="0"/>
        <v>#N/A</v>
      </c>
      <c r="AF5" s="185" t="e">
        <f t="shared" si="0"/>
        <v>#N/A</v>
      </c>
      <c r="AG5" s="185" t="e">
        <f t="shared" si="0"/>
        <v>#N/A</v>
      </c>
      <c r="AH5" s="185" t="e">
        <f t="shared" si="0"/>
        <v>#N/A</v>
      </c>
      <c r="AI5" s="185" t="e">
        <f t="shared" si="0"/>
        <v>#N/A</v>
      </c>
      <c r="AJ5" s="185" t="e">
        <f t="shared" si="0"/>
        <v>#N/A</v>
      </c>
      <c r="AK5" s="185" t="e">
        <f t="shared" si="0"/>
        <v>#N/A</v>
      </c>
      <c r="AL5" s="185" t="e">
        <f t="shared" si="0"/>
        <v>#N/A</v>
      </c>
      <c r="AM5" s="185" t="e">
        <f t="shared" si="0"/>
        <v>#N/A</v>
      </c>
      <c r="AN5" s="185">
        <f t="shared" si="0"/>
        <v>4</v>
      </c>
      <c r="AO5" s="185" t="e">
        <f t="shared" si="0"/>
        <v>#N/A</v>
      </c>
      <c r="AP5" s="185" t="e">
        <f t="shared" si="0"/>
        <v>#N/A</v>
      </c>
    </row>
    <row r="6" spans="1:48">
      <c r="A6" s="185" t="s">
        <v>16</v>
      </c>
      <c r="D6" s="185">
        <v>0</v>
      </c>
      <c r="E6" s="185">
        <v>1</v>
      </c>
      <c r="F6" s="185">
        <v>2</v>
      </c>
      <c r="G6" s="185">
        <v>3</v>
      </c>
      <c r="H6" s="185">
        <v>-1</v>
      </c>
      <c r="I6" s="185" t="s">
        <v>391</v>
      </c>
      <c r="J6" s="185">
        <f>MATCH(J$3,$D$5:$G$5,$H6)</f>
        <v>4</v>
      </c>
      <c r="K6" s="185">
        <f t="shared" ref="K6:AP6" si="2">MATCH(K$3,$D$5:$G$5,$H6)</f>
        <v>3</v>
      </c>
      <c r="L6" s="185">
        <f t="shared" si="2"/>
        <v>3</v>
      </c>
      <c r="M6" s="185">
        <f t="shared" si="2"/>
        <v>3</v>
      </c>
      <c r="N6" s="185">
        <f t="shared" si="2"/>
        <v>3</v>
      </c>
      <c r="O6" s="185">
        <f t="shared" si="2"/>
        <v>3</v>
      </c>
      <c r="P6" s="185">
        <f t="shared" si="2"/>
        <v>3</v>
      </c>
      <c r="Q6" s="185">
        <f t="shared" si="2"/>
        <v>3</v>
      </c>
      <c r="R6" s="185">
        <f t="shared" si="2"/>
        <v>3</v>
      </c>
      <c r="S6" s="185">
        <f t="shared" si="2"/>
        <v>2</v>
      </c>
      <c r="T6" s="185">
        <f t="shared" si="2"/>
        <v>2</v>
      </c>
      <c r="U6" s="185">
        <f t="shared" si="2"/>
        <v>2</v>
      </c>
      <c r="V6" s="185">
        <f t="shared" si="2"/>
        <v>2</v>
      </c>
      <c r="W6" s="185">
        <f t="shared" si="2"/>
        <v>2</v>
      </c>
      <c r="X6" s="185">
        <f t="shared" si="2"/>
        <v>2</v>
      </c>
      <c r="Y6" s="185">
        <f t="shared" si="2"/>
        <v>2</v>
      </c>
      <c r="Z6" s="185">
        <f t="shared" si="2"/>
        <v>2</v>
      </c>
      <c r="AA6" s="185">
        <f t="shared" si="2"/>
        <v>2</v>
      </c>
      <c r="AB6" s="185">
        <f t="shared" si="2"/>
        <v>2</v>
      </c>
      <c r="AC6" s="185">
        <f t="shared" si="2"/>
        <v>1</v>
      </c>
      <c r="AD6" s="185">
        <f t="shared" si="2"/>
        <v>1</v>
      </c>
      <c r="AE6" s="185">
        <f t="shared" si="2"/>
        <v>1</v>
      </c>
      <c r="AF6" s="185">
        <f t="shared" si="2"/>
        <v>1</v>
      </c>
      <c r="AG6" s="185">
        <f t="shared" si="2"/>
        <v>1</v>
      </c>
      <c r="AH6" s="185">
        <f t="shared" si="2"/>
        <v>1</v>
      </c>
      <c r="AI6" s="185">
        <f t="shared" si="2"/>
        <v>1</v>
      </c>
      <c r="AJ6" s="185">
        <f t="shared" si="2"/>
        <v>1</v>
      </c>
      <c r="AK6" s="185">
        <f t="shared" si="2"/>
        <v>1</v>
      </c>
      <c r="AL6" s="185">
        <f t="shared" si="2"/>
        <v>1</v>
      </c>
      <c r="AM6" s="185">
        <f t="shared" si="2"/>
        <v>1</v>
      </c>
      <c r="AN6" s="185">
        <f>MATCH(AN$3,$D$5:$G$5,$H6)</f>
        <v>1</v>
      </c>
      <c r="AO6" s="185" t="e">
        <f t="shared" si="2"/>
        <v>#N/A</v>
      </c>
      <c r="AP6" s="185" t="e">
        <f t="shared" si="2"/>
        <v>#N/A</v>
      </c>
    </row>
    <row r="7" spans="1:48">
      <c r="A7" s="185" t="s">
        <v>16</v>
      </c>
      <c r="I7" s="185" t="s">
        <v>394</v>
      </c>
      <c r="J7" s="5">
        <f>IF(ISNA(J4),-1,IF(ISNA(J6),99,IF(ISNA(J5),J4,0)))</f>
        <v>0</v>
      </c>
      <c r="K7" s="5">
        <f t="shared" ref="K7:AP7" si="3">IF(ISNA(K4),-1,IF(ISNA(K6),99,IF(ISNA(K5),K4,0)))</f>
        <v>1</v>
      </c>
      <c r="L7" s="5">
        <f t="shared" si="3"/>
        <v>1</v>
      </c>
      <c r="M7" s="5">
        <f t="shared" si="3"/>
        <v>1</v>
      </c>
      <c r="N7" s="5">
        <f t="shared" si="3"/>
        <v>1</v>
      </c>
      <c r="O7" s="5">
        <f t="shared" si="3"/>
        <v>1</v>
      </c>
      <c r="P7" s="5">
        <f t="shared" si="3"/>
        <v>1</v>
      </c>
      <c r="Q7" s="5">
        <f t="shared" si="3"/>
        <v>1</v>
      </c>
      <c r="R7" s="5">
        <f t="shared" si="3"/>
        <v>0</v>
      </c>
      <c r="S7" s="5">
        <f t="shared" si="3"/>
        <v>2</v>
      </c>
      <c r="T7" s="5">
        <f t="shared" si="3"/>
        <v>2</v>
      </c>
      <c r="U7" s="5">
        <f t="shared" si="3"/>
        <v>2</v>
      </c>
      <c r="V7" s="5">
        <f t="shared" si="3"/>
        <v>2</v>
      </c>
      <c r="W7" s="5">
        <f t="shared" si="3"/>
        <v>2</v>
      </c>
      <c r="X7" s="5">
        <f t="shared" si="3"/>
        <v>2</v>
      </c>
      <c r="Y7" s="5">
        <f t="shared" si="3"/>
        <v>2</v>
      </c>
      <c r="Z7" s="5">
        <f t="shared" si="3"/>
        <v>2</v>
      </c>
      <c r="AA7" s="5">
        <f t="shared" si="3"/>
        <v>2</v>
      </c>
      <c r="AB7" s="5">
        <f t="shared" si="3"/>
        <v>0</v>
      </c>
      <c r="AC7" s="5">
        <f t="shared" si="3"/>
        <v>3</v>
      </c>
      <c r="AD7" s="5">
        <f t="shared" si="3"/>
        <v>3</v>
      </c>
      <c r="AE7" s="5">
        <f t="shared" si="3"/>
        <v>3</v>
      </c>
      <c r="AF7" s="5">
        <f t="shared" si="3"/>
        <v>3</v>
      </c>
      <c r="AG7" s="5">
        <f t="shared" si="3"/>
        <v>3</v>
      </c>
      <c r="AH7" s="5">
        <f t="shared" si="3"/>
        <v>3</v>
      </c>
      <c r="AI7" s="5">
        <f t="shared" si="3"/>
        <v>3</v>
      </c>
      <c r="AJ7" s="5">
        <f t="shared" si="3"/>
        <v>3</v>
      </c>
      <c r="AK7" s="5">
        <f t="shared" si="3"/>
        <v>3</v>
      </c>
      <c r="AL7" s="5">
        <f t="shared" si="3"/>
        <v>3</v>
      </c>
      <c r="AM7" s="5">
        <f t="shared" si="3"/>
        <v>3</v>
      </c>
      <c r="AN7" s="5">
        <f t="shared" si="3"/>
        <v>0</v>
      </c>
      <c r="AO7" s="5">
        <f>IF(ISNA(AO4),-1,IF(ISNA(AO6),99,IF(ISNA(AO5),AO4,0)))</f>
        <v>99</v>
      </c>
      <c r="AP7" s="5">
        <f t="shared" si="3"/>
        <v>99</v>
      </c>
      <c r="AQ7" s="5"/>
      <c r="AR7" s="5"/>
      <c r="AS7" s="5"/>
      <c r="AT7" s="5"/>
      <c r="AU7" s="5"/>
      <c r="AV7" s="5"/>
    </row>
    <row r="8" spans="1:48" ht="15.75" thickBot="1">
      <c r="A8" s="185" t="s">
        <v>16</v>
      </c>
      <c r="B8" s="14" t="s">
        <v>11</v>
      </c>
      <c r="C8" s="14"/>
      <c r="D8" s="14"/>
      <c r="E8" s="14"/>
      <c r="F8" s="14"/>
    </row>
    <row r="9" spans="1:48">
      <c r="A9" s="185" t="s">
        <v>16</v>
      </c>
      <c r="B9" s="185" t="s">
        <v>9</v>
      </c>
      <c r="C9" s="185" t="s">
        <v>10</v>
      </c>
      <c r="D9" s="185" t="s">
        <v>281</v>
      </c>
      <c r="E9" s="185" t="s">
        <v>280</v>
      </c>
      <c r="J9" s="5">
        <f>MATCH(J3,Drivers!$C$5:$AG$5,0)</f>
        <v>1</v>
      </c>
      <c r="K9" s="5">
        <f>MATCH(K3,Drivers!$C$5:$AG$5,0)</f>
        <v>2</v>
      </c>
      <c r="L9" s="5">
        <f>MATCH(L3,Drivers!$C$5:$AG$5,0)</f>
        <v>3</v>
      </c>
      <c r="M9" s="5">
        <f>MATCH(M3,Drivers!$C$5:$AG$5,0)</f>
        <v>4</v>
      </c>
      <c r="N9" s="5">
        <f>MATCH(N3,Drivers!$C$5:$AG$5,0)</f>
        <v>5</v>
      </c>
      <c r="O9" s="5">
        <f>MATCH(O3,Drivers!$C$5:$AG$5,0)</f>
        <v>6</v>
      </c>
      <c r="P9" s="5">
        <f>MATCH(P3,Drivers!$C$5:$AG$5,0)</f>
        <v>7</v>
      </c>
      <c r="Q9" s="5">
        <f>MATCH(Q3,Drivers!$C$5:$AG$5,0)</f>
        <v>8</v>
      </c>
      <c r="R9" s="5">
        <f>MATCH(R3,Drivers!$C$5:$AG$5,0)</f>
        <v>9</v>
      </c>
      <c r="S9" s="5">
        <f>MATCH(S3,Drivers!$C$5:$AG$5,0)</f>
        <v>10</v>
      </c>
      <c r="T9" s="5">
        <f>MATCH(T3,Drivers!$C$5:$AG$5,0)</f>
        <v>11</v>
      </c>
      <c r="U9" s="5">
        <f>MATCH(U3,Drivers!$C$5:$AG$5,0)</f>
        <v>12</v>
      </c>
      <c r="V9" s="5">
        <f>MATCH(V3,Drivers!$C$5:$AG$5,0)</f>
        <v>13</v>
      </c>
      <c r="W9" s="5">
        <f>MATCH(W3,Drivers!$C$5:$AG$5,0)</f>
        <v>14</v>
      </c>
      <c r="X9" s="5">
        <f>MATCH(X3,Drivers!$C$5:$AG$5,0)</f>
        <v>15</v>
      </c>
      <c r="Y9" s="5">
        <f>MATCH(Y3,Drivers!$C$5:$AG$5,0)</f>
        <v>16</v>
      </c>
      <c r="Z9" s="5">
        <f>MATCH(Z3,Drivers!$C$5:$AG$5,0)</f>
        <v>17</v>
      </c>
      <c r="AA9" s="5">
        <f>MATCH(AA3,Drivers!$C$5:$AG$5,0)</f>
        <v>18</v>
      </c>
      <c r="AB9" s="5">
        <f>MATCH(AB3,Drivers!$C$5:$AG$5,0)</f>
        <v>19</v>
      </c>
      <c r="AC9" s="5">
        <f>MATCH(AC3,Drivers!$C$5:$AG$5,0)</f>
        <v>20</v>
      </c>
      <c r="AD9" s="5">
        <f>MATCH(AD3,Drivers!$C$5:$AG$5,0)</f>
        <v>21</v>
      </c>
      <c r="AE9" s="5">
        <f>MATCH(AE3,Drivers!$C$5:$AG$5,0)</f>
        <v>22</v>
      </c>
      <c r="AF9" s="5">
        <f>MATCH(AF3,Drivers!$C$5:$AG$5,0)</f>
        <v>23</v>
      </c>
      <c r="AG9" s="5">
        <f>MATCH(AG3,Drivers!$C$5:$AG$5,0)</f>
        <v>24</v>
      </c>
      <c r="AH9" s="5">
        <f>MATCH(AH3,Drivers!$C$5:$AG$5,0)</f>
        <v>25</v>
      </c>
      <c r="AI9" s="5">
        <f>MATCH(AI3,Drivers!$C$5:$AG$5,0)</f>
        <v>26</v>
      </c>
      <c r="AJ9" s="5">
        <f>MATCH(AJ3,Drivers!$C$5:$AG$5,0)</f>
        <v>27</v>
      </c>
      <c r="AK9" s="5">
        <f>MATCH(AK3,Drivers!$C$5:$AG$5,0)</f>
        <v>28</v>
      </c>
      <c r="AL9" s="5">
        <f>MATCH(AL3,Drivers!$C$5:$AG$5,0)</f>
        <v>29</v>
      </c>
      <c r="AM9" s="5">
        <f>MATCH(AM3,Drivers!$C$5:$AG$5,0)</f>
        <v>30</v>
      </c>
      <c r="AN9" s="5">
        <f>MATCH(AN3,Drivers!$C$5:$AG$5,0)</f>
        <v>31</v>
      </c>
      <c r="AO9" s="185">
        <f>AN9+1</f>
        <v>32</v>
      </c>
      <c r="AP9" s="185">
        <f>AO9+1</f>
        <v>33</v>
      </c>
    </row>
    <row r="10" spans="1:48">
      <c r="A10" s="185" t="s">
        <v>16</v>
      </c>
      <c r="B10" s="186" t="str">
        <f>[4]IND!B10</f>
        <v>MI</v>
      </c>
      <c r="C10" s="186" t="str">
        <f>[4]IND!A10</f>
        <v>Mining</v>
      </c>
      <c r="D10" s="185">
        <f>[4]IND!M10</f>
        <v>1</v>
      </c>
      <c r="F10" s="186"/>
      <c r="G10" s="185">
        <f>MATCH(B10,Drivers!$A$7:$A$22,0)</f>
        <v>7</v>
      </c>
      <c r="H10" s="186"/>
      <c r="I10" s="186"/>
      <c r="J10" s="185" cm="1">
        <f t="array" ref="J10">INDEX(Drivers!$C$7:$AG$22,$G10,J$9)</f>
        <v>205.448728044604</v>
      </c>
      <c r="K10" s="185" cm="1">
        <f t="array" ref="K10">INDEX(Drivers!$C$7:$AG$22,$G10,K$9)</f>
        <v>210.61199999999999</v>
      </c>
      <c r="L10" s="185" cm="1">
        <f t="array" ref="L10">INDEX(Drivers!$C$7:$AG$22,$G10,L$9)</f>
        <v>211.703</v>
      </c>
      <c r="M10" s="185" cm="1">
        <f t="array" ref="M10">INDEX(Drivers!$C$7:$AG$22,$G10,M$9)</f>
        <v>218.495</v>
      </c>
      <c r="N10" s="185" cm="1">
        <f t="array" ref="N10">INDEX(Drivers!$C$7:$AG$22,$G10,N$9)</f>
        <v>215.50700000000001</v>
      </c>
      <c r="O10" s="185" cm="1">
        <f t="array" ref="O10">INDEX(Drivers!$C$7:$AG$22,$G10,O$9)</f>
        <v>222.273</v>
      </c>
      <c r="P10" s="185" cm="1">
        <f t="array" ref="P10">INDEX(Drivers!$C$7:$AG$22,$G10,P$9)</f>
        <v>220.99700000000001</v>
      </c>
      <c r="Q10" s="185" cm="1">
        <f t="array" ref="Q10">INDEX(Drivers!$C$7:$AG$22,$G10,Q$9)</f>
        <v>218.15700000000001</v>
      </c>
      <c r="R10" s="185" cm="1">
        <f t="array" ref="R10">INDEX(Drivers!$C$7:$AG$22,$G10,R$9)</f>
        <v>200.386</v>
      </c>
      <c r="S10" s="185" cm="1">
        <f t="array" ref="S10">INDEX(Drivers!$C$7:$AG$22,$G10,S$9)</f>
        <v>203.29437807937791</v>
      </c>
      <c r="T10" s="185" cm="1">
        <f t="array" ref="T10">INDEX(Drivers!$C$7:$AG$22,$G10,T$9)</f>
        <v>206.11961385675255</v>
      </c>
      <c r="U10" s="185" cm="1">
        <f t="array" ref="U10">INDEX(Drivers!$C$7:$AG$22,$G10,U$9)</f>
        <v>209.25104179398332</v>
      </c>
      <c r="V10" s="185" cm="1">
        <f t="array" ref="V10">INDEX(Drivers!$C$7:$AG$22,$G10,V$9)</f>
        <v>212.77707287334377</v>
      </c>
      <c r="W10" s="185" cm="1">
        <f t="array" ref="W10">INDEX(Drivers!$C$7:$AG$22,$G10,W$9)</f>
        <v>216.27110432504313</v>
      </c>
      <c r="X10" s="185" cm="1">
        <f t="array" ref="X10">INDEX(Drivers!$C$7:$AG$22,$G10,X$9)</f>
        <v>220.21864805430781</v>
      </c>
      <c r="Y10" s="185" cm="1">
        <f t="array" ref="Y10">INDEX(Drivers!$C$7:$AG$22,$G10,Y$9)</f>
        <v>224.1761075309966</v>
      </c>
      <c r="Z10" s="185" cm="1">
        <f t="array" ref="Z10">INDEX(Drivers!$C$7:$AG$22,$G10,Z$9)</f>
        <v>228.57997610366618</v>
      </c>
      <c r="AA10" s="185" cm="1">
        <f t="array" ref="AA10">INDEX(Drivers!$C$7:$AG$22,$G10,AA$9)</f>
        <v>233.73674541583398</v>
      </c>
      <c r="AB10" s="185" cm="1">
        <f t="array" ref="AB10">INDEX(Drivers!$C$7:$AG$22,$G10,AB$9)</f>
        <v>238.25091961160444</v>
      </c>
      <c r="AC10" s="185" cm="1">
        <f t="array" ref="AC10">INDEX(Drivers!$C$7:$AG$22,$G10,AC$9)</f>
        <v>244.11637200378888</v>
      </c>
      <c r="AD10" s="185" cm="1">
        <f t="array" ref="AD10">INDEX(Drivers!$C$7:$AG$22,$G10,AD$9)</f>
        <v>250.63576067364573</v>
      </c>
      <c r="AE10" s="185" cm="1">
        <f t="array" ref="AE10">INDEX(Drivers!$C$7:$AG$22,$G10,AE$9)</f>
        <v>257.21517064093081</v>
      </c>
      <c r="AF10" s="185" cm="1">
        <f t="array" ref="AF10">INDEX(Drivers!$C$7:$AG$22,$G10,AF$9)</f>
        <v>263.89312940303836</v>
      </c>
      <c r="AG10" s="185" cm="1">
        <f t="array" ref="AG10">INDEX(Drivers!$C$7:$AG$22,$G10,AG$9)</f>
        <v>272.09987387188147</v>
      </c>
      <c r="AH10" s="185" cm="1">
        <f t="array" ref="AH10">INDEX(Drivers!$C$7:$AG$22,$G10,AH$9)</f>
        <v>279.51496200334503</v>
      </c>
      <c r="AI10" s="185" cm="1">
        <f t="array" ref="AI10">INDEX(Drivers!$C$7:$AG$22,$G10,AI$9)</f>
        <v>287.03694021808531</v>
      </c>
      <c r="AJ10" s="185" cm="1">
        <f t="array" ref="AJ10">INDEX(Drivers!$C$7:$AG$22,$G10,AJ$9)</f>
        <v>294.31771525582803</v>
      </c>
      <c r="AK10" s="185" cm="1">
        <f t="array" ref="AK10">INDEX(Drivers!$C$7:$AG$22,$G10,AK$9)</f>
        <v>301.76455908988714</v>
      </c>
      <c r="AL10" s="185" cm="1">
        <f t="array" ref="AL10">INDEX(Drivers!$C$7:$AG$22,$G10,AL$9)</f>
        <v>309.57342460424826</v>
      </c>
      <c r="AM10" s="185" cm="1">
        <f t="array" ref="AM10">INDEX(Drivers!$C$7:$AG$22,$G10,AM$9)</f>
        <v>350.26197182587691</v>
      </c>
      <c r="AN10" s="185" cm="1">
        <f t="array" ref="AN10">INDEX(Drivers!$C$7:$AG$22,$G10,AN$9)</f>
        <v>394.35250707791403</v>
      </c>
      <c r="AO10" s="185">
        <f>FORECAST(AO$3,$AL10:$AN10,$AL$3:$AN$3)</f>
        <v>478.5645915465102</v>
      </c>
      <c r="AP10" s="185">
        <f>FORECAST(AP$3,$AL10:$AN10,$AL$3:$AN$3)</f>
        <v>563.34367402017597</v>
      </c>
    </row>
    <row r="11" spans="1:48">
      <c r="A11" s="185" t="s">
        <v>16</v>
      </c>
      <c r="B11" s="186" t="str">
        <f>[4]IND!B11</f>
        <v>FA</v>
      </c>
      <c r="C11" s="186" t="str">
        <f>[4]IND!A11</f>
        <v>Ferro Alloys</v>
      </c>
      <c r="D11" s="185">
        <f>[4]IND!M11</f>
        <v>0</v>
      </c>
      <c r="F11" s="186" t="s">
        <v>612</v>
      </c>
      <c r="G11" s="185">
        <f>G10</f>
        <v>7</v>
      </c>
      <c r="H11" s="186"/>
      <c r="I11" s="186"/>
      <c r="J11" s="185" cm="1">
        <f t="array" ref="J11">INDEX(Drivers!$C$7:$AG$22,$G11,J$9)</f>
        <v>205.448728044604</v>
      </c>
      <c r="K11" s="185" cm="1">
        <f t="array" ref="K11">INDEX(Drivers!$C$7:$AG$22,$G11,K$9)</f>
        <v>210.61199999999999</v>
      </c>
      <c r="L11" s="185" cm="1">
        <f t="array" ref="L11">INDEX(Drivers!$C$7:$AG$22,$G11,L$9)</f>
        <v>211.703</v>
      </c>
      <c r="M11" s="185" cm="1">
        <f t="array" ref="M11">INDEX(Drivers!$C$7:$AG$22,$G11,M$9)</f>
        <v>218.495</v>
      </c>
      <c r="N11" s="185" cm="1">
        <f t="array" ref="N11">INDEX(Drivers!$C$7:$AG$22,$G11,N$9)</f>
        <v>215.50700000000001</v>
      </c>
      <c r="O11" s="185" cm="1">
        <f t="array" ref="O11">INDEX(Drivers!$C$7:$AG$22,$G11,O$9)</f>
        <v>222.273</v>
      </c>
      <c r="P11" s="185" cm="1">
        <f t="array" ref="P11">INDEX(Drivers!$C$7:$AG$22,$G11,P$9)</f>
        <v>220.99700000000001</v>
      </c>
      <c r="Q11" s="185" cm="1">
        <f t="array" ref="Q11">INDEX(Drivers!$C$7:$AG$22,$G11,Q$9)</f>
        <v>218.15700000000001</v>
      </c>
      <c r="R11" s="185" cm="1">
        <f t="array" ref="R11">INDEX(Drivers!$C$7:$AG$22,$G11,R$9)</f>
        <v>200.386</v>
      </c>
      <c r="S11" s="185" cm="1">
        <f t="array" ref="S11">INDEX(Drivers!$C$7:$AG$22,$G11,S$9)</f>
        <v>203.29437807937791</v>
      </c>
      <c r="T11" s="185" cm="1">
        <f t="array" ref="T11">INDEX(Drivers!$C$7:$AG$22,$G11,T$9)</f>
        <v>206.11961385675255</v>
      </c>
      <c r="U11" s="185" cm="1">
        <f t="array" ref="U11">INDEX(Drivers!$C$7:$AG$22,$G11,U$9)</f>
        <v>209.25104179398332</v>
      </c>
      <c r="V11" s="185" cm="1">
        <f t="array" ref="V11">INDEX(Drivers!$C$7:$AG$22,$G11,V$9)</f>
        <v>212.77707287334377</v>
      </c>
      <c r="W11" s="185" cm="1">
        <f t="array" ref="W11">INDEX(Drivers!$C$7:$AG$22,$G11,W$9)</f>
        <v>216.27110432504313</v>
      </c>
      <c r="X11" s="185" cm="1">
        <f t="array" ref="X11">INDEX(Drivers!$C$7:$AG$22,$G11,X$9)</f>
        <v>220.21864805430781</v>
      </c>
      <c r="Y11" s="185" cm="1">
        <f t="array" ref="Y11">INDEX(Drivers!$C$7:$AG$22,$G11,Y$9)</f>
        <v>224.1761075309966</v>
      </c>
      <c r="Z11" s="185" cm="1">
        <f t="array" ref="Z11">INDEX(Drivers!$C$7:$AG$22,$G11,Z$9)</f>
        <v>228.57997610366618</v>
      </c>
      <c r="AA11" s="185" cm="1">
        <f t="array" ref="AA11">INDEX(Drivers!$C$7:$AG$22,$G11,AA$9)</f>
        <v>233.73674541583398</v>
      </c>
      <c r="AB11" s="185" cm="1">
        <f t="array" ref="AB11">INDEX(Drivers!$C$7:$AG$22,$G11,AB$9)</f>
        <v>238.25091961160444</v>
      </c>
      <c r="AC11" s="185" cm="1">
        <f t="array" ref="AC11">INDEX(Drivers!$C$7:$AG$22,$G11,AC$9)</f>
        <v>244.11637200378888</v>
      </c>
      <c r="AD11" s="185" cm="1">
        <f t="array" ref="AD11">INDEX(Drivers!$C$7:$AG$22,$G11,AD$9)</f>
        <v>250.63576067364573</v>
      </c>
      <c r="AE11" s="185" cm="1">
        <f t="array" ref="AE11">INDEX(Drivers!$C$7:$AG$22,$G11,AE$9)</f>
        <v>257.21517064093081</v>
      </c>
      <c r="AF11" s="185" cm="1">
        <f t="array" ref="AF11">INDEX(Drivers!$C$7:$AG$22,$G11,AF$9)</f>
        <v>263.89312940303836</v>
      </c>
      <c r="AG11" s="185" cm="1">
        <f t="array" ref="AG11">INDEX(Drivers!$C$7:$AG$22,$G11,AG$9)</f>
        <v>272.09987387188147</v>
      </c>
      <c r="AH11" s="185" cm="1">
        <f t="array" ref="AH11">INDEX(Drivers!$C$7:$AG$22,$G11,AH$9)</f>
        <v>279.51496200334503</v>
      </c>
      <c r="AI11" s="185" cm="1">
        <f t="array" ref="AI11">INDEX(Drivers!$C$7:$AG$22,$G11,AI$9)</f>
        <v>287.03694021808531</v>
      </c>
      <c r="AJ11" s="185" cm="1">
        <f t="array" ref="AJ11">INDEX(Drivers!$C$7:$AG$22,$G11,AJ$9)</f>
        <v>294.31771525582803</v>
      </c>
      <c r="AK11" s="185" cm="1">
        <f t="array" ref="AK11">INDEX(Drivers!$C$7:$AG$22,$G11,AK$9)</f>
        <v>301.76455908988714</v>
      </c>
      <c r="AL11" s="185" cm="1">
        <f t="array" ref="AL11">INDEX(Drivers!$C$7:$AG$22,$G11,AL$9)</f>
        <v>309.57342460424826</v>
      </c>
      <c r="AM11" s="185" cm="1">
        <f t="array" ref="AM11">INDEX(Drivers!$C$7:$AG$22,$G11,AM$9)</f>
        <v>350.26197182587691</v>
      </c>
      <c r="AN11" s="185" cm="1">
        <f t="array" ref="AN11">INDEX(Drivers!$C$7:$AG$22,$G11,AN$9)</f>
        <v>394.35250707791403</v>
      </c>
      <c r="AO11" s="185">
        <f t="shared" ref="AO11:AP22" si="4">FORECAST(AO$3,$AL11:$AN11,$AL$3:$AN$3)</f>
        <v>478.5645915465102</v>
      </c>
      <c r="AP11" s="185">
        <f t="shared" si="4"/>
        <v>563.34367402017597</v>
      </c>
    </row>
    <row r="12" spans="1:48">
      <c r="A12" s="185" t="s">
        <v>16</v>
      </c>
      <c r="B12" s="186" t="str">
        <f>[4]IND!B12</f>
        <v>IS</v>
      </c>
      <c r="C12" s="186" t="str">
        <f>[4]IND!A12</f>
        <v>Iron &amp; Steel</v>
      </c>
      <c r="D12" s="185">
        <f>[4]IND!M12</f>
        <v>0</v>
      </c>
      <c r="F12" s="186" t="s">
        <v>292</v>
      </c>
      <c r="G12" s="185">
        <f>MATCH(B12,Drivers!$A$7:$A$22,0)</f>
        <v>6</v>
      </c>
      <c r="H12" s="186"/>
      <c r="I12" s="186"/>
      <c r="J12" s="185" cm="1">
        <f t="array" ref="J12">INDEX(Drivers!$C$7:$AG$22,$G12,J$9)</f>
        <v>13.345629432701433</v>
      </c>
      <c r="K12" s="185" cm="1">
        <f t="array" ref="K12">INDEX(Drivers!$C$7:$AG$22,$G12,K$9)</f>
        <v>13.752000000000001</v>
      </c>
      <c r="L12" s="185" cm="1">
        <f t="array" ref="L12">INDEX(Drivers!$C$7:$AG$22,$G12,L$9)</f>
        <v>14.013999999999999</v>
      </c>
      <c r="M12" s="185" cm="1">
        <f t="array" ref="M12">INDEX(Drivers!$C$7:$AG$22,$G12,M$9)</f>
        <v>14.365</v>
      </c>
      <c r="N12" s="185" cm="1">
        <f t="array" ref="N12">INDEX(Drivers!$C$7:$AG$22,$G12,N$9)</f>
        <v>14.41</v>
      </c>
      <c r="O12" s="185" cm="1">
        <f t="array" ref="O12">INDEX(Drivers!$C$7:$AG$22,$G12,O$9)</f>
        <v>14.513</v>
      </c>
      <c r="P12" s="185" cm="1">
        <f t="array" ref="P12">INDEX(Drivers!$C$7:$AG$22,$G12,P$9)</f>
        <v>14.522</v>
      </c>
      <c r="Q12" s="185" cm="1">
        <f t="array" ref="Q12">INDEX(Drivers!$C$7:$AG$22,$G12,Q$9)</f>
        <v>14.384</v>
      </c>
      <c r="R12" s="185" cm="1">
        <f t="array" ref="R12">INDEX(Drivers!$C$7:$AG$22,$G12,R$9)</f>
        <v>12.598000000000001</v>
      </c>
      <c r="S12" s="185" cm="1">
        <f t="array" ref="S12">INDEX(Drivers!$C$7:$AG$22,$G12,S$9)</f>
        <v>12.934494714926089</v>
      </c>
      <c r="T12" s="185" cm="1">
        <f t="array" ref="T12">INDEX(Drivers!$C$7:$AG$22,$G12,T$9)</f>
        <v>13.19829005616678</v>
      </c>
      <c r="U12" s="185" cm="1">
        <f t="array" ref="U12">INDEX(Drivers!$C$7:$AG$22,$G12,U$9)</f>
        <v>13.496034208980783</v>
      </c>
      <c r="V12" s="185" cm="1">
        <f t="array" ref="V12">INDEX(Drivers!$C$7:$AG$22,$G12,V$9)</f>
        <v>13.817323863833037</v>
      </c>
      <c r="W12" s="185" cm="1">
        <f t="array" ref="W12">INDEX(Drivers!$C$7:$AG$22,$G12,W$9)</f>
        <v>14.157048666451152</v>
      </c>
      <c r="X12" s="185" cm="1">
        <f t="array" ref="X12">INDEX(Drivers!$C$7:$AG$22,$G12,X$9)</f>
        <v>14.483318361750134</v>
      </c>
      <c r="Y12" s="185" cm="1">
        <f t="array" ref="Y12">INDEX(Drivers!$C$7:$AG$22,$G12,Y$9)</f>
        <v>14.814030795204278</v>
      </c>
      <c r="Z12" s="185" cm="1">
        <f t="array" ref="Z12">INDEX(Drivers!$C$7:$AG$22,$G12,Z$9)</f>
        <v>15.175435690212284</v>
      </c>
      <c r="AA12" s="185" cm="1">
        <f t="array" ref="AA12">INDEX(Drivers!$C$7:$AG$22,$G12,AA$9)</f>
        <v>15.590387438308957</v>
      </c>
      <c r="AB12" s="185" cm="1">
        <f t="array" ref="AB12">INDEX(Drivers!$C$7:$AG$22,$G12,AB$9)</f>
        <v>15.914985935307293</v>
      </c>
      <c r="AC12" s="185" cm="1">
        <f t="array" ref="AC12">INDEX(Drivers!$C$7:$AG$22,$G12,AC$9)</f>
        <v>16.354926916105637</v>
      </c>
      <c r="AD12" s="185" cm="1">
        <f t="array" ref="AD12">INDEX(Drivers!$C$7:$AG$22,$G12,AD$9)</f>
        <v>16.839667125799188</v>
      </c>
      <c r="AE12" s="185" cm="1">
        <f t="array" ref="AE12">INDEX(Drivers!$C$7:$AG$22,$G12,AE$9)</f>
        <v>17.28532194780065</v>
      </c>
      <c r="AF12" s="185" cm="1">
        <f t="array" ref="AF12">INDEX(Drivers!$C$7:$AG$22,$G12,AF$9)</f>
        <v>17.751601914866445</v>
      </c>
      <c r="AG12" s="185" cm="1">
        <f t="array" ref="AG12">INDEX(Drivers!$C$7:$AG$22,$G12,AG$9)</f>
        <v>18.319374412894163</v>
      </c>
      <c r="AH12" s="185" cm="1">
        <f t="array" ref="AH12">INDEX(Drivers!$C$7:$AG$22,$G12,AH$9)</f>
        <v>18.746904782849999</v>
      </c>
      <c r="AI12" s="185" cm="1">
        <f t="array" ref="AI12">INDEX(Drivers!$C$7:$AG$22,$G12,AI$9)</f>
        <v>19.188906790114647</v>
      </c>
      <c r="AJ12" s="185" cm="1">
        <f t="array" ref="AJ12">INDEX(Drivers!$C$7:$AG$22,$G12,AJ$9)</f>
        <v>19.622434115965071</v>
      </c>
      <c r="AK12" s="185" cm="1">
        <f t="array" ref="AK12">INDEX(Drivers!$C$7:$AG$22,$G12,AK$9)</f>
        <v>20.071312375696728</v>
      </c>
      <c r="AL12" s="185" cm="1">
        <f t="array" ref="AL12">INDEX(Drivers!$C$7:$AG$22,$G12,AL$9)</f>
        <v>20.549589211641038</v>
      </c>
      <c r="AM12" s="185" cm="1">
        <f t="array" ref="AM12">INDEX(Drivers!$C$7:$AG$22,$G12,AM$9)</f>
        <v>23.201478044191926</v>
      </c>
      <c r="AN12" s="185" cm="1">
        <f t="array" ref="AN12">INDEX(Drivers!$C$7:$AG$22,$G12,AN$9)</f>
        <v>26.156893976631636</v>
      </c>
      <c r="AO12" s="185">
        <f t="shared" si="4"/>
        <v>31.713610891640656</v>
      </c>
      <c r="AP12" s="185">
        <f t="shared" si="4"/>
        <v>37.320915656631314</v>
      </c>
    </row>
    <row r="13" spans="1:48">
      <c r="A13" s="185" t="s">
        <v>16</v>
      </c>
      <c r="B13" s="186" t="str">
        <f>[4]IND!B14</f>
        <v>CP</v>
      </c>
      <c r="C13" s="186" t="str">
        <f>[4]IND!A14</f>
        <v>Chemicals</v>
      </c>
      <c r="D13" s="185">
        <f>[4]IND!M14</f>
        <v>1</v>
      </c>
      <c r="F13" s="186"/>
      <c r="G13" s="185">
        <f>MATCH(B13,Drivers!$A$7:$A$22,0)</f>
        <v>3</v>
      </c>
      <c r="H13" s="186"/>
      <c r="I13" s="186"/>
      <c r="J13" s="185" cm="1">
        <f t="array" ref="J13">INDEX(Drivers!$C$7:$AG$22,$G13,J$9)</f>
        <v>52.810230956688748</v>
      </c>
      <c r="K13" s="185" cm="1">
        <f t="array" ref="K13">INDEX(Drivers!$C$7:$AG$22,$G13,K$9)</f>
        <v>54.390999999999998</v>
      </c>
      <c r="L13" s="185" cm="1">
        <f t="array" ref="L13">INDEX(Drivers!$C$7:$AG$22,$G13,L$9)</f>
        <v>55.515000000000001</v>
      </c>
      <c r="M13" s="185" cm="1">
        <f t="array" ref="M13">INDEX(Drivers!$C$7:$AG$22,$G13,M$9)</f>
        <v>56.133000000000003</v>
      </c>
      <c r="N13" s="185" cm="1">
        <f t="array" ref="N13">INDEX(Drivers!$C$7:$AG$22,$G13,N$9)</f>
        <v>56.734999999999999</v>
      </c>
      <c r="O13" s="185" cm="1">
        <f t="array" ref="O13">INDEX(Drivers!$C$7:$AG$22,$G13,O$9)</f>
        <v>57.222000000000001</v>
      </c>
      <c r="P13" s="185" cm="1">
        <f t="array" ref="P13">INDEX(Drivers!$C$7:$AG$22,$G13,P$9)</f>
        <v>57.87</v>
      </c>
      <c r="Q13" s="185" cm="1">
        <f t="array" ref="Q13">INDEX(Drivers!$C$7:$AG$22,$G13,Q$9)</f>
        <v>57.747999999999998</v>
      </c>
      <c r="R13" s="185" cm="1">
        <f t="array" ref="R13">INDEX(Drivers!$C$7:$AG$22,$G13,R$9)</f>
        <v>53.228999999999999</v>
      </c>
      <c r="S13" s="185" cm="1">
        <f t="array" ref="S13">INDEX(Drivers!$C$7:$AG$22,$G13,S$9)</f>
        <v>54.516389635248402</v>
      </c>
      <c r="T13" s="185" cm="1">
        <f t="array" ref="T13">INDEX(Drivers!$C$7:$AG$22,$G13,T$9)</f>
        <v>55.828537037545736</v>
      </c>
      <c r="U13" s="185" cm="1">
        <f t="array" ref="U13">INDEX(Drivers!$C$7:$AG$22,$G13,U$9)</f>
        <v>57.206496146040969</v>
      </c>
      <c r="V13" s="185" cm="1">
        <f t="array" ref="V13">INDEX(Drivers!$C$7:$AG$22,$G13,V$9)</f>
        <v>58.695742525860048</v>
      </c>
      <c r="W13" s="185" cm="1">
        <f t="array" ref="W13">INDEX(Drivers!$C$7:$AG$22,$G13,W$9)</f>
        <v>60.217949146571861</v>
      </c>
      <c r="X13" s="185" cm="1">
        <f t="array" ref="X13">INDEX(Drivers!$C$7:$AG$22,$G13,X$9)</f>
        <v>61.828285669583188</v>
      </c>
      <c r="Y13" s="185" cm="1">
        <f t="array" ref="Y13">INDEX(Drivers!$C$7:$AG$22,$G13,Y$9)</f>
        <v>63.45990869087349</v>
      </c>
      <c r="Z13" s="185" cm="1">
        <f t="array" ref="Z13">INDEX(Drivers!$C$7:$AG$22,$G13,Z$9)</f>
        <v>65.223740974566454</v>
      </c>
      <c r="AA13" s="185" cm="1">
        <f t="array" ref="AA13">INDEX(Drivers!$C$7:$AG$22,$G13,AA$9)</f>
        <v>67.023934528678637</v>
      </c>
      <c r="AB13" s="185" cm="1">
        <f t="array" ref="AB13">INDEX(Drivers!$C$7:$AG$22,$G13,AB$9)</f>
        <v>68.599396809248773</v>
      </c>
      <c r="AC13" s="185" cm="1">
        <f t="array" ref="AC13">INDEX(Drivers!$C$7:$AG$22,$G13,AC$9)</f>
        <v>70.426432832893113</v>
      </c>
      <c r="AD13" s="185" cm="1">
        <f t="array" ref="AD13">INDEX(Drivers!$C$7:$AG$22,$G13,AD$9)</f>
        <v>72.337720056565772</v>
      </c>
      <c r="AE13" s="185" cm="1">
        <f t="array" ref="AE13">INDEX(Drivers!$C$7:$AG$22,$G13,AE$9)</f>
        <v>74.245054802136565</v>
      </c>
      <c r="AF13" s="185" cm="1">
        <f t="array" ref="AF13">INDEX(Drivers!$C$7:$AG$22,$G13,AF$9)</f>
        <v>76.11922776695242</v>
      </c>
      <c r="AG13" s="185" cm="1">
        <f t="array" ref="AG13">INDEX(Drivers!$C$7:$AG$22,$G13,AG$9)</f>
        <v>78.167431761519637</v>
      </c>
      <c r="AH13" s="185" cm="1">
        <f t="array" ref="AH13">INDEX(Drivers!$C$7:$AG$22,$G13,AH$9)</f>
        <v>80.161294575858804</v>
      </c>
      <c r="AI13" s="185" cm="1">
        <f t="array" ref="AI13">INDEX(Drivers!$C$7:$AG$22,$G13,AI$9)</f>
        <v>82.235763763794935</v>
      </c>
      <c r="AJ13" s="185" cm="1">
        <f t="array" ref="AJ13">INDEX(Drivers!$C$7:$AG$22,$G13,AJ$9)</f>
        <v>84.276722477688466</v>
      </c>
      <c r="AK13" s="185" cm="1">
        <f t="array" ref="AK13">INDEX(Drivers!$C$7:$AG$22,$G13,AK$9)</f>
        <v>86.388987879569868</v>
      </c>
      <c r="AL13" s="185" cm="1">
        <f t="array" ref="AL13">INDEX(Drivers!$C$7:$AG$22,$G13,AL$9)</f>
        <v>88.628676674493676</v>
      </c>
      <c r="AM13" s="185" cm="1">
        <f t="array" ref="AM13">INDEX(Drivers!$C$7:$AG$22,$G13,AM$9)</f>
        <v>101.20050677887698</v>
      </c>
      <c r="AN13" s="185" cm="1">
        <f t="array" ref="AN13">INDEX(Drivers!$C$7:$AG$22,$G13,AN$9)</f>
        <v>115.4394254511642</v>
      </c>
      <c r="AO13" s="185">
        <f t="shared" si="4"/>
        <v>141.97232613318374</v>
      </c>
      <c r="AP13" s="185">
        <f t="shared" si="4"/>
        <v>168.7830749098548</v>
      </c>
    </row>
    <row r="14" spans="1:48">
      <c r="A14" s="185" t="s">
        <v>16</v>
      </c>
      <c r="B14" s="186" t="str">
        <f>[4]IND!B15</f>
        <v>NF</v>
      </c>
      <c r="C14" s="186" t="str">
        <f>[4]IND!A15</f>
        <v>Precious &amp; Non-Ferrous metals</v>
      </c>
      <c r="D14" s="185">
        <f>[4]IND!M15</f>
        <v>1</v>
      </c>
      <c r="F14" s="186"/>
      <c r="G14" s="185">
        <f>MATCH(B14,Drivers!$A$7:$A$22,0)</f>
        <v>8</v>
      </c>
      <c r="H14" s="186"/>
      <c r="I14" s="186"/>
      <c r="J14" s="185" cm="1">
        <f t="array" ref="J14">INDEX(Drivers!$C$7:$AG$22,$G14,J$9)</f>
        <v>10.112362730183554</v>
      </c>
      <c r="K14" s="185" cm="1">
        <f t="array" ref="K14">INDEX(Drivers!$C$7:$AG$22,$G14,K$9)</f>
        <v>8.5809999999999995</v>
      </c>
      <c r="L14" s="185" cm="1">
        <f t="array" ref="L14">INDEX(Drivers!$C$7:$AG$22,$G14,L$9)</f>
        <v>7.8769999999999998</v>
      </c>
      <c r="M14" s="185" cm="1">
        <f t="array" ref="M14">INDEX(Drivers!$C$7:$AG$22,$G14,M$9)</f>
        <v>7.9880000000000004</v>
      </c>
      <c r="N14" s="185" cm="1">
        <f t="array" ref="N14">INDEX(Drivers!$C$7:$AG$22,$G14,N$9)</f>
        <v>7.7750000000000004</v>
      </c>
      <c r="O14" s="185" cm="1">
        <f t="array" ref="O14">INDEX(Drivers!$C$7:$AG$22,$G14,O$9)</f>
        <v>7.4850000000000003</v>
      </c>
      <c r="P14" s="185" cm="1">
        <f t="array" ref="P14">INDEX(Drivers!$C$7:$AG$22,$G14,P$9)</f>
        <v>7.3470000000000004</v>
      </c>
      <c r="Q14" s="185" cm="1">
        <f t="array" ref="Q14">INDEX(Drivers!$C$7:$AG$22,$G14,Q$9)</f>
        <v>7.0549999999999997</v>
      </c>
      <c r="R14" s="185" cm="1">
        <f t="array" ref="R14">INDEX(Drivers!$C$7:$AG$22,$G14,R$9)</f>
        <v>5.7949999999999999</v>
      </c>
      <c r="S14" s="185" cm="1">
        <f t="array" ref="S14">INDEX(Drivers!$C$7:$AG$22,$G14,S$9)</f>
        <v>5.926327501958367</v>
      </c>
      <c r="T14" s="185" cm="1">
        <f t="array" ref="T14">INDEX(Drivers!$C$7:$AG$22,$G14,T$9)</f>
        <v>5.9786703998218655</v>
      </c>
      <c r="U14" s="185" cm="1">
        <f t="array" ref="U14">INDEX(Drivers!$C$7:$AG$22,$G14,U$9)</f>
        <v>6.0501237570018143</v>
      </c>
      <c r="V14" s="185" cm="1">
        <f t="array" ref="V14">INDEX(Drivers!$C$7:$AG$22,$G14,V$9)</f>
        <v>6.1634418110600437</v>
      </c>
      <c r="W14" s="185" cm="1">
        <f t="array" ref="W14">INDEX(Drivers!$C$7:$AG$22,$G14,W$9)</f>
        <v>6.3170883768032438</v>
      </c>
      <c r="X14" s="185" cm="1">
        <f t="array" ref="X14">INDEX(Drivers!$C$7:$AG$22,$G14,X$9)</f>
        <v>6.4660855827431662</v>
      </c>
      <c r="Y14" s="185" cm="1">
        <f t="array" ref="Y14">INDEX(Drivers!$C$7:$AG$22,$G14,Y$9)</f>
        <v>6.6227413468262029</v>
      </c>
      <c r="Z14" s="185" cm="1">
        <f t="array" ref="Z14">INDEX(Drivers!$C$7:$AG$22,$G14,Z$9)</f>
        <v>6.8003194350491345</v>
      </c>
      <c r="AA14" s="185" cm="1">
        <f t="array" ref="AA14">INDEX(Drivers!$C$7:$AG$22,$G14,AA$9)</f>
        <v>7.0581063883289872</v>
      </c>
      <c r="AB14" s="185" cm="1">
        <f t="array" ref="AB14">INDEX(Drivers!$C$7:$AG$22,$G14,AB$9)</f>
        <v>7.2857135683160434</v>
      </c>
      <c r="AC14" s="185" cm="1">
        <f t="array" ref="AC14">INDEX(Drivers!$C$7:$AG$22,$G14,AC$9)</f>
        <v>7.5992830661693977</v>
      </c>
      <c r="AD14" s="185" cm="1">
        <f t="array" ref="AD14">INDEX(Drivers!$C$7:$AG$22,$G14,AD$9)</f>
        <v>7.9677573759525409</v>
      </c>
      <c r="AE14" s="185" cm="1">
        <f t="array" ref="AE14">INDEX(Drivers!$C$7:$AG$22,$G14,AE$9)</f>
        <v>8.3384220275036629</v>
      </c>
      <c r="AF14" s="185" cm="1">
        <f t="array" ref="AF14">INDEX(Drivers!$C$7:$AG$22,$G14,AF$9)</f>
        <v>8.7357461295881151</v>
      </c>
      <c r="AG14" s="185" cm="1">
        <f t="array" ref="AG14">INDEX(Drivers!$C$7:$AG$22,$G14,AG$9)</f>
        <v>9.2381149671171627</v>
      </c>
      <c r="AH14" s="185" cm="1">
        <f t="array" ref="AH14">INDEX(Drivers!$C$7:$AG$22,$G14,AH$9)</f>
        <v>9.6902800359668433</v>
      </c>
      <c r="AI14" s="185" cm="1">
        <f t="array" ref="AI14">INDEX(Drivers!$C$7:$AG$22,$G14,AI$9)</f>
        <v>10.147488571310493</v>
      </c>
      <c r="AJ14" s="185" cm="1">
        <f t="array" ref="AJ14">INDEX(Drivers!$C$7:$AG$22,$G14,AJ$9)</f>
        <v>10.588983829229196</v>
      </c>
      <c r="AK14" s="185" cm="1">
        <f t="array" ref="AK14">INDEX(Drivers!$C$7:$AG$22,$G14,AK$9)</f>
        <v>11.035320346735213</v>
      </c>
      <c r="AL14" s="185" cm="1">
        <f t="array" ref="AL14">INDEX(Drivers!$C$7:$AG$22,$G14,AL$9)</f>
        <v>11.495405668882599</v>
      </c>
      <c r="AM14" s="185" cm="1">
        <f t="array" ref="AM14">INDEX(Drivers!$C$7:$AG$22,$G14,AM$9)</f>
        <v>13.697282500147978</v>
      </c>
      <c r="AN14" s="185" cm="1">
        <f t="array" ref="AN14">INDEX(Drivers!$C$7:$AG$22,$G14,AN$9)</f>
        <v>15.663536521429563</v>
      </c>
      <c r="AO14" s="185">
        <f t="shared" si="4"/>
        <v>19.870937842307171</v>
      </c>
      <c r="AP14" s="185">
        <f t="shared" si="4"/>
        <v>24.039068694854109</v>
      </c>
    </row>
    <row r="15" spans="1:48">
      <c r="A15" s="185" t="s">
        <v>16</v>
      </c>
      <c r="B15" s="186" t="str">
        <f>[4]IND!B16</f>
        <v>NM</v>
      </c>
      <c r="C15" s="186" t="str">
        <f>[4]IND!A16</f>
        <v>N.M.M Products</v>
      </c>
      <c r="D15" s="185">
        <f>[4]IND!M16</f>
        <v>0</v>
      </c>
      <c r="F15" s="186" t="s">
        <v>293</v>
      </c>
      <c r="G15" s="185">
        <f>MATCH(B15,Drivers!$A$7:$A$22,0)</f>
        <v>9</v>
      </c>
      <c r="H15" s="186"/>
      <c r="I15" s="186"/>
      <c r="J15" s="185" cm="1">
        <f t="array" ref="J15">INDEX(Drivers!$C$7:$AG$22,$G15,J$9)</f>
        <v>14.113350558119752</v>
      </c>
      <c r="K15" s="185" cm="1">
        <f t="array" ref="K15">INDEX(Drivers!$C$7:$AG$22,$G15,K$9)</f>
        <v>14.494999999999999</v>
      </c>
      <c r="L15" s="185" cm="1">
        <f t="array" ref="L15">INDEX(Drivers!$C$7:$AG$22,$G15,L$9)</f>
        <v>14.76</v>
      </c>
      <c r="M15" s="185" cm="1">
        <f t="array" ref="M15">INDEX(Drivers!$C$7:$AG$22,$G15,M$9)</f>
        <v>14.999000000000001</v>
      </c>
      <c r="N15" s="185" cm="1">
        <f t="array" ref="N15">INDEX(Drivers!$C$7:$AG$22,$G15,N$9)</f>
        <v>15.18</v>
      </c>
      <c r="O15" s="185" cm="1">
        <f t="array" ref="O15">INDEX(Drivers!$C$7:$AG$22,$G15,O$9)</f>
        <v>15.356</v>
      </c>
      <c r="P15" s="185" cm="1">
        <f t="array" ref="P15">INDEX(Drivers!$C$7:$AG$22,$G15,P$9)</f>
        <v>15.564</v>
      </c>
      <c r="Q15" s="185" cm="1">
        <f t="array" ref="Q15">INDEX(Drivers!$C$7:$AG$22,$G15,Q$9)</f>
        <v>15.58</v>
      </c>
      <c r="R15" s="185" cm="1">
        <f t="array" ref="R15">INDEX(Drivers!$C$7:$AG$22,$G15,R$9)</f>
        <v>14.3</v>
      </c>
      <c r="S15" s="185" cm="1">
        <f t="array" ref="S15">INDEX(Drivers!$C$7:$AG$22,$G15,S$9)</f>
        <v>14.657474926861358</v>
      </c>
      <c r="T15" s="185" cm="1">
        <f t="array" ref="T15">INDEX(Drivers!$C$7:$AG$22,$G15,T$9)</f>
        <v>15.024334507291506</v>
      </c>
      <c r="U15" s="185" cm="1">
        <f t="array" ref="U15">INDEX(Drivers!$C$7:$AG$22,$G15,U$9)</f>
        <v>15.42297721069621</v>
      </c>
      <c r="V15" s="185" cm="1">
        <f t="array" ref="V15">INDEX(Drivers!$C$7:$AG$22,$G15,V$9)</f>
        <v>15.850728438294347</v>
      </c>
      <c r="W15" s="185" cm="1">
        <f t="array" ref="W15">INDEX(Drivers!$C$7:$AG$22,$G15,W$9)</f>
        <v>16.280870594928636</v>
      </c>
      <c r="X15" s="185" cm="1">
        <f t="array" ref="X15">INDEX(Drivers!$C$7:$AG$22,$G15,X$9)</f>
        <v>16.754176479850955</v>
      </c>
      <c r="Y15" s="185" cm="1">
        <f t="array" ref="Y15">INDEX(Drivers!$C$7:$AG$22,$G15,Y$9)</f>
        <v>17.230999335360863</v>
      </c>
      <c r="Z15" s="185" cm="1">
        <f t="array" ref="Z15">INDEX(Drivers!$C$7:$AG$22,$G15,Z$9)</f>
        <v>17.739008522954972</v>
      </c>
      <c r="AA15" s="185" cm="1">
        <f t="array" ref="AA15">INDEX(Drivers!$C$7:$AG$22,$G15,AA$9)</f>
        <v>18.271258995605319</v>
      </c>
      <c r="AB15" s="185" cm="1">
        <f t="array" ref="AB15">INDEX(Drivers!$C$7:$AG$22,$G15,AB$9)</f>
        <v>18.705226345875964</v>
      </c>
      <c r="AC15" s="185" cm="1">
        <f t="array" ref="AC15">INDEX(Drivers!$C$7:$AG$22,$G15,AC$9)</f>
        <v>19.242561757228767</v>
      </c>
      <c r="AD15" s="185" cm="1">
        <f t="array" ref="AD15">INDEX(Drivers!$C$7:$AG$22,$G15,AD$9)</f>
        <v>19.792708988591222</v>
      </c>
      <c r="AE15" s="185" cm="1">
        <f t="array" ref="AE15">INDEX(Drivers!$C$7:$AG$22,$G15,AE$9)</f>
        <v>20.350470638914086</v>
      </c>
      <c r="AF15" s="185" cm="1">
        <f t="array" ref="AF15">INDEX(Drivers!$C$7:$AG$22,$G15,AF$9)</f>
        <v>20.890930571751181</v>
      </c>
      <c r="AG15" s="185" cm="1">
        <f t="array" ref="AG15">INDEX(Drivers!$C$7:$AG$22,$G15,AG$9)</f>
        <v>21.468262730224208</v>
      </c>
      <c r="AH15" s="185" cm="1">
        <f t="array" ref="AH15">INDEX(Drivers!$C$7:$AG$22,$G15,AH$9)</f>
        <v>22.061993081920445</v>
      </c>
      <c r="AI15" s="185" cm="1">
        <f t="array" ref="AI15">INDEX(Drivers!$C$7:$AG$22,$G15,AI$9)</f>
        <v>22.675119822299678</v>
      </c>
      <c r="AJ15" s="185" cm="1">
        <f t="array" ref="AJ15">INDEX(Drivers!$C$7:$AG$22,$G15,AJ$9)</f>
        <v>23.277727192704589</v>
      </c>
      <c r="AK15" s="185" cm="1">
        <f t="array" ref="AK15">INDEX(Drivers!$C$7:$AG$22,$G15,AK$9)</f>
        <v>23.901510798296268</v>
      </c>
      <c r="AL15" s="185" cm="1">
        <f t="array" ref="AL15">INDEX(Drivers!$C$7:$AG$22,$G15,AL$9)</f>
        <v>24.56273422622295</v>
      </c>
      <c r="AM15" s="185" cm="1">
        <f t="array" ref="AM15">INDEX(Drivers!$C$7:$AG$22,$G15,AM$9)</f>
        <v>28.354387261869654</v>
      </c>
      <c r="AN15" s="185" cm="1">
        <f t="array" ref="AN15">INDEX(Drivers!$C$7:$AG$22,$G15,AN$9)</f>
        <v>32.637929727471544</v>
      </c>
      <c r="AO15" s="185">
        <f t="shared" si="4"/>
        <v>40.631143657061102</v>
      </c>
      <c r="AP15" s="185">
        <f t="shared" si="4"/>
        <v>48.706339158309675</v>
      </c>
    </row>
    <row r="16" spans="1:48">
      <c r="A16" s="185" t="s">
        <v>16</v>
      </c>
      <c r="B16" s="186" t="str">
        <f t="shared" ref="B16:D18" si="5">B15</f>
        <v>NM</v>
      </c>
      <c r="C16" s="186" t="str">
        <f t="shared" si="5"/>
        <v>N.M.M Products</v>
      </c>
      <c r="D16" s="185">
        <f t="shared" si="5"/>
        <v>0</v>
      </c>
      <c r="F16" s="186" t="s">
        <v>297</v>
      </c>
      <c r="G16" s="185">
        <f>MATCH(B16,Drivers!$A$7:$A$22,0)</f>
        <v>9</v>
      </c>
      <c r="H16" s="186"/>
      <c r="I16" s="186"/>
      <c r="J16" s="185" cm="1">
        <f t="array" ref="J16">INDEX(Drivers!$C$7:$AG$22,$G16,J$9)</f>
        <v>14.113350558119752</v>
      </c>
      <c r="K16" s="185" cm="1">
        <f t="array" ref="K16">INDEX(Drivers!$C$7:$AG$22,$G16,K$9)</f>
        <v>14.494999999999999</v>
      </c>
      <c r="L16" s="185" cm="1">
        <f t="array" ref="L16">INDEX(Drivers!$C$7:$AG$22,$G16,L$9)</f>
        <v>14.76</v>
      </c>
      <c r="M16" s="185" cm="1">
        <f t="array" ref="M16">INDEX(Drivers!$C$7:$AG$22,$G16,M$9)</f>
        <v>14.999000000000001</v>
      </c>
      <c r="N16" s="185" cm="1">
        <f t="array" ref="N16">INDEX(Drivers!$C$7:$AG$22,$G16,N$9)</f>
        <v>15.18</v>
      </c>
      <c r="O16" s="185" cm="1">
        <f t="array" ref="O16">INDEX(Drivers!$C$7:$AG$22,$G16,O$9)</f>
        <v>15.356</v>
      </c>
      <c r="P16" s="185" cm="1">
        <f t="array" ref="P16">INDEX(Drivers!$C$7:$AG$22,$G16,P$9)</f>
        <v>15.564</v>
      </c>
      <c r="Q16" s="185" cm="1">
        <f t="array" ref="Q16">INDEX(Drivers!$C$7:$AG$22,$G16,Q$9)</f>
        <v>15.58</v>
      </c>
      <c r="R16" s="185" cm="1">
        <f t="array" ref="R16">INDEX(Drivers!$C$7:$AG$22,$G16,R$9)</f>
        <v>14.3</v>
      </c>
      <c r="S16" s="185" cm="1">
        <f t="array" ref="S16">INDEX(Drivers!$C$7:$AG$22,$G16,S$9)</f>
        <v>14.657474926861358</v>
      </c>
      <c r="T16" s="185" cm="1">
        <f t="array" ref="T16">INDEX(Drivers!$C$7:$AG$22,$G16,T$9)</f>
        <v>15.024334507291506</v>
      </c>
      <c r="U16" s="185" cm="1">
        <f t="array" ref="U16">INDEX(Drivers!$C$7:$AG$22,$G16,U$9)</f>
        <v>15.42297721069621</v>
      </c>
      <c r="V16" s="185" cm="1">
        <f t="array" ref="V16">INDEX(Drivers!$C$7:$AG$22,$G16,V$9)</f>
        <v>15.850728438294347</v>
      </c>
      <c r="W16" s="185" cm="1">
        <f t="array" ref="W16">INDEX(Drivers!$C$7:$AG$22,$G16,W$9)</f>
        <v>16.280870594928636</v>
      </c>
      <c r="X16" s="185" cm="1">
        <f t="array" ref="X16">INDEX(Drivers!$C$7:$AG$22,$G16,X$9)</f>
        <v>16.754176479850955</v>
      </c>
      <c r="Y16" s="185" cm="1">
        <f t="array" ref="Y16">INDEX(Drivers!$C$7:$AG$22,$G16,Y$9)</f>
        <v>17.230999335360863</v>
      </c>
      <c r="Z16" s="185" cm="1">
        <f t="array" ref="Z16">INDEX(Drivers!$C$7:$AG$22,$G16,Z$9)</f>
        <v>17.739008522954972</v>
      </c>
      <c r="AA16" s="185" cm="1">
        <f t="array" ref="AA16">INDEX(Drivers!$C$7:$AG$22,$G16,AA$9)</f>
        <v>18.271258995605319</v>
      </c>
      <c r="AB16" s="185" cm="1">
        <f t="array" ref="AB16">INDEX(Drivers!$C$7:$AG$22,$G16,AB$9)</f>
        <v>18.705226345875964</v>
      </c>
      <c r="AC16" s="185" cm="1">
        <f t="array" ref="AC16">INDEX(Drivers!$C$7:$AG$22,$G16,AC$9)</f>
        <v>19.242561757228767</v>
      </c>
      <c r="AD16" s="185" cm="1">
        <f t="array" ref="AD16">INDEX(Drivers!$C$7:$AG$22,$G16,AD$9)</f>
        <v>19.792708988591222</v>
      </c>
      <c r="AE16" s="185" cm="1">
        <f t="array" ref="AE16">INDEX(Drivers!$C$7:$AG$22,$G16,AE$9)</f>
        <v>20.350470638914086</v>
      </c>
      <c r="AF16" s="185" cm="1">
        <f t="array" ref="AF16">INDEX(Drivers!$C$7:$AG$22,$G16,AF$9)</f>
        <v>20.890930571751181</v>
      </c>
      <c r="AG16" s="185" cm="1">
        <f t="array" ref="AG16">INDEX(Drivers!$C$7:$AG$22,$G16,AG$9)</f>
        <v>21.468262730224208</v>
      </c>
      <c r="AH16" s="185" cm="1">
        <f t="array" ref="AH16">INDEX(Drivers!$C$7:$AG$22,$G16,AH$9)</f>
        <v>22.061993081920445</v>
      </c>
      <c r="AI16" s="185" cm="1">
        <f t="array" ref="AI16">INDEX(Drivers!$C$7:$AG$22,$G16,AI$9)</f>
        <v>22.675119822299678</v>
      </c>
      <c r="AJ16" s="185" cm="1">
        <f t="array" ref="AJ16">INDEX(Drivers!$C$7:$AG$22,$G16,AJ$9)</f>
        <v>23.277727192704589</v>
      </c>
      <c r="AK16" s="185" cm="1">
        <f t="array" ref="AK16">INDEX(Drivers!$C$7:$AG$22,$G16,AK$9)</f>
        <v>23.901510798296268</v>
      </c>
      <c r="AL16" s="185" cm="1">
        <f t="array" ref="AL16">INDEX(Drivers!$C$7:$AG$22,$G16,AL$9)</f>
        <v>24.56273422622295</v>
      </c>
      <c r="AM16" s="185" cm="1">
        <f t="array" ref="AM16">INDEX(Drivers!$C$7:$AG$22,$G16,AM$9)</f>
        <v>28.354387261869654</v>
      </c>
      <c r="AN16" s="185" cm="1">
        <f t="array" ref="AN16">INDEX(Drivers!$C$7:$AG$22,$G16,AN$9)</f>
        <v>32.637929727471544</v>
      </c>
      <c r="AO16" s="185">
        <f t="shared" si="4"/>
        <v>40.631143657061102</v>
      </c>
      <c r="AP16" s="185">
        <f t="shared" si="4"/>
        <v>48.706339158309675</v>
      </c>
    </row>
    <row r="17" spans="1:42">
      <c r="A17" s="185" t="s">
        <v>16</v>
      </c>
      <c r="B17" s="186" t="str">
        <f t="shared" si="5"/>
        <v>NM</v>
      </c>
      <c r="C17" s="186" t="str">
        <f t="shared" si="5"/>
        <v>N.M.M Products</v>
      </c>
      <c r="D17" s="185">
        <f t="shared" si="5"/>
        <v>0</v>
      </c>
      <c r="F17" s="186" t="s">
        <v>298</v>
      </c>
      <c r="G17" s="185">
        <f>MATCH(B17,Drivers!$A$7:$A$22,0)</f>
        <v>9</v>
      </c>
      <c r="H17" s="186"/>
      <c r="I17" s="186"/>
      <c r="J17" s="185" cm="1">
        <f t="array" ref="J17">INDEX(Drivers!$C$7:$AG$22,$G17,J$9)</f>
        <v>14.113350558119752</v>
      </c>
      <c r="K17" s="185" cm="1">
        <f t="array" ref="K17">INDEX(Drivers!$C$7:$AG$22,$G17,K$9)</f>
        <v>14.494999999999999</v>
      </c>
      <c r="L17" s="185" cm="1">
        <f t="array" ref="L17">INDEX(Drivers!$C$7:$AG$22,$G17,L$9)</f>
        <v>14.76</v>
      </c>
      <c r="M17" s="185" cm="1">
        <f t="array" ref="M17">INDEX(Drivers!$C$7:$AG$22,$G17,M$9)</f>
        <v>14.999000000000001</v>
      </c>
      <c r="N17" s="185" cm="1">
        <f t="array" ref="N17">INDEX(Drivers!$C$7:$AG$22,$G17,N$9)</f>
        <v>15.18</v>
      </c>
      <c r="O17" s="185" cm="1">
        <f t="array" ref="O17">INDEX(Drivers!$C$7:$AG$22,$G17,O$9)</f>
        <v>15.356</v>
      </c>
      <c r="P17" s="185" cm="1">
        <f t="array" ref="P17">INDEX(Drivers!$C$7:$AG$22,$G17,P$9)</f>
        <v>15.564</v>
      </c>
      <c r="Q17" s="185" cm="1">
        <f t="array" ref="Q17">INDEX(Drivers!$C$7:$AG$22,$G17,Q$9)</f>
        <v>15.58</v>
      </c>
      <c r="R17" s="185" cm="1">
        <f t="array" ref="R17">INDEX(Drivers!$C$7:$AG$22,$G17,R$9)</f>
        <v>14.3</v>
      </c>
      <c r="S17" s="185" cm="1">
        <f t="array" ref="S17">INDEX(Drivers!$C$7:$AG$22,$G17,S$9)</f>
        <v>14.657474926861358</v>
      </c>
      <c r="T17" s="185" cm="1">
        <f t="array" ref="T17">INDEX(Drivers!$C$7:$AG$22,$G17,T$9)</f>
        <v>15.024334507291506</v>
      </c>
      <c r="U17" s="185" cm="1">
        <f t="array" ref="U17">INDEX(Drivers!$C$7:$AG$22,$G17,U$9)</f>
        <v>15.42297721069621</v>
      </c>
      <c r="V17" s="185" cm="1">
        <f t="array" ref="V17">INDEX(Drivers!$C$7:$AG$22,$G17,V$9)</f>
        <v>15.850728438294347</v>
      </c>
      <c r="W17" s="185" cm="1">
        <f t="array" ref="W17">INDEX(Drivers!$C$7:$AG$22,$G17,W$9)</f>
        <v>16.280870594928636</v>
      </c>
      <c r="X17" s="185" cm="1">
        <f t="array" ref="X17">INDEX(Drivers!$C$7:$AG$22,$G17,X$9)</f>
        <v>16.754176479850955</v>
      </c>
      <c r="Y17" s="185" cm="1">
        <f t="array" ref="Y17">INDEX(Drivers!$C$7:$AG$22,$G17,Y$9)</f>
        <v>17.230999335360863</v>
      </c>
      <c r="Z17" s="185" cm="1">
        <f t="array" ref="Z17">INDEX(Drivers!$C$7:$AG$22,$G17,Z$9)</f>
        <v>17.739008522954972</v>
      </c>
      <c r="AA17" s="185" cm="1">
        <f t="array" ref="AA17">INDEX(Drivers!$C$7:$AG$22,$G17,AA$9)</f>
        <v>18.271258995605319</v>
      </c>
      <c r="AB17" s="185" cm="1">
        <f t="array" ref="AB17">INDEX(Drivers!$C$7:$AG$22,$G17,AB$9)</f>
        <v>18.705226345875964</v>
      </c>
      <c r="AC17" s="185" cm="1">
        <f t="array" ref="AC17">INDEX(Drivers!$C$7:$AG$22,$G17,AC$9)</f>
        <v>19.242561757228767</v>
      </c>
      <c r="AD17" s="185" cm="1">
        <f t="array" ref="AD17">INDEX(Drivers!$C$7:$AG$22,$G17,AD$9)</f>
        <v>19.792708988591222</v>
      </c>
      <c r="AE17" s="185" cm="1">
        <f t="array" ref="AE17">INDEX(Drivers!$C$7:$AG$22,$G17,AE$9)</f>
        <v>20.350470638914086</v>
      </c>
      <c r="AF17" s="185" cm="1">
        <f t="array" ref="AF17">INDEX(Drivers!$C$7:$AG$22,$G17,AF$9)</f>
        <v>20.890930571751181</v>
      </c>
      <c r="AG17" s="185" cm="1">
        <f t="array" ref="AG17">INDEX(Drivers!$C$7:$AG$22,$G17,AG$9)</f>
        <v>21.468262730224208</v>
      </c>
      <c r="AH17" s="185" cm="1">
        <f t="array" ref="AH17">INDEX(Drivers!$C$7:$AG$22,$G17,AH$9)</f>
        <v>22.061993081920445</v>
      </c>
      <c r="AI17" s="185" cm="1">
        <f t="array" ref="AI17">INDEX(Drivers!$C$7:$AG$22,$G17,AI$9)</f>
        <v>22.675119822299678</v>
      </c>
      <c r="AJ17" s="185" cm="1">
        <f t="array" ref="AJ17">INDEX(Drivers!$C$7:$AG$22,$G17,AJ$9)</f>
        <v>23.277727192704589</v>
      </c>
      <c r="AK17" s="185" cm="1">
        <f t="array" ref="AK17">INDEX(Drivers!$C$7:$AG$22,$G17,AK$9)</f>
        <v>23.901510798296268</v>
      </c>
      <c r="AL17" s="185" cm="1">
        <f t="array" ref="AL17">INDEX(Drivers!$C$7:$AG$22,$G17,AL$9)</f>
        <v>24.56273422622295</v>
      </c>
      <c r="AM17" s="185" cm="1">
        <f t="array" ref="AM17">INDEX(Drivers!$C$7:$AG$22,$G17,AM$9)</f>
        <v>28.354387261869654</v>
      </c>
      <c r="AN17" s="185" cm="1">
        <f t="array" ref="AN17">INDEX(Drivers!$C$7:$AG$22,$G17,AN$9)</f>
        <v>32.637929727471544</v>
      </c>
      <c r="AO17" s="185">
        <f t="shared" si="4"/>
        <v>40.631143657061102</v>
      </c>
      <c r="AP17" s="185">
        <f t="shared" si="4"/>
        <v>48.706339158309675</v>
      </c>
    </row>
    <row r="18" spans="1:42">
      <c r="A18" s="185" t="s">
        <v>16</v>
      </c>
      <c r="B18" s="186" t="str">
        <f t="shared" si="5"/>
        <v>NM</v>
      </c>
      <c r="C18" s="186" t="str">
        <f t="shared" si="5"/>
        <v>N.M.M Products</v>
      </c>
      <c r="D18" s="185">
        <f t="shared" si="5"/>
        <v>0</v>
      </c>
      <c r="F18" s="186" t="s">
        <v>299</v>
      </c>
      <c r="G18" s="185">
        <f>MATCH(B18,Drivers!$A$7:$A$22,0)</f>
        <v>9</v>
      </c>
      <c r="H18" s="186"/>
      <c r="I18" s="186"/>
      <c r="J18" s="185" cm="1">
        <f t="array" ref="J18">INDEX(Drivers!$C$7:$AG$22,$G18,J$9)</f>
        <v>14.113350558119752</v>
      </c>
      <c r="K18" s="185" cm="1">
        <f t="array" ref="K18">INDEX(Drivers!$C$7:$AG$22,$G18,K$9)</f>
        <v>14.494999999999999</v>
      </c>
      <c r="L18" s="185" cm="1">
        <f t="array" ref="L18">INDEX(Drivers!$C$7:$AG$22,$G18,L$9)</f>
        <v>14.76</v>
      </c>
      <c r="M18" s="185" cm="1">
        <f t="array" ref="M18">INDEX(Drivers!$C$7:$AG$22,$G18,M$9)</f>
        <v>14.999000000000001</v>
      </c>
      <c r="N18" s="185" cm="1">
        <f t="array" ref="N18">INDEX(Drivers!$C$7:$AG$22,$G18,N$9)</f>
        <v>15.18</v>
      </c>
      <c r="O18" s="185" cm="1">
        <f t="array" ref="O18">INDEX(Drivers!$C$7:$AG$22,$G18,O$9)</f>
        <v>15.356</v>
      </c>
      <c r="P18" s="185" cm="1">
        <f t="array" ref="P18">INDEX(Drivers!$C$7:$AG$22,$G18,P$9)</f>
        <v>15.564</v>
      </c>
      <c r="Q18" s="185" cm="1">
        <f t="array" ref="Q18">INDEX(Drivers!$C$7:$AG$22,$G18,Q$9)</f>
        <v>15.58</v>
      </c>
      <c r="R18" s="185" cm="1">
        <f t="array" ref="R18">INDEX(Drivers!$C$7:$AG$22,$G18,R$9)</f>
        <v>14.3</v>
      </c>
      <c r="S18" s="185" cm="1">
        <f t="array" ref="S18">INDEX(Drivers!$C$7:$AG$22,$G18,S$9)</f>
        <v>14.657474926861358</v>
      </c>
      <c r="T18" s="185" cm="1">
        <f t="array" ref="T18">INDEX(Drivers!$C$7:$AG$22,$G18,T$9)</f>
        <v>15.024334507291506</v>
      </c>
      <c r="U18" s="185" cm="1">
        <f t="array" ref="U18">INDEX(Drivers!$C$7:$AG$22,$G18,U$9)</f>
        <v>15.42297721069621</v>
      </c>
      <c r="V18" s="185" cm="1">
        <f t="array" ref="V18">INDEX(Drivers!$C$7:$AG$22,$G18,V$9)</f>
        <v>15.850728438294347</v>
      </c>
      <c r="W18" s="185" cm="1">
        <f t="array" ref="W18">INDEX(Drivers!$C$7:$AG$22,$G18,W$9)</f>
        <v>16.280870594928636</v>
      </c>
      <c r="X18" s="185" cm="1">
        <f t="array" ref="X18">INDEX(Drivers!$C$7:$AG$22,$G18,X$9)</f>
        <v>16.754176479850955</v>
      </c>
      <c r="Y18" s="185" cm="1">
        <f t="array" ref="Y18">INDEX(Drivers!$C$7:$AG$22,$G18,Y$9)</f>
        <v>17.230999335360863</v>
      </c>
      <c r="Z18" s="185" cm="1">
        <f t="array" ref="Z18">INDEX(Drivers!$C$7:$AG$22,$G18,Z$9)</f>
        <v>17.739008522954972</v>
      </c>
      <c r="AA18" s="185" cm="1">
        <f t="array" ref="AA18">INDEX(Drivers!$C$7:$AG$22,$G18,AA$9)</f>
        <v>18.271258995605319</v>
      </c>
      <c r="AB18" s="185" cm="1">
        <f t="array" ref="AB18">INDEX(Drivers!$C$7:$AG$22,$G18,AB$9)</f>
        <v>18.705226345875964</v>
      </c>
      <c r="AC18" s="185" cm="1">
        <f t="array" ref="AC18">INDEX(Drivers!$C$7:$AG$22,$G18,AC$9)</f>
        <v>19.242561757228767</v>
      </c>
      <c r="AD18" s="185" cm="1">
        <f t="array" ref="AD18">INDEX(Drivers!$C$7:$AG$22,$G18,AD$9)</f>
        <v>19.792708988591222</v>
      </c>
      <c r="AE18" s="185" cm="1">
        <f t="array" ref="AE18">INDEX(Drivers!$C$7:$AG$22,$G18,AE$9)</f>
        <v>20.350470638914086</v>
      </c>
      <c r="AF18" s="185" cm="1">
        <f t="array" ref="AF18">INDEX(Drivers!$C$7:$AG$22,$G18,AF$9)</f>
        <v>20.890930571751181</v>
      </c>
      <c r="AG18" s="185" cm="1">
        <f t="array" ref="AG18">INDEX(Drivers!$C$7:$AG$22,$G18,AG$9)</f>
        <v>21.468262730224208</v>
      </c>
      <c r="AH18" s="185" cm="1">
        <f t="array" ref="AH18">INDEX(Drivers!$C$7:$AG$22,$G18,AH$9)</f>
        <v>22.061993081920445</v>
      </c>
      <c r="AI18" s="185" cm="1">
        <f t="array" ref="AI18">INDEX(Drivers!$C$7:$AG$22,$G18,AI$9)</f>
        <v>22.675119822299678</v>
      </c>
      <c r="AJ18" s="185" cm="1">
        <f t="array" ref="AJ18">INDEX(Drivers!$C$7:$AG$22,$G18,AJ$9)</f>
        <v>23.277727192704589</v>
      </c>
      <c r="AK18" s="185" cm="1">
        <f t="array" ref="AK18">INDEX(Drivers!$C$7:$AG$22,$G18,AK$9)</f>
        <v>23.901510798296268</v>
      </c>
      <c r="AL18" s="185" cm="1">
        <f t="array" ref="AL18">INDEX(Drivers!$C$7:$AG$22,$G18,AL$9)</f>
        <v>24.56273422622295</v>
      </c>
      <c r="AM18" s="185" cm="1">
        <f t="array" ref="AM18">INDEX(Drivers!$C$7:$AG$22,$G18,AM$9)</f>
        <v>28.354387261869654</v>
      </c>
      <c r="AN18" s="185" cm="1">
        <f t="array" ref="AN18">INDEX(Drivers!$C$7:$AG$22,$G18,AN$9)</f>
        <v>32.637929727471544</v>
      </c>
      <c r="AO18" s="185">
        <f t="shared" si="4"/>
        <v>40.631143657061102</v>
      </c>
      <c r="AP18" s="185">
        <f t="shared" si="4"/>
        <v>48.706339158309675</v>
      </c>
    </row>
    <row r="19" spans="1:42">
      <c r="A19" s="185" t="s">
        <v>16</v>
      </c>
      <c r="B19" s="186" t="str">
        <f>[4]IND!B17</f>
        <v>FB</v>
      </c>
      <c r="C19" s="186" t="str">
        <f>[4]IND!A17</f>
        <v>Food, Beverage &amp; Tabacco</v>
      </c>
      <c r="D19" s="185">
        <f>[4]IND!M17</f>
        <v>1</v>
      </c>
      <c r="F19" s="186"/>
      <c r="G19" s="185">
        <f>MATCH(B19,Drivers!$A$7:$A$22,0)</f>
        <v>4</v>
      </c>
      <c r="H19" s="186"/>
      <c r="I19" s="186"/>
      <c r="J19" s="185" cm="1">
        <f t="array" ref="J19">INDEX(Drivers!$C$7:$AG$22,$G19,J$9)</f>
        <v>93.09690942833015</v>
      </c>
      <c r="K19" s="185" cm="1">
        <f t="array" ref="K19">INDEX(Drivers!$C$7:$AG$22,$G19,K$9)</f>
        <v>96.522000000000006</v>
      </c>
      <c r="L19" s="185" cm="1">
        <f t="array" ref="L19">INDEX(Drivers!$C$7:$AG$22,$G19,L$9)</f>
        <v>99.097999999999999</v>
      </c>
      <c r="M19" s="185" cm="1">
        <f t="array" ref="M19">INDEX(Drivers!$C$7:$AG$22,$G19,M$9)</f>
        <v>100.31</v>
      </c>
      <c r="N19" s="185" cm="1">
        <f t="array" ref="N19">INDEX(Drivers!$C$7:$AG$22,$G19,N$9)</f>
        <v>102.387</v>
      </c>
      <c r="O19" s="185" cm="1">
        <f t="array" ref="O19">INDEX(Drivers!$C$7:$AG$22,$G19,O$9)</f>
        <v>103.53100000000001</v>
      </c>
      <c r="P19" s="185" cm="1">
        <f t="array" ref="P19">INDEX(Drivers!$C$7:$AG$22,$G19,P$9)</f>
        <v>105.003</v>
      </c>
      <c r="Q19" s="185" cm="1">
        <f t="array" ref="Q19">INDEX(Drivers!$C$7:$AG$22,$G19,Q$9)</f>
        <v>104.664</v>
      </c>
      <c r="R19" s="185" cm="1">
        <f t="array" ref="R19">INDEX(Drivers!$C$7:$AG$22,$G19,R$9)</f>
        <v>99.796999999999997</v>
      </c>
      <c r="S19" s="185" cm="1">
        <f t="array" ref="S19">INDEX(Drivers!$C$7:$AG$22,$G19,S$9)</f>
        <v>102.36491582834971</v>
      </c>
      <c r="T19" s="185" cm="1">
        <f t="array" ref="T19">INDEX(Drivers!$C$7:$AG$22,$G19,T$9)</f>
        <v>105.0098528974475</v>
      </c>
      <c r="U19" s="185" cm="1">
        <f t="array" ref="U19">INDEX(Drivers!$C$7:$AG$22,$G19,U$9)</f>
        <v>107.47669954869907</v>
      </c>
      <c r="V19" s="185" cm="1">
        <f t="array" ref="V19">INDEX(Drivers!$C$7:$AG$22,$G19,V$9)</f>
        <v>110.04858524266147</v>
      </c>
      <c r="W19" s="185" cm="1">
        <f t="array" ref="W19">INDEX(Drivers!$C$7:$AG$22,$G19,W$9)</f>
        <v>112.67346926743792</v>
      </c>
      <c r="X19" s="185" cm="1">
        <f t="array" ref="X19">INDEX(Drivers!$C$7:$AG$22,$G19,X$9)</f>
        <v>115.34121171944236</v>
      </c>
      <c r="Y19" s="185" cm="1">
        <f t="array" ref="Y19">INDEX(Drivers!$C$7:$AG$22,$G19,Y$9)</f>
        <v>117.94095188094238</v>
      </c>
      <c r="Z19" s="185" cm="1">
        <f t="array" ref="Z19">INDEX(Drivers!$C$7:$AG$22,$G19,Z$9)</f>
        <v>120.67327288108554</v>
      </c>
      <c r="AA19" s="185" cm="1">
        <f t="array" ref="AA19">INDEX(Drivers!$C$7:$AG$22,$G19,AA$9)</f>
        <v>123.37488866273767</v>
      </c>
      <c r="AB19" s="185" cm="1">
        <f t="array" ref="AB19">INDEX(Drivers!$C$7:$AG$22,$G19,AB$9)</f>
        <v>125.73427076274204</v>
      </c>
      <c r="AC19" s="185" cm="1">
        <f t="array" ref="AC19">INDEX(Drivers!$C$7:$AG$22,$G19,AC$9)</f>
        <v>128.62927041441671</v>
      </c>
      <c r="AD19" s="185" cm="1">
        <f t="array" ref="AD19">INDEX(Drivers!$C$7:$AG$22,$G19,AD$9)</f>
        <v>131.56211600801402</v>
      </c>
      <c r="AE19" s="185" cm="1">
        <f t="array" ref="AE19">INDEX(Drivers!$C$7:$AG$22,$G19,AE$9)</f>
        <v>134.36542766837559</v>
      </c>
      <c r="AF19" s="185" cm="1">
        <f t="array" ref="AF19">INDEX(Drivers!$C$7:$AG$22,$G19,AF$9)</f>
        <v>137.08611789583711</v>
      </c>
      <c r="AG19" s="185" cm="1">
        <f t="array" ref="AG19">INDEX(Drivers!$C$7:$AG$22,$G19,AG$9)</f>
        <v>140.27590085253956</v>
      </c>
      <c r="AH19" s="185" cm="1">
        <f t="array" ref="AH19">INDEX(Drivers!$C$7:$AG$22,$G19,AH$9)</f>
        <v>143.21803780563229</v>
      </c>
      <c r="AI19" s="185" cm="1">
        <f t="array" ref="AI19">INDEX(Drivers!$C$7:$AG$22,$G19,AI$9)</f>
        <v>146.22211211981949</v>
      </c>
      <c r="AJ19" s="185" cm="1">
        <f t="array" ref="AJ19">INDEX(Drivers!$C$7:$AG$22,$G19,AJ$9)</f>
        <v>149.0801110245722</v>
      </c>
      <c r="AK19" s="185" cm="1">
        <f t="array" ref="AK19">INDEX(Drivers!$C$7:$AG$22,$G19,AK$9)</f>
        <v>152.00630507710386</v>
      </c>
      <c r="AL19" s="185" cm="1">
        <f t="array" ref="AL19">INDEX(Drivers!$C$7:$AG$22,$G19,AL$9)</f>
        <v>155.07174759921938</v>
      </c>
      <c r="AM19" s="185" cm="1">
        <f t="array" ref="AM19">INDEX(Drivers!$C$7:$AG$22,$G19,AM$9)</f>
        <v>171.77306646677394</v>
      </c>
      <c r="AN19" s="185" cm="1">
        <f t="array" ref="AN19">INDEX(Drivers!$C$7:$AG$22,$G19,AN$9)</f>
        <v>189.70229183869614</v>
      </c>
      <c r="AO19" s="185">
        <f t="shared" si="4"/>
        <v>224.12818499411151</v>
      </c>
      <c r="AP19" s="185">
        <f t="shared" si="4"/>
        <v>258.75872923358838</v>
      </c>
    </row>
    <row r="20" spans="1:42">
      <c r="A20" s="185" t="s">
        <v>16</v>
      </c>
      <c r="B20" s="186" t="str">
        <f>[4]IND!B18</f>
        <v>PP</v>
      </c>
      <c r="C20" s="186" t="str">
        <f>[4]IND!A18</f>
        <v>Pulp &amp; Paper Products</v>
      </c>
      <c r="D20" s="185">
        <f>[4]IND!M18</f>
        <v>0</v>
      </c>
      <c r="F20" s="186" t="s">
        <v>300</v>
      </c>
      <c r="G20" s="185">
        <f>MATCH(B20,Drivers!$A$7:$A$22,0)</f>
        <v>12</v>
      </c>
      <c r="H20" s="186"/>
      <c r="I20" s="186"/>
      <c r="J20" s="185" cm="1">
        <f t="array" ref="J20">INDEX(Drivers!$C$7:$AG$22,$G20,J$9)</f>
        <v>17.781500762507015</v>
      </c>
      <c r="K20" s="185" cm="1">
        <f t="array" ref="K20">INDEX(Drivers!$C$7:$AG$22,$G20,K$9)</f>
        <v>18.231000000000002</v>
      </c>
      <c r="L20" s="185" cm="1">
        <f t="array" ref="L20">INDEX(Drivers!$C$7:$AG$22,$G20,L$9)</f>
        <v>18.620999999999999</v>
      </c>
      <c r="M20" s="185" cm="1">
        <f t="array" ref="M20">INDEX(Drivers!$C$7:$AG$22,$G20,M$9)</f>
        <v>18.835000000000001</v>
      </c>
      <c r="N20" s="185" cm="1">
        <f t="array" ref="N20">INDEX(Drivers!$C$7:$AG$22,$G20,N$9)</f>
        <v>19.187000000000001</v>
      </c>
      <c r="O20" s="185" cm="1">
        <f t="array" ref="O20">INDEX(Drivers!$C$7:$AG$22,$G20,O$9)</f>
        <v>19.315000000000001</v>
      </c>
      <c r="P20" s="185" cm="1">
        <f t="array" ref="P20">INDEX(Drivers!$C$7:$AG$22,$G20,P$9)</f>
        <v>19.638999999999999</v>
      </c>
      <c r="Q20" s="185" cm="1">
        <f t="array" ref="Q20">INDEX(Drivers!$C$7:$AG$22,$G20,Q$9)</f>
        <v>19.626000000000001</v>
      </c>
      <c r="R20" s="185" cm="1">
        <f t="array" ref="R20">INDEX(Drivers!$C$7:$AG$22,$G20,R$9)</f>
        <v>18.239999999999998</v>
      </c>
      <c r="S20" s="185" cm="1">
        <f t="array" ref="S20">INDEX(Drivers!$C$7:$AG$22,$G20,S$9)</f>
        <v>18.693484827153338</v>
      </c>
      <c r="T20" s="185" cm="1">
        <f t="array" ref="T20">INDEX(Drivers!$C$7:$AG$22,$G20,T$9)</f>
        <v>19.149837532194638</v>
      </c>
      <c r="U20" s="185" cm="1">
        <f t="array" ref="U20">INDEX(Drivers!$C$7:$AG$22,$G20,U$9)</f>
        <v>19.657661470314377</v>
      </c>
      <c r="V20" s="185" cm="1">
        <f t="array" ref="V20">INDEX(Drivers!$C$7:$AG$22,$G20,V$9)</f>
        <v>20.193443528988396</v>
      </c>
      <c r="W20" s="185" cm="1">
        <f t="array" ref="W20">INDEX(Drivers!$C$7:$AG$22,$G20,W$9)</f>
        <v>20.731792266643591</v>
      </c>
      <c r="X20" s="185" cm="1">
        <f t="array" ref="X20">INDEX(Drivers!$C$7:$AG$22,$G20,X$9)</f>
        <v>21.357440437664884</v>
      </c>
      <c r="Y20" s="185" cm="1">
        <f t="array" ref="Y20">INDEX(Drivers!$C$7:$AG$22,$G20,Y$9)</f>
        <v>21.962345388394901</v>
      </c>
      <c r="Z20" s="185" cm="1">
        <f t="array" ref="Z20">INDEX(Drivers!$C$7:$AG$22,$G20,Z$9)</f>
        <v>22.589786702619744</v>
      </c>
      <c r="AA20" s="185" cm="1">
        <f t="array" ref="AA20">INDEX(Drivers!$C$7:$AG$22,$G20,AA$9)</f>
        <v>23.242801804378885</v>
      </c>
      <c r="AB20" s="185" cm="1">
        <f t="array" ref="AB20">INDEX(Drivers!$C$7:$AG$22,$G20,AB$9)</f>
        <v>23.813447856027945</v>
      </c>
      <c r="AC20" s="185" cm="1">
        <f t="array" ref="AC20">INDEX(Drivers!$C$7:$AG$22,$G20,AC$9)</f>
        <v>24.492816141773368</v>
      </c>
      <c r="AD20" s="185" cm="1">
        <f t="array" ref="AD20">INDEX(Drivers!$C$7:$AG$22,$G20,AD$9)</f>
        <v>25.183509983468465</v>
      </c>
      <c r="AE20" s="185" cm="1">
        <f t="array" ref="AE20">INDEX(Drivers!$C$7:$AG$22,$G20,AE$9)</f>
        <v>25.866263399800989</v>
      </c>
      <c r="AF20" s="185" cm="1">
        <f t="array" ref="AF20">INDEX(Drivers!$C$7:$AG$22,$G20,AF$9)</f>
        <v>26.533759468340733</v>
      </c>
      <c r="AG20" s="185" cm="1">
        <f t="array" ref="AG20">INDEX(Drivers!$C$7:$AG$22,$G20,AG$9)</f>
        <v>27.156982136361467</v>
      </c>
      <c r="AH20" s="185" cm="1">
        <f t="array" ref="AH20">INDEX(Drivers!$C$7:$AG$22,$G20,AH$9)</f>
        <v>27.860161953993131</v>
      </c>
      <c r="AI20" s="185" cm="1">
        <f t="array" ref="AI20">INDEX(Drivers!$C$7:$AG$22,$G20,AI$9)</f>
        <v>28.590286255208085</v>
      </c>
      <c r="AJ20" s="185" cm="1">
        <f t="array" ref="AJ20">INDEX(Drivers!$C$7:$AG$22,$G20,AJ$9)</f>
        <v>29.309674537050952</v>
      </c>
      <c r="AK20" s="185" cm="1">
        <f t="array" ref="AK20">INDEX(Drivers!$C$7:$AG$22,$G20,AK$9)</f>
        <v>30.057342863301074</v>
      </c>
      <c r="AL20" s="185" cm="1">
        <f t="array" ref="AL20">INDEX(Drivers!$C$7:$AG$22,$G20,AL$9)</f>
        <v>30.851469239553378</v>
      </c>
      <c r="AM20" s="185" cm="1">
        <f t="array" ref="AM20">INDEX(Drivers!$C$7:$AG$22,$G20,AM$9)</f>
        <v>35.255029053924076</v>
      </c>
      <c r="AN20" s="185" cm="1">
        <f t="array" ref="AN20">INDEX(Drivers!$C$7:$AG$22,$G20,AN$9)</f>
        <v>40.176957246367792</v>
      </c>
      <c r="AO20" s="185">
        <f t="shared" si="4"/>
        <v>49.416050523503372</v>
      </c>
      <c r="AP20" s="185">
        <f t="shared" si="4"/>
        <v>58.741538530317712</v>
      </c>
    </row>
    <row r="21" spans="1:42">
      <c r="A21" s="185" t="s">
        <v>16</v>
      </c>
      <c r="B21" s="186" t="str">
        <f>B20</f>
        <v>PP</v>
      </c>
      <c r="C21" s="186" t="str">
        <f>C20</f>
        <v>Pulp &amp; Paper Products</v>
      </c>
      <c r="D21" s="185">
        <f>D20</f>
        <v>0</v>
      </c>
      <c r="F21" s="186" t="s">
        <v>301</v>
      </c>
      <c r="G21" s="185">
        <f>MATCH(B21,Drivers!$A$7:$A$22,0)</f>
        <v>12</v>
      </c>
      <c r="H21" s="186"/>
      <c r="I21" s="186"/>
      <c r="J21" s="185" cm="1">
        <f t="array" ref="J21">INDEX(Drivers!$C$7:$AG$22,$G21,J$9)</f>
        <v>17.781500762507015</v>
      </c>
      <c r="K21" s="185" cm="1">
        <f t="array" ref="K21">INDEX(Drivers!$C$7:$AG$22,$G21,K$9)</f>
        <v>18.231000000000002</v>
      </c>
      <c r="L21" s="185" cm="1">
        <f t="array" ref="L21">INDEX(Drivers!$C$7:$AG$22,$G21,L$9)</f>
        <v>18.620999999999999</v>
      </c>
      <c r="M21" s="185" cm="1">
        <f t="array" ref="M21">INDEX(Drivers!$C$7:$AG$22,$G21,M$9)</f>
        <v>18.835000000000001</v>
      </c>
      <c r="N21" s="185" cm="1">
        <f t="array" ref="N21">INDEX(Drivers!$C$7:$AG$22,$G21,N$9)</f>
        <v>19.187000000000001</v>
      </c>
      <c r="O21" s="185" cm="1">
        <f t="array" ref="O21">INDEX(Drivers!$C$7:$AG$22,$G21,O$9)</f>
        <v>19.315000000000001</v>
      </c>
      <c r="P21" s="185" cm="1">
        <f t="array" ref="P21">INDEX(Drivers!$C$7:$AG$22,$G21,P$9)</f>
        <v>19.638999999999999</v>
      </c>
      <c r="Q21" s="185" cm="1">
        <f t="array" ref="Q21">INDEX(Drivers!$C$7:$AG$22,$G21,Q$9)</f>
        <v>19.626000000000001</v>
      </c>
      <c r="R21" s="185" cm="1">
        <f t="array" ref="R21">INDEX(Drivers!$C$7:$AG$22,$G21,R$9)</f>
        <v>18.239999999999998</v>
      </c>
      <c r="S21" s="185" cm="1">
        <f t="array" ref="S21">INDEX(Drivers!$C$7:$AG$22,$G21,S$9)</f>
        <v>18.693484827153338</v>
      </c>
      <c r="T21" s="185" cm="1">
        <f t="array" ref="T21">INDEX(Drivers!$C$7:$AG$22,$G21,T$9)</f>
        <v>19.149837532194638</v>
      </c>
      <c r="U21" s="185" cm="1">
        <f t="array" ref="U21">INDEX(Drivers!$C$7:$AG$22,$G21,U$9)</f>
        <v>19.657661470314377</v>
      </c>
      <c r="V21" s="185" cm="1">
        <f t="array" ref="V21">INDEX(Drivers!$C$7:$AG$22,$G21,V$9)</f>
        <v>20.193443528988396</v>
      </c>
      <c r="W21" s="185" cm="1">
        <f t="array" ref="W21">INDEX(Drivers!$C$7:$AG$22,$G21,W$9)</f>
        <v>20.731792266643591</v>
      </c>
      <c r="X21" s="185" cm="1">
        <f t="array" ref="X21">INDEX(Drivers!$C$7:$AG$22,$G21,X$9)</f>
        <v>21.357440437664884</v>
      </c>
      <c r="Y21" s="185" cm="1">
        <f t="array" ref="Y21">INDEX(Drivers!$C$7:$AG$22,$G21,Y$9)</f>
        <v>21.962345388394901</v>
      </c>
      <c r="Z21" s="185" cm="1">
        <f t="array" ref="Z21">INDEX(Drivers!$C$7:$AG$22,$G21,Z$9)</f>
        <v>22.589786702619744</v>
      </c>
      <c r="AA21" s="185" cm="1">
        <f t="array" ref="AA21">INDEX(Drivers!$C$7:$AG$22,$G21,AA$9)</f>
        <v>23.242801804378885</v>
      </c>
      <c r="AB21" s="185" cm="1">
        <f t="array" ref="AB21">INDEX(Drivers!$C$7:$AG$22,$G21,AB$9)</f>
        <v>23.813447856027945</v>
      </c>
      <c r="AC21" s="185" cm="1">
        <f t="array" ref="AC21">INDEX(Drivers!$C$7:$AG$22,$G21,AC$9)</f>
        <v>24.492816141773368</v>
      </c>
      <c r="AD21" s="185" cm="1">
        <f t="array" ref="AD21">INDEX(Drivers!$C$7:$AG$22,$G21,AD$9)</f>
        <v>25.183509983468465</v>
      </c>
      <c r="AE21" s="185" cm="1">
        <f t="array" ref="AE21">INDEX(Drivers!$C$7:$AG$22,$G21,AE$9)</f>
        <v>25.866263399800989</v>
      </c>
      <c r="AF21" s="185" cm="1">
        <f t="array" ref="AF21">INDEX(Drivers!$C$7:$AG$22,$G21,AF$9)</f>
        <v>26.533759468340733</v>
      </c>
      <c r="AG21" s="185" cm="1">
        <f t="array" ref="AG21">INDEX(Drivers!$C$7:$AG$22,$G21,AG$9)</f>
        <v>27.156982136361467</v>
      </c>
      <c r="AH21" s="185" cm="1">
        <f t="array" ref="AH21">INDEX(Drivers!$C$7:$AG$22,$G21,AH$9)</f>
        <v>27.860161953993131</v>
      </c>
      <c r="AI21" s="185" cm="1">
        <f t="array" ref="AI21">INDEX(Drivers!$C$7:$AG$22,$G21,AI$9)</f>
        <v>28.590286255208085</v>
      </c>
      <c r="AJ21" s="185" cm="1">
        <f t="array" ref="AJ21">INDEX(Drivers!$C$7:$AG$22,$G21,AJ$9)</f>
        <v>29.309674537050952</v>
      </c>
      <c r="AK21" s="185" cm="1">
        <f t="array" ref="AK21">INDEX(Drivers!$C$7:$AG$22,$G21,AK$9)</f>
        <v>30.057342863301074</v>
      </c>
      <c r="AL21" s="185" cm="1">
        <f t="array" ref="AL21">INDEX(Drivers!$C$7:$AG$22,$G21,AL$9)</f>
        <v>30.851469239553378</v>
      </c>
      <c r="AM21" s="185" cm="1">
        <f t="array" ref="AM21">INDEX(Drivers!$C$7:$AG$22,$G21,AM$9)</f>
        <v>35.255029053924076</v>
      </c>
      <c r="AN21" s="185" cm="1">
        <f t="array" ref="AN21">INDEX(Drivers!$C$7:$AG$22,$G21,AN$9)</f>
        <v>40.176957246367792</v>
      </c>
      <c r="AO21" s="185">
        <f t="shared" si="4"/>
        <v>49.416050523503372</v>
      </c>
      <c r="AP21" s="185">
        <f t="shared" si="4"/>
        <v>58.741538530317712</v>
      </c>
    </row>
    <row r="22" spans="1:42">
      <c r="A22" s="185" t="s">
        <v>16</v>
      </c>
      <c r="B22" s="186" t="str">
        <f>[4]IND!B19</f>
        <v>OT</v>
      </c>
      <c r="C22" s="186" t="str">
        <f>[4]IND!A19</f>
        <v>Other</v>
      </c>
      <c r="D22" s="185">
        <f>[4]IND!M19</f>
        <v>1</v>
      </c>
      <c r="F22" s="186"/>
      <c r="G22" s="185">
        <f>MATCH(B22,Drivers!$A$7:$A$22,0)</f>
        <v>10</v>
      </c>
      <c r="H22" s="186"/>
      <c r="I22" s="186"/>
      <c r="J22" s="185" cm="1">
        <f t="array" ref="J22">INDEX(Drivers!$C$7:$AG$22,$G22,J$9)</f>
        <v>235.49802282756352</v>
      </c>
      <c r="K22" s="185" cm="1">
        <f t="array" ref="K22">INDEX(Drivers!$C$7:$AG$22,$G22,K$9)</f>
        <v>242.05600000000001</v>
      </c>
      <c r="L22" s="185" cm="1">
        <f t="array" ref="L22">INDEX(Drivers!$C$7:$AG$22,$G22,L$9)</f>
        <v>246.69399999999999</v>
      </c>
      <c r="M22" s="185" cm="1">
        <f t="array" ref="M22">INDEX(Drivers!$C$7:$AG$22,$G22,M$9)</f>
        <v>250.125</v>
      </c>
      <c r="N22" s="185" cm="1">
        <f t="array" ref="N22">INDEX(Drivers!$C$7:$AG$22,$G22,N$9)</f>
        <v>252.709</v>
      </c>
      <c r="O22" s="185" cm="1">
        <f t="array" ref="O22">INDEX(Drivers!$C$7:$AG$22,$G22,O$9)</f>
        <v>254.65</v>
      </c>
      <c r="P22" s="185" cm="1">
        <f t="array" ref="P22">INDEX(Drivers!$C$7:$AG$22,$G22,P$9)</f>
        <v>257.584</v>
      </c>
      <c r="Q22" s="185" cm="1">
        <f t="array" ref="Q22">INDEX(Drivers!$C$7:$AG$22,$G22,Q$9)</f>
        <v>257.30799999999999</v>
      </c>
      <c r="R22" s="185" cm="1">
        <f t="array" ref="R22">INDEX(Drivers!$C$7:$AG$22,$G22,R$9)</f>
        <v>233.197</v>
      </c>
      <c r="S22" s="185" cm="1">
        <f t="array" ref="S22">INDEX(Drivers!$C$7:$AG$22,$G22,S$9)</f>
        <v>239.311147620339</v>
      </c>
      <c r="T22" s="185" cm="1">
        <f t="array" ref="T22">INDEX(Drivers!$C$7:$AG$22,$G22,T$9)</f>
        <v>245.5279566232268</v>
      </c>
      <c r="U22" s="185" cm="1">
        <f t="array" ref="U22">INDEX(Drivers!$C$7:$AG$22,$G22,U$9)</f>
        <v>252.17156922220227</v>
      </c>
      <c r="V22" s="185" cm="1">
        <f t="array" ref="V22">INDEX(Drivers!$C$7:$AG$22,$G22,V$9)</f>
        <v>259.2458462414383</v>
      </c>
      <c r="W22" s="185" cm="1">
        <f t="array" ref="W22">INDEX(Drivers!$C$7:$AG$22,$G22,W$9)</f>
        <v>266.28626759214023</v>
      </c>
      <c r="X22" s="185" cm="1">
        <f t="array" ref="X22">INDEX(Drivers!$C$7:$AG$22,$G22,X$9)</f>
        <v>274.0568577557645</v>
      </c>
      <c r="Y22" s="185" cm="1">
        <f t="array" ref="Y22">INDEX(Drivers!$C$7:$AG$22,$G22,Y$9)</f>
        <v>281.96200344571417</v>
      </c>
      <c r="Z22" s="185" cm="1">
        <f t="array" ref="Z22">INDEX(Drivers!$C$7:$AG$22,$G22,Z$9)</f>
        <v>290.32204813684677</v>
      </c>
      <c r="AA22" s="185" cm="1">
        <f t="array" ref="AA22">INDEX(Drivers!$C$7:$AG$22,$G22,AA$9)</f>
        <v>298.71462448684076</v>
      </c>
      <c r="AB22" s="185" cm="1">
        <f t="array" ref="AB22">INDEX(Drivers!$C$7:$AG$22,$G22,AB$9)</f>
        <v>305.76468054543471</v>
      </c>
      <c r="AC22" s="185" cm="1">
        <f t="array" ref="AC22">INDEX(Drivers!$C$7:$AG$22,$G22,AC$9)</f>
        <v>314.59134178597935</v>
      </c>
      <c r="AD22" s="185" cm="1">
        <f t="array" ref="AD22">INDEX(Drivers!$C$7:$AG$22,$G22,AD$9)</f>
        <v>323.65990952631881</v>
      </c>
      <c r="AE22" s="185" cm="1">
        <f t="array" ref="AE22">INDEX(Drivers!$C$7:$AG$22,$G22,AE$9)</f>
        <v>332.82914999463492</v>
      </c>
      <c r="AF22" s="185" cm="1">
        <f t="array" ref="AF22">INDEX(Drivers!$C$7:$AG$22,$G22,AF$9)</f>
        <v>341.74661891729392</v>
      </c>
      <c r="AG22" s="185" cm="1">
        <f t="array" ref="AG22">INDEX(Drivers!$C$7:$AG$22,$G22,AG$9)</f>
        <v>351.32289162074625</v>
      </c>
      <c r="AH22" s="185" cm="1">
        <f t="array" ref="AH22">INDEX(Drivers!$C$7:$AG$22,$G22,AH$9)</f>
        <v>361.07019032867794</v>
      </c>
      <c r="AI22" s="185" cm="1">
        <f t="array" ref="AI22">INDEX(Drivers!$C$7:$AG$22,$G22,AI$9)</f>
        <v>371.16092547913934</v>
      </c>
      <c r="AJ22" s="185" cm="1">
        <f t="array" ref="AJ22">INDEX(Drivers!$C$7:$AG$22,$G22,AJ$9)</f>
        <v>381.10030818952805</v>
      </c>
      <c r="AK22" s="185" cm="1">
        <f t="array" ref="AK22">INDEX(Drivers!$C$7:$AG$22,$G22,AK$9)</f>
        <v>391.38151873152327</v>
      </c>
      <c r="AL22" s="185" cm="1">
        <f t="array" ref="AL22">INDEX(Drivers!$C$7:$AG$22,$G22,AL$9)</f>
        <v>402.27388315761033</v>
      </c>
      <c r="AM22" s="185" cm="1">
        <f t="array" ref="AM22">INDEX(Drivers!$C$7:$AG$22,$G22,AM$9)</f>
        <v>464.07019483390343</v>
      </c>
      <c r="AN22" s="185" cm="1">
        <f t="array" ref="AN22">INDEX(Drivers!$C$7:$AG$22,$G22,AN$9)</f>
        <v>533.90646291403743</v>
      </c>
      <c r="AO22" s="185">
        <f t="shared" si="4"/>
        <v>664.19904993649106</v>
      </c>
      <c r="AP22" s="185">
        <f t="shared" si="4"/>
        <v>795.8316296929188</v>
      </c>
    </row>
    <row r="23" spans="1:42">
      <c r="A23" s="185" t="s">
        <v>16</v>
      </c>
      <c r="B23" s="186"/>
    </row>
    <row r="24" spans="1:42" ht="15.75" thickBot="1">
      <c r="A24" s="185" t="s">
        <v>16</v>
      </c>
      <c r="B24" s="14" t="s">
        <v>291</v>
      </c>
      <c r="C24" s="14"/>
      <c r="D24" s="14"/>
      <c r="E24" s="14"/>
      <c r="F24" s="14"/>
    </row>
    <row r="25" spans="1:42">
      <c r="A25" s="185" t="s">
        <v>16</v>
      </c>
      <c r="B25" s="185" t="s">
        <v>9</v>
      </c>
      <c r="C25" s="185" t="s">
        <v>10</v>
      </c>
      <c r="D25" s="185" t="s">
        <v>281</v>
      </c>
      <c r="E25" s="185" t="s">
        <v>280</v>
      </c>
    </row>
    <row r="26" spans="1:42">
      <c r="A26" s="57" t="str">
        <f>IF(D10,"*","")</f>
        <v>*</v>
      </c>
      <c r="B26" s="22" t="s">
        <v>288</v>
      </c>
      <c r="C26" s="23" t="s">
        <v>137</v>
      </c>
      <c r="D26" s="57">
        <f t="shared" ref="D26:D38" si="6">F10</f>
        <v>0</v>
      </c>
      <c r="E26" s="23" t="s">
        <v>137</v>
      </c>
      <c r="F26" s="23" t="s">
        <v>137</v>
      </c>
      <c r="G26" s="23" t="s">
        <v>137</v>
      </c>
      <c r="H26" s="23" t="s">
        <v>137</v>
      </c>
      <c r="I26" s="22">
        <v>0</v>
      </c>
      <c r="J26" s="110">
        <v>0</v>
      </c>
      <c r="K26" s="185">
        <f t="shared" ref="K26:AP34" si="7">J26*K10/J10</f>
        <v>0</v>
      </c>
      <c r="L26" s="185">
        <f t="shared" si="7"/>
        <v>0</v>
      </c>
      <c r="M26" s="185">
        <f t="shared" si="7"/>
        <v>0</v>
      </c>
      <c r="N26" s="185">
        <f t="shared" si="7"/>
        <v>0</v>
      </c>
      <c r="O26" s="185">
        <f t="shared" si="7"/>
        <v>0</v>
      </c>
      <c r="P26" s="185">
        <f t="shared" si="7"/>
        <v>0</v>
      </c>
      <c r="Q26" s="185">
        <f t="shared" si="7"/>
        <v>0</v>
      </c>
      <c r="R26" s="185">
        <f t="shared" si="7"/>
        <v>0</v>
      </c>
      <c r="S26" s="185">
        <f t="shared" si="7"/>
        <v>0</v>
      </c>
      <c r="T26" s="185">
        <f t="shared" si="7"/>
        <v>0</v>
      </c>
      <c r="U26" s="185">
        <f t="shared" si="7"/>
        <v>0</v>
      </c>
      <c r="V26" s="185">
        <f t="shared" si="7"/>
        <v>0</v>
      </c>
      <c r="W26" s="185">
        <f t="shared" si="7"/>
        <v>0</v>
      </c>
      <c r="X26" s="185">
        <f t="shared" si="7"/>
        <v>0</v>
      </c>
      <c r="Y26" s="185">
        <f t="shared" si="7"/>
        <v>0</v>
      </c>
      <c r="Z26" s="185">
        <f t="shared" si="7"/>
        <v>0</v>
      </c>
      <c r="AA26" s="185">
        <f t="shared" si="7"/>
        <v>0</v>
      </c>
      <c r="AB26" s="185">
        <f t="shared" si="7"/>
        <v>0</v>
      </c>
      <c r="AC26" s="185">
        <f t="shared" si="7"/>
        <v>0</v>
      </c>
      <c r="AD26" s="185">
        <f t="shared" si="7"/>
        <v>0</v>
      </c>
      <c r="AE26" s="185">
        <f t="shared" si="7"/>
        <v>0</v>
      </c>
      <c r="AF26" s="185">
        <f t="shared" si="7"/>
        <v>0</v>
      </c>
      <c r="AG26" s="185">
        <f t="shared" si="7"/>
        <v>0</v>
      </c>
      <c r="AH26" s="185">
        <f t="shared" si="7"/>
        <v>0</v>
      </c>
      <c r="AI26" s="185">
        <f t="shared" si="7"/>
        <v>0</v>
      </c>
      <c r="AJ26" s="185">
        <f t="shared" si="7"/>
        <v>0</v>
      </c>
      <c r="AK26" s="185">
        <f t="shared" si="7"/>
        <v>0</v>
      </c>
      <c r="AL26" s="185">
        <f t="shared" si="7"/>
        <v>0</v>
      </c>
      <c r="AM26" s="185">
        <f t="shared" si="7"/>
        <v>0</v>
      </c>
      <c r="AN26" s="185">
        <f t="shared" si="7"/>
        <v>0</v>
      </c>
      <c r="AO26" s="185">
        <f t="shared" si="7"/>
        <v>0</v>
      </c>
      <c r="AP26" s="185">
        <f t="shared" si="7"/>
        <v>0</v>
      </c>
    </row>
    <row r="27" spans="1:42">
      <c r="A27" s="57" t="str">
        <f>IF(D11,"*","")</f>
        <v/>
      </c>
      <c r="B27" s="22" t="s">
        <v>288</v>
      </c>
      <c r="C27" s="23" t="s">
        <v>137</v>
      </c>
      <c r="D27" s="57" t="str">
        <f t="shared" si="6"/>
        <v>IFAM</v>
      </c>
      <c r="E27" s="23" t="s">
        <v>137</v>
      </c>
      <c r="F27" s="23" t="s">
        <v>137</v>
      </c>
      <c r="G27" s="23" t="s">
        <v>137</v>
      </c>
      <c r="H27" s="23" t="s">
        <v>137</v>
      </c>
      <c r="I27" s="22">
        <v>0</v>
      </c>
      <c r="J27" s="140">
        <f>'[4]FA-TSData'!J2</f>
        <v>4.0820999999999996</v>
      </c>
      <c r="K27" s="140">
        <f>'[4]FA-TSData'!K2</f>
        <v>4.1753999999999998</v>
      </c>
      <c r="L27" s="140">
        <f>'[4]FA-TSData'!L2</f>
        <v>4.8628999999999998</v>
      </c>
      <c r="M27" s="140">
        <f>'[4]FA-TSData'!M2</f>
        <v>4.4805999999999999</v>
      </c>
      <c r="N27" s="140">
        <f>'[4]FA-TSData'!N2</f>
        <v>4.3260612235437241</v>
      </c>
      <c r="O27" s="140">
        <f>'[4]FA-TSData'!O2</f>
        <v>4.372754104082464</v>
      </c>
      <c r="P27" s="185">
        <f>O27*P11/O11</f>
        <v>4.3476514859650628</v>
      </c>
      <c r="Q27" s="185">
        <f t="shared" si="7"/>
        <v>4.2917804550454539</v>
      </c>
      <c r="R27" s="185">
        <f t="shared" si="7"/>
        <v>3.9421733809354649</v>
      </c>
      <c r="S27" s="344">
        <f>R27*(S11*S42)/(R11*R42)</f>
        <v>4.2793468793300864</v>
      </c>
      <c r="T27" s="342">
        <f>S27*(T11*T42)/(S11*S42)</f>
        <v>4.2678561173141496</v>
      </c>
      <c r="U27" s="344">
        <f t="shared" ref="U27:AP27" si="8">T27*(U11*U42)/(T11*T42)</f>
        <v>4.2606545513884173</v>
      </c>
      <c r="V27" s="344">
        <f t="shared" si="8"/>
        <v>4.2591956759846887</v>
      </c>
      <c r="W27" s="344">
        <f t="shared" si="8"/>
        <v>4.2546794213952159</v>
      </c>
      <c r="X27" s="344">
        <f t="shared" si="8"/>
        <v>4.332339047365025</v>
      </c>
      <c r="Y27" s="344">
        <f t="shared" si="8"/>
        <v>4.4101937448245945</v>
      </c>
      <c r="Z27" s="344">
        <f t="shared" si="8"/>
        <v>4.4968306029899168</v>
      </c>
      <c r="AA27" s="344">
        <f t="shared" si="8"/>
        <v>4.5982792007664717</v>
      </c>
      <c r="AB27" s="344">
        <f t="shared" si="8"/>
        <v>4.6870860902271732</v>
      </c>
      <c r="AC27" s="344">
        <f t="shared" si="8"/>
        <v>4.8024765381008452</v>
      </c>
      <c r="AD27" s="344">
        <f t="shared" si="8"/>
        <v>4.9307318078017319</v>
      </c>
      <c r="AE27" s="344">
        <f t="shared" si="8"/>
        <v>5.0601678703774242</v>
      </c>
      <c r="AF27" s="344">
        <f t="shared" si="8"/>
        <v>5.1915426733624885</v>
      </c>
      <c r="AG27" s="344">
        <f t="shared" si="8"/>
        <v>5.3529931219427924</v>
      </c>
      <c r="AH27" s="344">
        <f t="shared" si="8"/>
        <v>5.4988693959796313</v>
      </c>
      <c r="AI27" s="344">
        <f t="shared" si="8"/>
        <v>5.6468485077445525</v>
      </c>
      <c r="AJ27" s="344">
        <f t="shared" si="8"/>
        <v>5.7900824539602</v>
      </c>
      <c r="AK27" s="344">
        <f t="shared" si="8"/>
        <v>5.9365834547018244</v>
      </c>
      <c r="AL27" s="344">
        <f t="shared" si="8"/>
        <v>6.0902064711102524</v>
      </c>
      <c r="AM27" s="344">
        <f t="shared" si="8"/>
        <v>6.8906681189601029</v>
      </c>
      <c r="AN27" s="344">
        <f t="shared" si="8"/>
        <v>7.7580567310476614</v>
      </c>
      <c r="AO27" s="344">
        <f t="shared" si="8"/>
        <v>9.4147524969454217</v>
      </c>
      <c r="AP27" s="344">
        <f t="shared" si="8"/>
        <v>11.08260275688283</v>
      </c>
    </row>
    <row r="28" spans="1:42">
      <c r="A28" s="57" t="str">
        <f>IF(D12,"*","")</f>
        <v/>
      </c>
      <c r="B28" s="22" t="s">
        <v>288</v>
      </c>
      <c r="C28" s="23" t="s">
        <v>137</v>
      </c>
      <c r="D28" s="57" t="str">
        <f t="shared" si="6"/>
        <v>IISCRS</v>
      </c>
      <c r="E28" s="23" t="s">
        <v>137</v>
      </c>
      <c r="F28" s="23" t="s">
        <v>137</v>
      </c>
      <c r="G28" s="23" t="s">
        <v>137</v>
      </c>
      <c r="H28" s="23" t="s">
        <v>137</v>
      </c>
      <c r="I28" s="22">
        <v>0</v>
      </c>
      <c r="J28" s="110">
        <f>'[4]IS-TSData'!J24</f>
        <v>6.94</v>
      </c>
      <c r="K28" s="110">
        <f>'[4]IS-TSData'!K24</f>
        <v>7.1000000000000005</v>
      </c>
      <c r="L28" s="110">
        <f>'[4]IS-TSData'!L24</f>
        <v>6.5</v>
      </c>
      <c r="M28" s="110">
        <f>'[4]IS-TSData'!M24</f>
        <v>6.4000000000000012</v>
      </c>
      <c r="N28" s="110">
        <f>'[4]IS-TSData'!N24</f>
        <v>6.0910000000000002</v>
      </c>
      <c r="O28" s="110">
        <f>'[4]IS-TSData'!O24</f>
        <v>6.23</v>
      </c>
      <c r="P28" s="110">
        <f>'[4]IS-TSData'!P24</f>
        <v>6.3</v>
      </c>
      <c r="Q28" s="110">
        <f>'[4]IS-TSData'!Q24</f>
        <v>6.1267974837582679</v>
      </c>
      <c r="R28" s="110">
        <f>'[4]IS-TSData'!R24</f>
        <v>5.0030232389251985</v>
      </c>
      <c r="S28" s="185">
        <f t="shared" si="7"/>
        <v>5.1366548374766143</v>
      </c>
      <c r="T28" s="185">
        <f t="shared" si="7"/>
        <v>5.2414154520620544</v>
      </c>
      <c r="U28" s="185">
        <f t="shared" si="7"/>
        <v>5.3596581029417614</v>
      </c>
      <c r="V28" s="185">
        <f t="shared" si="7"/>
        <v>5.4872513407296708</v>
      </c>
      <c r="W28" s="185">
        <f t="shared" si="7"/>
        <v>5.622165698749809</v>
      </c>
      <c r="X28" s="185">
        <f t="shared" si="7"/>
        <v>5.7517366518961692</v>
      </c>
      <c r="Y28" s="185">
        <f t="shared" si="7"/>
        <v>5.8830719424162989</v>
      </c>
      <c r="Z28" s="185">
        <f t="shared" si="7"/>
        <v>6.0265960802466187</v>
      </c>
      <c r="AA28" s="185">
        <f t="shared" si="7"/>
        <v>6.1913851927057619</v>
      </c>
      <c r="AB28" s="185">
        <f t="shared" si="7"/>
        <v>6.3202924655905734</v>
      </c>
      <c r="AC28" s="185">
        <f t="shared" si="7"/>
        <v>6.4950055113668608</v>
      </c>
      <c r="AD28" s="185">
        <f t="shared" si="7"/>
        <v>6.6875096020112732</v>
      </c>
      <c r="AE28" s="185">
        <f t="shared" si="7"/>
        <v>6.8644917762462612</v>
      </c>
      <c r="AF28" s="185">
        <f t="shared" si="7"/>
        <v>7.0496647807767774</v>
      </c>
      <c r="AG28" s="185">
        <f t="shared" si="7"/>
        <v>7.2751433489665915</v>
      </c>
      <c r="AH28" s="185">
        <f t="shared" si="7"/>
        <v>7.4449277890551233</v>
      </c>
      <c r="AI28" s="185">
        <f t="shared" si="7"/>
        <v>7.6204593269180076</v>
      </c>
      <c r="AJ28" s="185">
        <f t="shared" si="7"/>
        <v>7.7926253283419458</v>
      </c>
      <c r="AK28" s="185">
        <f t="shared" si="7"/>
        <v>7.9708876211571376</v>
      </c>
      <c r="AL28" s="185">
        <f t="shared" si="7"/>
        <v>8.1608249227025418</v>
      </c>
      <c r="AM28" s="185">
        <f t="shared" si="7"/>
        <v>9.2139652192812296</v>
      </c>
      <c r="AN28" s="185">
        <f t="shared" si="7"/>
        <v>10.387644739100697</v>
      </c>
      <c r="AO28" s="185">
        <f t="shared" si="7"/>
        <v>12.594374684958678</v>
      </c>
      <c r="AP28" s="185">
        <f t="shared" si="7"/>
        <v>14.821194501356858</v>
      </c>
    </row>
    <row r="29" spans="1:42">
      <c r="A29" s="57" t="str">
        <f t="shared" ref="A29:A38" si="9">IF(D13,"*","")</f>
        <v>*</v>
      </c>
      <c r="B29" s="22" t="s">
        <v>288</v>
      </c>
      <c r="C29" s="23" t="s">
        <v>137</v>
      </c>
      <c r="D29" s="57">
        <f t="shared" si="6"/>
        <v>0</v>
      </c>
      <c r="E29" s="23" t="s">
        <v>137</v>
      </c>
      <c r="F29" s="23" t="s">
        <v>137</v>
      </c>
      <c r="G29" s="23" t="s">
        <v>137</v>
      </c>
      <c r="H29" s="23" t="s">
        <v>137</v>
      </c>
      <c r="I29" s="22">
        <v>0</v>
      </c>
      <c r="J29" s="110">
        <v>0</v>
      </c>
      <c r="K29" s="185">
        <f t="shared" si="7"/>
        <v>0</v>
      </c>
      <c r="L29" s="185">
        <f t="shared" si="7"/>
        <v>0</v>
      </c>
      <c r="M29" s="185">
        <f t="shared" si="7"/>
        <v>0</v>
      </c>
      <c r="N29" s="185">
        <f t="shared" si="7"/>
        <v>0</v>
      </c>
      <c r="O29" s="185">
        <f t="shared" si="7"/>
        <v>0</v>
      </c>
      <c r="P29" s="185">
        <f t="shared" si="7"/>
        <v>0</v>
      </c>
      <c r="Q29" s="185">
        <f t="shared" si="7"/>
        <v>0</v>
      </c>
      <c r="R29" s="185">
        <f t="shared" si="7"/>
        <v>0</v>
      </c>
      <c r="S29" s="185">
        <f t="shared" si="7"/>
        <v>0</v>
      </c>
      <c r="T29" s="185">
        <f t="shared" si="7"/>
        <v>0</v>
      </c>
      <c r="U29" s="185">
        <f t="shared" si="7"/>
        <v>0</v>
      </c>
      <c r="V29" s="185">
        <f t="shared" si="7"/>
        <v>0</v>
      </c>
      <c r="W29" s="185">
        <f t="shared" si="7"/>
        <v>0</v>
      </c>
      <c r="X29" s="185">
        <f t="shared" si="7"/>
        <v>0</v>
      </c>
      <c r="Y29" s="185">
        <f t="shared" si="7"/>
        <v>0</v>
      </c>
      <c r="Z29" s="185">
        <f t="shared" si="7"/>
        <v>0</v>
      </c>
      <c r="AA29" s="185">
        <f t="shared" si="7"/>
        <v>0</v>
      </c>
      <c r="AB29" s="185">
        <f t="shared" si="7"/>
        <v>0</v>
      </c>
      <c r="AC29" s="185">
        <f t="shared" si="7"/>
        <v>0</v>
      </c>
      <c r="AD29" s="185">
        <f t="shared" si="7"/>
        <v>0</v>
      </c>
      <c r="AE29" s="185">
        <f t="shared" si="7"/>
        <v>0</v>
      </c>
      <c r="AF29" s="185">
        <f t="shared" si="7"/>
        <v>0</v>
      </c>
      <c r="AG29" s="185">
        <f t="shared" si="7"/>
        <v>0</v>
      </c>
      <c r="AH29" s="185">
        <f t="shared" si="7"/>
        <v>0</v>
      </c>
      <c r="AI29" s="185">
        <f t="shared" si="7"/>
        <v>0</v>
      </c>
      <c r="AJ29" s="185">
        <f t="shared" si="7"/>
        <v>0</v>
      </c>
      <c r="AK29" s="185">
        <f t="shared" si="7"/>
        <v>0</v>
      </c>
      <c r="AL29" s="185">
        <f t="shared" si="7"/>
        <v>0</v>
      </c>
      <c r="AM29" s="185">
        <f t="shared" si="7"/>
        <v>0</v>
      </c>
      <c r="AN29" s="185">
        <f t="shared" si="7"/>
        <v>0</v>
      </c>
      <c r="AO29" s="185">
        <f t="shared" si="7"/>
        <v>0</v>
      </c>
      <c r="AP29" s="185">
        <f t="shared" si="7"/>
        <v>0</v>
      </c>
    </row>
    <row r="30" spans="1:42">
      <c r="A30" s="57" t="str">
        <f t="shared" si="9"/>
        <v>*</v>
      </c>
      <c r="B30" s="22" t="s">
        <v>288</v>
      </c>
      <c r="C30" s="23" t="s">
        <v>137</v>
      </c>
      <c r="D30" s="57">
        <f t="shared" si="6"/>
        <v>0</v>
      </c>
      <c r="E30" s="23" t="s">
        <v>137</v>
      </c>
      <c r="F30" s="23" t="s">
        <v>137</v>
      </c>
      <c r="G30" s="23" t="s">
        <v>137</v>
      </c>
      <c r="H30" s="23" t="s">
        <v>137</v>
      </c>
      <c r="I30" s="22">
        <v>0</v>
      </c>
      <c r="J30" s="110">
        <v>0</v>
      </c>
      <c r="K30" s="185">
        <f t="shared" si="7"/>
        <v>0</v>
      </c>
      <c r="L30" s="185">
        <f t="shared" si="7"/>
        <v>0</v>
      </c>
      <c r="M30" s="185">
        <f t="shared" si="7"/>
        <v>0</v>
      </c>
      <c r="N30" s="185">
        <f t="shared" si="7"/>
        <v>0</v>
      </c>
      <c r="O30" s="185">
        <f t="shared" si="7"/>
        <v>0</v>
      </c>
      <c r="P30" s="185">
        <f t="shared" si="7"/>
        <v>0</v>
      </c>
      <c r="Q30" s="185">
        <f t="shared" si="7"/>
        <v>0</v>
      </c>
      <c r="R30" s="185">
        <f t="shared" si="7"/>
        <v>0</v>
      </c>
      <c r="S30" s="185">
        <f t="shared" si="7"/>
        <v>0</v>
      </c>
      <c r="T30" s="185">
        <f t="shared" si="7"/>
        <v>0</v>
      </c>
      <c r="U30" s="185">
        <f t="shared" si="7"/>
        <v>0</v>
      </c>
      <c r="V30" s="185">
        <f t="shared" si="7"/>
        <v>0</v>
      </c>
      <c r="W30" s="185">
        <f t="shared" si="7"/>
        <v>0</v>
      </c>
      <c r="X30" s="185">
        <f t="shared" si="7"/>
        <v>0</v>
      </c>
      <c r="Y30" s="185">
        <f t="shared" si="7"/>
        <v>0</v>
      </c>
      <c r="Z30" s="185">
        <f t="shared" si="7"/>
        <v>0</v>
      </c>
      <c r="AA30" s="185">
        <f t="shared" si="7"/>
        <v>0</v>
      </c>
      <c r="AB30" s="185">
        <f t="shared" si="7"/>
        <v>0</v>
      </c>
      <c r="AC30" s="185">
        <f t="shared" si="7"/>
        <v>0</v>
      </c>
      <c r="AD30" s="185">
        <f t="shared" si="7"/>
        <v>0</v>
      </c>
      <c r="AE30" s="185">
        <f t="shared" si="7"/>
        <v>0</v>
      </c>
      <c r="AF30" s="185">
        <f t="shared" si="7"/>
        <v>0</v>
      </c>
      <c r="AG30" s="185">
        <f t="shared" si="7"/>
        <v>0</v>
      </c>
      <c r="AH30" s="185">
        <f t="shared" si="7"/>
        <v>0</v>
      </c>
      <c r="AI30" s="185">
        <f t="shared" si="7"/>
        <v>0</v>
      </c>
      <c r="AJ30" s="185">
        <f t="shared" si="7"/>
        <v>0</v>
      </c>
      <c r="AK30" s="185">
        <f t="shared" si="7"/>
        <v>0</v>
      </c>
      <c r="AL30" s="185">
        <f t="shared" si="7"/>
        <v>0</v>
      </c>
      <c r="AM30" s="185">
        <f t="shared" si="7"/>
        <v>0</v>
      </c>
      <c r="AN30" s="185">
        <f t="shared" si="7"/>
        <v>0</v>
      </c>
      <c r="AO30" s="185">
        <f t="shared" si="7"/>
        <v>0</v>
      </c>
      <c r="AP30" s="185">
        <f t="shared" si="7"/>
        <v>0</v>
      </c>
    </row>
    <row r="31" spans="1:42">
      <c r="A31" s="57" t="str">
        <f t="shared" si="9"/>
        <v/>
      </c>
      <c r="B31" s="22" t="s">
        <v>288</v>
      </c>
      <c r="C31" s="23" t="s">
        <v>137</v>
      </c>
      <c r="D31" s="57" t="str">
        <f t="shared" si="6"/>
        <v>INMCEM</v>
      </c>
      <c r="E31" s="23" t="s">
        <v>137</v>
      </c>
      <c r="F31" s="23" t="s">
        <v>137</v>
      </c>
      <c r="G31" s="23" t="s">
        <v>137</v>
      </c>
      <c r="H31" s="23" t="s">
        <v>137</v>
      </c>
      <c r="I31" s="22">
        <v>0</v>
      </c>
      <c r="J31" s="110">
        <f>'[4]NMM-TSData'!J14</f>
        <v>14.27</v>
      </c>
      <c r="K31" s="110">
        <f>'[4]NMM-TSData'!K14</f>
        <v>14.368</v>
      </c>
      <c r="L31" s="110">
        <f>'[4]NMM-TSData'!L14</f>
        <v>14.465999999999999</v>
      </c>
      <c r="M31" s="110">
        <f>'[4]NMM-TSData'!M14</f>
        <v>14.564</v>
      </c>
      <c r="N31" s="110">
        <f>'[4]NMM-TSData'!N14</f>
        <v>14.662000000000001</v>
      </c>
      <c r="O31" s="110">
        <f>'[4]NMM-TSData'!O14</f>
        <v>14.759960880300349</v>
      </c>
      <c r="P31" s="185">
        <f t="shared" si="7"/>
        <v>14.959887414756098</v>
      </c>
      <c r="Q31" s="185">
        <f t="shared" si="7"/>
        <v>14.975266378945001</v>
      </c>
      <c r="R31" s="185">
        <f t="shared" si="7"/>
        <v>13.744949243832703</v>
      </c>
      <c r="S31" s="185">
        <f t="shared" si="7"/>
        <v>14.088548874997191</v>
      </c>
      <c r="T31" s="185">
        <f t="shared" si="7"/>
        <v>14.441168896859159</v>
      </c>
      <c r="U31" s="185">
        <f t="shared" si="7"/>
        <v>14.824338388098454</v>
      </c>
      <c r="V31" s="185">
        <f t="shared" si="7"/>
        <v>15.235486563785413</v>
      </c>
      <c r="W31" s="185">
        <f t="shared" si="7"/>
        <v>15.648932865223948</v>
      </c>
      <c r="X31" s="185">
        <f t="shared" si="7"/>
        <v>16.103867506137554</v>
      </c>
      <c r="Y31" s="185">
        <f t="shared" si="7"/>
        <v>16.562182607346163</v>
      </c>
      <c r="Z31" s="185">
        <f t="shared" si="7"/>
        <v>17.050473551323904</v>
      </c>
      <c r="AA31" s="185">
        <f t="shared" si="7"/>
        <v>17.562064861224954</v>
      </c>
      <c r="AB31" s="185">
        <f t="shared" si="7"/>
        <v>17.979187882410312</v>
      </c>
      <c r="AC31" s="185">
        <f t="shared" si="7"/>
        <v>18.49566676044935</v>
      </c>
      <c r="AD31" s="185">
        <f t="shared" si="7"/>
        <v>19.024460171058582</v>
      </c>
      <c r="AE31" s="185">
        <f t="shared" si="7"/>
        <v>19.560572448949781</v>
      </c>
      <c r="AF31" s="185">
        <f t="shared" si="7"/>
        <v>20.080054570989716</v>
      </c>
      <c r="AG31" s="185">
        <f t="shared" si="7"/>
        <v>20.634977732880913</v>
      </c>
      <c r="AH31" s="185">
        <f t="shared" si="7"/>
        <v>21.205662596418517</v>
      </c>
      <c r="AI31" s="185">
        <f t="shared" si="7"/>
        <v>21.794990982890486</v>
      </c>
      <c r="AJ31" s="185">
        <f t="shared" si="7"/>
        <v>22.374208305979646</v>
      </c>
      <c r="AK31" s="185">
        <f t="shared" si="7"/>
        <v>22.973779914230878</v>
      </c>
      <c r="AL31" s="185">
        <f t="shared" si="7"/>
        <v>23.609338127915166</v>
      </c>
      <c r="AM31" s="185">
        <f t="shared" si="7"/>
        <v>27.253819143662589</v>
      </c>
      <c r="AN31" s="185">
        <f t="shared" si="7"/>
        <v>31.37109702992133</v>
      </c>
      <c r="AO31" s="185">
        <f t="shared" si="7"/>
        <v>39.054056453509091</v>
      </c>
      <c r="AP31" s="185">
        <f t="shared" si="7"/>
        <v>46.815815355515227</v>
      </c>
    </row>
    <row r="32" spans="1:42">
      <c r="A32" s="57" t="str">
        <f t="shared" si="9"/>
        <v/>
      </c>
      <c r="B32" s="22" t="s">
        <v>288</v>
      </c>
      <c r="C32" s="23" t="s">
        <v>137</v>
      </c>
      <c r="D32" s="57" t="str">
        <f t="shared" si="6"/>
        <v>INMLIM</v>
      </c>
      <c r="E32" s="23" t="s">
        <v>137</v>
      </c>
      <c r="F32" s="23" t="s">
        <v>137</v>
      </c>
      <c r="G32" s="23" t="s">
        <v>137</v>
      </c>
      <c r="H32" s="23" t="s">
        <v>137</v>
      </c>
      <c r="I32" s="22">
        <v>0</v>
      </c>
      <c r="J32" s="139">
        <f>'[4]NMM-TSData'!J16</f>
        <v>1.2</v>
      </c>
      <c r="K32" s="139">
        <f>'[4]NMM-TSData'!K16</f>
        <v>1.1733333333333333</v>
      </c>
      <c r="L32" s="139">
        <f>'[4]NMM-TSData'!L16</f>
        <v>1.1466666666666667</v>
      </c>
      <c r="M32" s="139">
        <f>'[4]NMM-TSData'!M16</f>
        <v>1.1200000000000001</v>
      </c>
      <c r="N32" s="139">
        <f>'[4]NMM-TSData'!N16</f>
        <v>1.1200000000000001</v>
      </c>
      <c r="O32" s="139">
        <f>'[4]NMM-TSData'!O16</f>
        <v>1.3591716472036741</v>
      </c>
      <c r="P32" s="185">
        <f t="shared" si="7"/>
        <v>1.3775818909271935</v>
      </c>
      <c r="Q32" s="185">
        <f t="shared" si="7"/>
        <v>1.3789980635213104</v>
      </c>
      <c r="R32" s="185">
        <f t="shared" si="7"/>
        <v>1.26570425599196</v>
      </c>
      <c r="S32" s="185">
        <f t="shared" si="7"/>
        <v>1.2973446431485218</v>
      </c>
      <c r="T32" s="185">
        <f t="shared" si="7"/>
        <v>1.3298156733794213</v>
      </c>
      <c r="U32" s="185">
        <f t="shared" si="7"/>
        <v>1.3650998528423217</v>
      </c>
      <c r="V32" s="185">
        <f t="shared" si="7"/>
        <v>1.4029604506938425</v>
      </c>
      <c r="W32" s="185">
        <f t="shared" si="7"/>
        <v>1.4410326715563306</v>
      </c>
      <c r="X32" s="185">
        <f t="shared" si="7"/>
        <v>1.4829253479851572</v>
      </c>
      <c r="Y32" s="185">
        <f t="shared" si="7"/>
        <v>1.5251293142490123</v>
      </c>
      <c r="Z32" s="185">
        <f t="shared" si="7"/>
        <v>1.5700936073134095</v>
      </c>
      <c r="AA32" s="185">
        <f t="shared" si="7"/>
        <v>1.617203515599233</v>
      </c>
      <c r="AB32" s="185">
        <f t="shared" si="7"/>
        <v>1.6556143073614085</v>
      </c>
      <c r="AC32" s="185">
        <f t="shared" si="7"/>
        <v>1.7031742875743059</v>
      </c>
      <c r="AD32" s="185">
        <f t="shared" si="7"/>
        <v>1.7518682520608553</v>
      </c>
      <c r="AE32" s="185">
        <f t="shared" si="7"/>
        <v>1.8012361747631453</v>
      </c>
      <c r="AF32" s="185">
        <f t="shared" si="7"/>
        <v>1.8490727088320293</v>
      </c>
      <c r="AG32" s="185">
        <f t="shared" si="7"/>
        <v>1.9001728326152694</v>
      </c>
      <c r="AH32" s="185">
        <f t="shared" si="7"/>
        <v>1.9527243733882436</v>
      </c>
      <c r="AI32" s="185">
        <f t="shared" si="7"/>
        <v>2.0069927037910738</v>
      </c>
      <c r="AJ32" s="185">
        <f t="shared" si="7"/>
        <v>2.0603299564773407</v>
      </c>
      <c r="AK32" s="185">
        <f t="shared" si="7"/>
        <v>2.1155415344084876</v>
      </c>
      <c r="AL32" s="185">
        <f t="shared" si="7"/>
        <v>2.1740669404845989</v>
      </c>
      <c r="AM32" s="185">
        <f t="shared" si="7"/>
        <v>2.509669135202282</v>
      </c>
      <c r="AN32" s="185">
        <f t="shared" si="7"/>
        <v>2.8888088505473593</v>
      </c>
      <c r="AO32" s="185">
        <f t="shared" si="7"/>
        <v>3.5962945071722348</v>
      </c>
      <c r="AP32" s="185">
        <f t="shared" si="7"/>
        <v>4.3110364172349929</v>
      </c>
    </row>
    <row r="33" spans="1:42">
      <c r="A33" s="57" t="str">
        <f t="shared" si="9"/>
        <v/>
      </c>
      <c r="B33" s="22" t="s">
        <v>288</v>
      </c>
      <c r="C33" s="23" t="s">
        <v>137</v>
      </c>
      <c r="D33" s="57" t="str">
        <f t="shared" si="6"/>
        <v>INMGLA</v>
      </c>
      <c r="E33" s="23" t="s">
        <v>137</v>
      </c>
      <c r="F33" s="23" t="s">
        <v>137</v>
      </c>
      <c r="G33" s="23" t="s">
        <v>137</v>
      </c>
      <c r="H33" s="23" t="s">
        <v>137</v>
      </c>
      <c r="I33" s="22">
        <v>0</v>
      </c>
      <c r="J33" s="110">
        <f>'[4]NMM-TSData'!J15</f>
        <v>1.27</v>
      </c>
      <c r="K33" s="110">
        <f>'[4]NMM-TSData'!K15</f>
        <v>1.2484871200000001</v>
      </c>
      <c r="L33" s="110">
        <f>'[4]NMM-TSData'!L15</f>
        <v>1.2269742400000001</v>
      </c>
      <c r="M33" s="110">
        <f>'[4]NMM-TSData'!M15</f>
        <v>1.2054613600000001</v>
      </c>
      <c r="N33" s="110">
        <f>'[4]NMM-TSData'!N15</f>
        <v>1.1839484800000002</v>
      </c>
      <c r="O33" s="110">
        <f>'[4]NMM-TSData'!O15</f>
        <v>1.1624356</v>
      </c>
      <c r="P33" s="185">
        <f t="shared" si="7"/>
        <v>1.1781810157853607</v>
      </c>
      <c r="Q33" s="185">
        <f t="shared" si="7"/>
        <v>1.1793922016150038</v>
      </c>
      <c r="R33" s="185">
        <f t="shared" si="7"/>
        <v>1.082497335243553</v>
      </c>
      <c r="S33" s="185">
        <f t="shared" si="7"/>
        <v>1.1095578706102525</v>
      </c>
      <c r="T33" s="185">
        <f t="shared" si="7"/>
        <v>1.1373288159406165</v>
      </c>
      <c r="U33" s="185">
        <f t="shared" si="7"/>
        <v>1.1675057155315169</v>
      </c>
      <c r="V33" s="185">
        <f t="shared" si="7"/>
        <v>1.1998861046239744</v>
      </c>
      <c r="W33" s="185">
        <f t="shared" si="7"/>
        <v>1.2324474849269487</v>
      </c>
      <c r="X33" s="185">
        <f t="shared" si="7"/>
        <v>1.2682763212334873</v>
      </c>
      <c r="Y33" s="185">
        <f t="shared" si="7"/>
        <v>1.304371389098711</v>
      </c>
      <c r="Z33" s="185">
        <f t="shared" si="7"/>
        <v>1.3428272346826176</v>
      </c>
      <c r="AA33" s="185">
        <f t="shared" si="7"/>
        <v>1.3831181240760526</v>
      </c>
      <c r="AB33" s="185">
        <f t="shared" si="7"/>
        <v>1.4159690681495267</v>
      </c>
      <c r="AC33" s="185">
        <f t="shared" si="7"/>
        <v>1.4566448828992755</v>
      </c>
      <c r="AD33" s="185">
        <f t="shared" si="7"/>
        <v>1.4982905410770011</v>
      </c>
      <c r="AE33" s="185">
        <f t="shared" si="7"/>
        <v>1.5405126040263399</v>
      </c>
      <c r="AF33" s="185">
        <f t="shared" si="7"/>
        <v>1.5814249422852256</v>
      </c>
      <c r="AG33" s="185">
        <f t="shared" si="7"/>
        <v>1.6251284753689641</v>
      </c>
      <c r="AH33" s="185">
        <f t="shared" si="7"/>
        <v>1.6700733371566838</v>
      </c>
      <c r="AI33" s="185">
        <f t="shared" si="7"/>
        <v>1.7164864883893471</v>
      </c>
      <c r="AJ33" s="185">
        <f t="shared" si="7"/>
        <v>1.7621033326314062</v>
      </c>
      <c r="AK33" s="185">
        <f t="shared" si="7"/>
        <v>1.8093231991224279</v>
      </c>
      <c r="AL33" s="185">
        <f t="shared" si="7"/>
        <v>1.8593772270057314</v>
      </c>
      <c r="AM33" s="185">
        <f t="shared" si="7"/>
        <v>2.1464020037368985</v>
      </c>
      <c r="AN33" s="185">
        <f t="shared" si="7"/>
        <v>2.4706623746751255</v>
      </c>
      <c r="AO33" s="185">
        <f t="shared" si="7"/>
        <v>3.0757415899766882</v>
      </c>
      <c r="AP33" s="185">
        <f t="shared" si="7"/>
        <v>3.6870267376460806</v>
      </c>
    </row>
    <row r="34" spans="1:42">
      <c r="A34" s="57" t="str">
        <f t="shared" si="9"/>
        <v/>
      </c>
      <c r="B34" s="22" t="s">
        <v>288</v>
      </c>
      <c r="C34" s="23" t="s">
        <v>137</v>
      </c>
      <c r="D34" s="57" t="str">
        <f t="shared" si="6"/>
        <v>INMBRI</v>
      </c>
      <c r="E34" s="23" t="s">
        <v>137</v>
      </c>
      <c r="F34" s="23" t="s">
        <v>137</v>
      </c>
      <c r="G34" s="23" t="s">
        <v>137</v>
      </c>
      <c r="H34" s="23" t="s">
        <v>137</v>
      </c>
      <c r="I34" s="22">
        <v>0</v>
      </c>
      <c r="J34" s="140">
        <f>'[4]NMM-TSData'!J13</f>
        <v>3.2959999999999998</v>
      </c>
      <c r="K34" s="140">
        <f>'[4]NMM-TSData'!K13</f>
        <v>4.5590000000000002</v>
      </c>
      <c r="L34" s="140">
        <f>'[4]NMM-TSData'!L13</f>
        <v>5.8220999999999998</v>
      </c>
      <c r="M34" s="140">
        <f>'[4]NMM-TSData'!M13</f>
        <v>7.0850999999999997</v>
      </c>
      <c r="N34" s="140">
        <f>'[4]NMM-TSData'!N13</f>
        <v>8.3482000000000003</v>
      </c>
      <c r="O34" s="140">
        <f>'[4]NMM-TSData'!O13</f>
        <v>9.6111784370000013</v>
      </c>
      <c r="P34" s="185">
        <f t="shared" si="7"/>
        <v>9.7413637140836169</v>
      </c>
      <c r="Q34" s="185">
        <f t="shared" si="7"/>
        <v>9.7513779661669719</v>
      </c>
      <c r="R34" s="185">
        <f t="shared" si="7"/>
        <v>8.9502377994985682</v>
      </c>
      <c r="S34" s="185">
        <f t="shared" si="7"/>
        <v>9.1739780514403524</v>
      </c>
      <c r="T34" s="185">
        <f t="shared" si="7"/>
        <v>9.4035920712916869</v>
      </c>
      <c r="U34" s="185">
        <f t="shared" si="7"/>
        <v>9.6530988539844884</v>
      </c>
      <c r="V34" s="185">
        <f t="shared" si="7"/>
        <v>9.9208243928677575</v>
      </c>
      <c r="W34" s="185">
        <f t="shared" si="7"/>
        <v>10.190046392131118</v>
      </c>
      <c r="X34" s="185">
        <f t="shared" si="7"/>
        <v>10.486284169890338</v>
      </c>
      <c r="Y34" s="185">
        <f t="shared" si="7"/>
        <v>10.784723187026675</v>
      </c>
      <c r="Z34" s="185">
        <f t="shared" si="7"/>
        <v>11.102681441103412</v>
      </c>
      <c r="AA34" s="185">
        <f t="shared" si="7"/>
        <v>11.435812091391252</v>
      </c>
      <c r="AB34" s="185">
        <f t="shared" si="7"/>
        <v>11.707428243988495</v>
      </c>
      <c r="AC34" s="185">
        <f t="shared" si="7"/>
        <v>12.043741510401011</v>
      </c>
      <c r="AD34" s="185">
        <f t="shared" si="7"/>
        <v>12.388073576514978</v>
      </c>
      <c r="AE34" s="185">
        <f t="shared" si="7"/>
        <v>12.737171437062559</v>
      </c>
      <c r="AF34" s="185">
        <f t="shared" si="7"/>
        <v>13.075440312586547</v>
      </c>
      <c r="AG34" s="185">
        <f t="shared" si="7"/>
        <v>13.43678717326007</v>
      </c>
      <c r="AH34" s="185">
        <f t="shared" si="7"/>
        <v>13.808397511474144</v>
      </c>
      <c r="AI34" s="185">
        <f t="shared" si="7"/>
        <v>14.192147870049357</v>
      </c>
      <c r="AJ34" s="185">
        <f t="shared" si="7"/>
        <v>14.569314252207011</v>
      </c>
      <c r="AK34" s="185">
        <f t="shared" si="7"/>
        <v>14.959734644198212</v>
      </c>
      <c r="AL34" s="185">
        <f t="shared" si="7"/>
        <v>15.373588274865583</v>
      </c>
      <c r="AM34" s="185">
        <f t="shared" si="7"/>
        <v>17.746748856839613</v>
      </c>
      <c r="AN34" s="185">
        <f t="shared" si="7"/>
        <v>20.427778485607956</v>
      </c>
      <c r="AO34" s="185">
        <f t="shared" si="7"/>
        <v>25.430657188551379</v>
      </c>
      <c r="AP34" s="185">
        <f t="shared" ref="AP34" si="10">AO34*AP18/AO18</f>
        <v>30.484847399293738</v>
      </c>
    </row>
    <row r="35" spans="1:42">
      <c r="A35" s="57" t="str">
        <f t="shared" si="9"/>
        <v>*</v>
      </c>
      <c r="B35" s="22" t="s">
        <v>288</v>
      </c>
      <c r="C35" s="23" t="s">
        <v>137</v>
      </c>
      <c r="D35" s="57">
        <f t="shared" si="6"/>
        <v>0</v>
      </c>
      <c r="E35" s="23" t="s">
        <v>137</v>
      </c>
      <c r="F35" s="23" t="s">
        <v>137</v>
      </c>
      <c r="G35" s="23" t="s">
        <v>137</v>
      </c>
      <c r="H35" s="23" t="s">
        <v>137</v>
      </c>
      <c r="I35" s="22">
        <v>0</v>
      </c>
      <c r="J35" s="110">
        <v>0</v>
      </c>
      <c r="K35" s="185">
        <f t="shared" ref="K35:AP37" si="11">J35*K19/J19</f>
        <v>0</v>
      </c>
      <c r="L35" s="185">
        <f t="shared" si="11"/>
        <v>0</v>
      </c>
      <c r="M35" s="185">
        <f t="shared" si="11"/>
        <v>0</v>
      </c>
      <c r="N35" s="185">
        <f t="shared" si="11"/>
        <v>0</v>
      </c>
      <c r="O35" s="185">
        <f t="shared" si="11"/>
        <v>0</v>
      </c>
      <c r="P35" s="185">
        <f t="shared" si="11"/>
        <v>0</v>
      </c>
      <c r="Q35" s="185">
        <f t="shared" si="11"/>
        <v>0</v>
      </c>
      <c r="R35" s="185">
        <f t="shared" si="11"/>
        <v>0</v>
      </c>
      <c r="S35" s="185">
        <f t="shared" si="11"/>
        <v>0</v>
      </c>
      <c r="T35" s="185">
        <f t="shared" si="11"/>
        <v>0</v>
      </c>
      <c r="U35" s="185">
        <f t="shared" si="11"/>
        <v>0</v>
      </c>
      <c r="V35" s="185">
        <f t="shared" si="11"/>
        <v>0</v>
      </c>
      <c r="W35" s="185">
        <f t="shared" si="11"/>
        <v>0</v>
      </c>
      <c r="X35" s="185">
        <f t="shared" si="11"/>
        <v>0</v>
      </c>
      <c r="Y35" s="185">
        <f t="shared" si="11"/>
        <v>0</v>
      </c>
      <c r="Z35" s="185">
        <f t="shared" si="11"/>
        <v>0</v>
      </c>
      <c r="AA35" s="185">
        <f t="shared" si="11"/>
        <v>0</v>
      </c>
      <c r="AB35" s="185">
        <f t="shared" si="11"/>
        <v>0</v>
      </c>
      <c r="AC35" s="185">
        <f t="shared" si="11"/>
        <v>0</v>
      </c>
      <c r="AD35" s="185">
        <f t="shared" si="11"/>
        <v>0</v>
      </c>
      <c r="AE35" s="185">
        <f t="shared" si="11"/>
        <v>0</v>
      </c>
      <c r="AF35" s="185">
        <f t="shared" si="11"/>
        <v>0</v>
      </c>
      <c r="AG35" s="185">
        <f t="shared" si="11"/>
        <v>0</v>
      </c>
      <c r="AH35" s="185">
        <f t="shared" si="11"/>
        <v>0</v>
      </c>
      <c r="AI35" s="185">
        <f t="shared" si="11"/>
        <v>0</v>
      </c>
      <c r="AJ35" s="185">
        <f t="shared" si="11"/>
        <v>0</v>
      </c>
      <c r="AK35" s="185">
        <f t="shared" si="11"/>
        <v>0</v>
      </c>
      <c r="AL35" s="185">
        <f t="shared" si="11"/>
        <v>0</v>
      </c>
      <c r="AM35" s="185">
        <f t="shared" si="11"/>
        <v>0</v>
      </c>
      <c r="AN35" s="185">
        <f t="shared" si="11"/>
        <v>0</v>
      </c>
      <c r="AO35" s="185">
        <f t="shared" si="11"/>
        <v>0</v>
      </c>
      <c r="AP35" s="185">
        <f t="shared" si="11"/>
        <v>0</v>
      </c>
    </row>
    <row r="36" spans="1:42">
      <c r="A36" s="57" t="str">
        <f t="shared" si="9"/>
        <v/>
      </c>
      <c r="B36" s="22" t="s">
        <v>288</v>
      </c>
      <c r="C36" s="23" t="s">
        <v>137</v>
      </c>
      <c r="D36" s="57" t="str">
        <f t="shared" si="6"/>
        <v>IPPPAP</v>
      </c>
      <c r="E36" s="23" t="s">
        <v>137</v>
      </c>
      <c r="F36" s="23" t="s">
        <v>137</v>
      </c>
      <c r="G36" s="23" t="s">
        <v>137</v>
      </c>
      <c r="H36" s="23" t="s">
        <v>137</v>
      </c>
      <c r="I36" s="22">
        <v>0</v>
      </c>
      <c r="J36" s="139">
        <f>'[4]PP-TSData'!J29</f>
        <v>2.0533000000000001</v>
      </c>
      <c r="K36" s="139">
        <f>'[4]PP-TSData'!K29</f>
        <v>2.0786519999999999</v>
      </c>
      <c r="L36" s="139">
        <f>'[4]PP-TSData'!L29</f>
        <v>2.1040039999999998</v>
      </c>
      <c r="M36" s="139">
        <f>'[4]PP-TSData'!M29</f>
        <v>2.1293559999999996</v>
      </c>
      <c r="N36" s="139">
        <f>'[4]PP-TSData'!N29</f>
        <v>2.1547079999999994</v>
      </c>
      <c r="O36" s="139">
        <f>'[4]PP-TSData'!O29</f>
        <v>2.1800600000000001</v>
      </c>
      <c r="P36" s="185">
        <f t="shared" si="11"/>
        <v>2.2166294765726118</v>
      </c>
      <c r="Q36" s="185">
        <f t="shared" si="11"/>
        <v>2.2151621827595132</v>
      </c>
      <c r="R36" s="185">
        <f t="shared" si="11"/>
        <v>2.0587260885322287</v>
      </c>
      <c r="S36" s="185">
        <f t="shared" si="11"/>
        <v>2.1099103563180899</v>
      </c>
      <c r="T36" s="185">
        <f t="shared" si="11"/>
        <v>2.161418317910238</v>
      </c>
      <c r="U36" s="185">
        <f t="shared" si="11"/>
        <v>2.218735773490736</v>
      </c>
      <c r="V36" s="185">
        <f t="shared" si="11"/>
        <v>2.2792088273262467</v>
      </c>
      <c r="W36" s="185">
        <f t="shared" si="11"/>
        <v>2.339971579022472</v>
      </c>
      <c r="X36" s="185">
        <f t="shared" si="11"/>
        <v>2.4105877090621655</v>
      </c>
      <c r="Y36" s="185">
        <f t="shared" si="11"/>
        <v>2.4788625776559261</v>
      </c>
      <c r="Z36" s="185">
        <f t="shared" si="11"/>
        <v>2.5496810975362787</v>
      </c>
      <c r="AA36" s="185">
        <f t="shared" si="11"/>
        <v>2.6233860989725217</v>
      </c>
      <c r="AB36" s="185">
        <f t="shared" si="11"/>
        <v>2.6877942082843549</v>
      </c>
      <c r="AC36" s="185">
        <f t="shared" si="11"/>
        <v>2.7644736607835609</v>
      </c>
      <c r="AD36" s="185">
        <f t="shared" si="11"/>
        <v>2.8424314146808336</v>
      </c>
      <c r="AE36" s="185">
        <f t="shared" si="11"/>
        <v>2.9194929426544229</v>
      </c>
      <c r="AF36" s="185">
        <f t="shared" si="11"/>
        <v>2.9948323927802707</v>
      </c>
      <c r="AG36" s="185">
        <f t="shared" si="11"/>
        <v>3.0651747593163967</v>
      </c>
      <c r="AH36" s="185">
        <f t="shared" si="11"/>
        <v>3.1445417897707628</v>
      </c>
      <c r="AI36" s="185">
        <f t="shared" si="11"/>
        <v>3.2269500105373519</v>
      </c>
      <c r="AJ36" s="185">
        <f t="shared" si="11"/>
        <v>3.3081464701653283</v>
      </c>
      <c r="AK36" s="185">
        <f t="shared" si="11"/>
        <v>3.3925348631927594</v>
      </c>
      <c r="AL36" s="185">
        <f t="shared" si="11"/>
        <v>3.48216691847687</v>
      </c>
      <c r="AM36" s="185">
        <f t="shared" si="11"/>
        <v>3.9791912316488602</v>
      </c>
      <c r="AN36" s="185">
        <f t="shared" si="11"/>
        <v>4.5347231382095048</v>
      </c>
      <c r="AO36" s="185">
        <f t="shared" si="11"/>
        <v>5.5775280923773636</v>
      </c>
      <c r="AP36" s="185">
        <f t="shared" si="11"/>
        <v>6.6300843121099895</v>
      </c>
    </row>
    <row r="37" spans="1:42">
      <c r="A37" s="57" t="str">
        <f t="shared" si="9"/>
        <v/>
      </c>
      <c r="B37" s="22" t="s">
        <v>288</v>
      </c>
      <c r="C37" s="23" t="s">
        <v>137</v>
      </c>
      <c r="D37" s="57" t="str">
        <f t="shared" si="6"/>
        <v>IPPPULPD</v>
      </c>
      <c r="E37" s="23" t="s">
        <v>137</v>
      </c>
      <c r="F37" s="23" t="s">
        <v>137</v>
      </c>
      <c r="G37" s="23" t="s">
        <v>137</v>
      </c>
      <c r="H37" s="23" t="s">
        <v>137</v>
      </c>
      <c r="I37" s="22">
        <v>0</v>
      </c>
      <c r="J37" s="139">
        <f>'[4]PP-TSData'!J28</f>
        <v>0.73711514499999997</v>
      </c>
      <c r="K37" s="139">
        <f>'[4]PP-TSData'!K28</f>
        <v>0.73711514499999997</v>
      </c>
      <c r="L37" s="139">
        <f>'[4]PP-TSData'!L28</f>
        <v>0.73711514499999997</v>
      </c>
      <c r="M37" s="139">
        <f>'[4]PP-TSData'!M28</f>
        <v>0.73711514499999997</v>
      </c>
      <c r="N37" s="139">
        <f>'[4]PP-TSData'!N28</f>
        <v>0.7</v>
      </c>
      <c r="O37" s="139">
        <f>'[4]PP-TSData'!O28</f>
        <v>0.65910719806663931</v>
      </c>
      <c r="P37" s="185">
        <f t="shared" si="11"/>
        <v>0.67016340993169699</v>
      </c>
      <c r="Q37" s="185">
        <f t="shared" si="11"/>
        <v>0.66971979649266689</v>
      </c>
      <c r="R37" s="185">
        <f t="shared" si="11"/>
        <v>0.62242377906991964</v>
      </c>
      <c r="S37" s="185">
        <f t="shared" si="11"/>
        <v>0.637898545510032</v>
      </c>
      <c r="T37" s="185">
        <f t="shared" si="11"/>
        <v>0.6534711757326519</v>
      </c>
      <c r="U37" s="185">
        <f t="shared" si="11"/>
        <v>0.67080021601042905</v>
      </c>
      <c r="V37" s="185">
        <f t="shared" si="11"/>
        <v>0.6890833022888142</v>
      </c>
      <c r="W37" s="185">
        <f t="shared" si="11"/>
        <v>0.70745397420487055</v>
      </c>
      <c r="X37" s="185">
        <f t="shared" si="11"/>
        <v>0.72880366164868948</v>
      </c>
      <c r="Y37" s="185">
        <f t="shared" si="11"/>
        <v>0.74944550514712593</v>
      </c>
      <c r="Z37" s="185">
        <f t="shared" si="11"/>
        <v>0.77085638200811413</v>
      </c>
      <c r="AA37" s="185">
        <f t="shared" si="11"/>
        <v>0.79313994162580337</v>
      </c>
      <c r="AB37" s="185">
        <f t="shared" si="11"/>
        <v>0.81261273065972539</v>
      </c>
      <c r="AC37" s="185">
        <f t="shared" si="11"/>
        <v>0.83579556924491838</v>
      </c>
      <c r="AD37" s="185">
        <f t="shared" si="11"/>
        <v>0.85936488235501618</v>
      </c>
      <c r="AE37" s="185">
        <f t="shared" si="11"/>
        <v>0.88266323551107917</v>
      </c>
      <c r="AF37" s="185">
        <f t="shared" si="11"/>
        <v>0.9054409452421549</v>
      </c>
      <c r="AG37" s="185">
        <f t="shared" si="11"/>
        <v>0.92670786455309262</v>
      </c>
      <c r="AH37" s="185">
        <f t="shared" si="11"/>
        <v>0.95070325048818016</v>
      </c>
      <c r="AI37" s="185">
        <f t="shared" si="11"/>
        <v>0.9756180929636733</v>
      </c>
      <c r="AJ37" s="185">
        <f t="shared" si="11"/>
        <v>1.0001665783256939</v>
      </c>
      <c r="AK37" s="185">
        <f t="shared" si="11"/>
        <v>1.0256800950535163</v>
      </c>
      <c r="AL37" s="185">
        <f t="shared" si="11"/>
        <v>1.0527789514222696</v>
      </c>
      <c r="AM37" s="185">
        <f t="shared" si="11"/>
        <v>1.2030465139782478</v>
      </c>
      <c r="AN37" s="185">
        <f t="shared" si="11"/>
        <v>1.3710029364481819</v>
      </c>
      <c r="AO37" s="185">
        <f t="shared" si="11"/>
        <v>1.6862787781551019</v>
      </c>
      <c r="AP37" s="185">
        <f t="shared" si="11"/>
        <v>2.0045027631810117</v>
      </c>
    </row>
    <row r="38" spans="1:42">
      <c r="A38" s="57" t="str">
        <f t="shared" si="9"/>
        <v>*</v>
      </c>
      <c r="B38" s="22" t="s">
        <v>288</v>
      </c>
      <c r="C38" s="23" t="s">
        <v>137</v>
      </c>
      <c r="D38" s="57">
        <f t="shared" si="6"/>
        <v>0</v>
      </c>
      <c r="E38" s="23" t="s">
        <v>137</v>
      </c>
      <c r="F38" s="23" t="s">
        <v>137</v>
      </c>
      <c r="G38" s="23" t="s">
        <v>137</v>
      </c>
      <c r="H38" s="23" t="s">
        <v>137</v>
      </c>
      <c r="I38" s="22">
        <v>0</v>
      </c>
      <c r="J38" s="110">
        <v>0</v>
      </c>
      <c r="K38" s="185">
        <f t="shared" ref="K38:AP38" si="12">J38*K22/J22</f>
        <v>0</v>
      </c>
      <c r="L38" s="185">
        <f t="shared" si="12"/>
        <v>0</v>
      </c>
      <c r="M38" s="185">
        <f t="shared" si="12"/>
        <v>0</v>
      </c>
      <c r="N38" s="185">
        <f t="shared" si="12"/>
        <v>0</v>
      </c>
      <c r="O38" s="185">
        <f t="shared" si="12"/>
        <v>0</v>
      </c>
      <c r="P38" s="185">
        <f t="shared" si="12"/>
        <v>0</v>
      </c>
      <c r="Q38" s="185">
        <f t="shared" si="12"/>
        <v>0</v>
      </c>
      <c r="R38" s="185">
        <f t="shared" si="12"/>
        <v>0</v>
      </c>
      <c r="S38" s="185">
        <f t="shared" si="12"/>
        <v>0</v>
      </c>
      <c r="T38" s="185">
        <f t="shared" si="12"/>
        <v>0</v>
      </c>
      <c r="U38" s="185">
        <f t="shared" si="12"/>
        <v>0</v>
      </c>
      <c r="V38" s="185">
        <f t="shared" si="12"/>
        <v>0</v>
      </c>
      <c r="W38" s="185">
        <f t="shared" si="12"/>
        <v>0</v>
      </c>
      <c r="X38" s="185">
        <f t="shared" si="12"/>
        <v>0</v>
      </c>
      <c r="Y38" s="185">
        <f t="shared" si="12"/>
        <v>0</v>
      </c>
      <c r="Z38" s="185">
        <f t="shared" si="12"/>
        <v>0</v>
      </c>
      <c r="AA38" s="185">
        <f t="shared" si="12"/>
        <v>0</v>
      </c>
      <c r="AB38" s="185">
        <f t="shared" si="12"/>
        <v>0</v>
      </c>
      <c r="AC38" s="185">
        <f t="shared" si="12"/>
        <v>0</v>
      </c>
      <c r="AD38" s="185">
        <f t="shared" si="12"/>
        <v>0</v>
      </c>
      <c r="AE38" s="185">
        <f t="shared" si="12"/>
        <v>0</v>
      </c>
      <c r="AF38" s="185">
        <f t="shared" si="12"/>
        <v>0</v>
      </c>
      <c r="AG38" s="185">
        <f t="shared" si="12"/>
        <v>0</v>
      </c>
      <c r="AH38" s="185">
        <f t="shared" si="12"/>
        <v>0</v>
      </c>
      <c r="AI38" s="185">
        <f t="shared" si="12"/>
        <v>0</v>
      </c>
      <c r="AJ38" s="185">
        <f t="shared" si="12"/>
        <v>0</v>
      </c>
      <c r="AK38" s="185">
        <f t="shared" si="12"/>
        <v>0</v>
      </c>
      <c r="AL38" s="185">
        <f t="shared" si="12"/>
        <v>0</v>
      </c>
      <c r="AM38" s="185">
        <f t="shared" si="12"/>
        <v>0</v>
      </c>
      <c r="AN38" s="185">
        <f t="shared" si="12"/>
        <v>0</v>
      </c>
      <c r="AO38" s="185">
        <f t="shared" si="12"/>
        <v>0</v>
      </c>
      <c r="AP38" s="185">
        <f t="shared" si="12"/>
        <v>0</v>
      </c>
    </row>
    <row r="39" spans="1:42">
      <c r="A39" s="185" t="s">
        <v>16</v>
      </c>
      <c r="B39" s="186"/>
      <c r="S39" s="214" t="s">
        <v>662</v>
      </c>
      <c r="X39" s="29">
        <v>2025</v>
      </c>
    </row>
    <row r="40" spans="1:42" ht="15.75" thickBot="1">
      <c r="A40" s="185" t="s">
        <v>16</v>
      </c>
      <c r="B40" s="14" t="s">
        <v>290</v>
      </c>
      <c r="C40" s="14"/>
      <c r="D40" s="185">
        <v>2010</v>
      </c>
      <c r="E40" s="185">
        <v>2020</v>
      </c>
      <c r="F40" s="185">
        <v>2030</v>
      </c>
      <c r="G40" s="185">
        <v>2050</v>
      </c>
      <c r="S40" s="214" t="s">
        <v>661</v>
      </c>
    </row>
    <row r="41" spans="1:42">
      <c r="A41" s="185" t="s">
        <v>16</v>
      </c>
      <c r="B41" s="186" t="str">
        <f t="shared" ref="B41:C52" si="13">B10</f>
        <v>MI</v>
      </c>
      <c r="C41" s="186" t="str">
        <f t="shared" si="13"/>
        <v>Mining</v>
      </c>
      <c r="D41" s="185">
        <v>1</v>
      </c>
      <c r="E41" s="185">
        <v>1.0220604419830652</v>
      </c>
      <c r="F41" s="185">
        <v>1.0684529596700734</v>
      </c>
      <c r="G41" s="185">
        <f>F41</f>
        <v>1.0684529596700734</v>
      </c>
      <c r="J41" s="185" cm="1">
        <f t="array" ref="J41">IF(J$7=-1,K41,IF(J$7=99,I41,IF(J$7=0,INDEX($D41:$G41,0,J$5),(INDEX($D41:$G41,0,J$7+1)-INDEX($D41:$G41,0,J$7))/(INDEX($D$4:$G$4,0,J$7+1)-INDEX($D$4:$G$4,0,J$7))+I41)))</f>
        <v>1</v>
      </c>
      <c r="K41" s="185" cm="1">
        <f t="array" ref="K41">IF(K$7=-1,L41,IF(K$7=99,J41,IF(K$7=0,INDEX($D41:$G41,0,K$5),(INDEX($D41:$G41,0,K$7+1)-INDEX($D41:$G41,0,K$7))/(INDEX($D$4:$G$4,0,K$7+1)-INDEX($D$4:$G$4,0,K$7))+J41)))</f>
        <v>1.0027575552478831</v>
      </c>
      <c r="L41" s="185" cm="1">
        <f t="array" ref="L41">IF(L$7=-1,M41,IF(L$7=99,K41,IF(L$7=0,INDEX($D41:$G41,0,L$5),(INDEX($D41:$G41,0,L$7+1)-INDEX($D41:$G41,0,L$7))/(INDEX($D$4:$G$4,0,L$7+1)-INDEX($D$4:$G$4,0,L$7))+K41)))</f>
        <v>1.0055151104957663</v>
      </c>
      <c r="M41" s="185" cm="1">
        <f t="array" ref="M41">IF(M$7=-1,N41,IF(M$7=99,L41,IF(M$7=0,INDEX($D41:$G41,0,M$5),(INDEX($D41:$G41,0,M$7+1)-INDEX($D41:$G41,0,M$7))/(INDEX($D$4:$G$4,0,M$7+1)-INDEX($D$4:$G$4,0,M$7))+L41)))</f>
        <v>1.0082726657436494</v>
      </c>
      <c r="N41" s="185" cm="1">
        <f t="array" ref="N41">IF(N$7=-1,O41,IF(N$7=99,M41,IF(N$7=0,INDEX($D41:$G41,0,N$5),(INDEX($D41:$G41,0,N$7+1)-INDEX($D41:$G41,0,N$7))/(INDEX($D$4:$G$4,0,N$7+1)-INDEX($D$4:$G$4,0,N$7))+M41)))</f>
        <v>1.0110302209915325</v>
      </c>
      <c r="O41" s="185" cm="1">
        <f t="array" ref="O41">IF(O$7=-1,P41,IF(O$7=99,N41,IF(O$7=0,INDEX($D41:$G41,0,O$5),(INDEX($D41:$G41,0,O$7+1)-INDEX($D41:$G41,0,O$7))/(INDEX($D$4:$G$4,0,O$7+1)-INDEX($D$4:$G$4,0,O$7))+N41)))</f>
        <v>1.0137877762394156</v>
      </c>
      <c r="P41" s="185" cm="1">
        <f t="array" ref="P41">IF(P$7=-1,Q41,IF(P$7=99,O41,IF(P$7=0,INDEX($D41:$G41,0,P$5),(INDEX($D41:$G41,0,P$7+1)-INDEX($D41:$G41,0,P$7))/(INDEX($D$4:$G$4,0,P$7+1)-INDEX($D$4:$G$4,0,P$7))+O41)))</f>
        <v>1.0165453314872988</v>
      </c>
      <c r="Q41" s="185" cm="1">
        <f t="array" ref="Q41">IF(Q$7=-1,R41,IF(Q$7=99,P41,IF(Q$7=0,INDEX($D41:$G41,0,Q$5),(INDEX($D41:$G41,0,Q$7+1)-INDEX($D41:$G41,0,Q$7))/(INDEX($D$4:$G$4,0,Q$7+1)-INDEX($D$4:$G$4,0,Q$7))+P41)))</f>
        <v>1.0193028867351819</v>
      </c>
      <c r="R41" s="185" cm="1">
        <f t="array" ref="R41">IF(R$7=-1,S41,IF(R$7=99,Q41,IF(R$7=0,INDEX($D41:$G41,0,R$5),(INDEX($D41:$G41,0,R$7+1)-INDEX($D41:$G41,0,R$7))/(INDEX($D$4:$G$4,0,R$7+1)-INDEX($D$4:$G$4,0,R$7))+Q41)))</f>
        <v>1.0220604419830652</v>
      </c>
      <c r="S41" s="214">
        <v>1.0900000000000001</v>
      </c>
      <c r="T41" s="343">
        <f>IF(T$54=1,($AB41-$S41)/$AC$54+S41,$AB41)</f>
        <v>1.0846132399175183</v>
      </c>
      <c r="U41" s="343">
        <f t="shared" ref="U41:AA41" si="14">IF(U$54=1,($AB41-$S41)/$AC$54+T41,$AB41)</f>
        <v>1.0792264798350366</v>
      </c>
      <c r="V41" s="343">
        <f t="shared" si="14"/>
        <v>1.0738397197525549</v>
      </c>
      <c r="W41" s="343">
        <f t="shared" si="14"/>
        <v>1.0684529596700731</v>
      </c>
      <c r="X41" s="343">
        <f t="shared" si="14"/>
        <v>1.0684529596700734</v>
      </c>
      <c r="Y41" s="343">
        <f t="shared" si="14"/>
        <v>1.0684529596700734</v>
      </c>
      <c r="Z41" s="343">
        <f t="shared" si="14"/>
        <v>1.0684529596700734</v>
      </c>
      <c r="AA41" s="343">
        <f t="shared" si="14"/>
        <v>1.0684529596700734</v>
      </c>
      <c r="AB41" s="185" cm="1">
        <f t="array" ref="AB41">IF(AB$7=-1,AC41,IF(AB$7=99,AA41,IF(AB$7=0,INDEX($D41:$G41,0,AB$5),(INDEX($D41:$G41,0,AB$7+1)-INDEX($D41:$G41,0,AB$7))/(INDEX($D$4:$G$4,0,AB$7+1)-INDEX($D$4:$G$4,0,AB$7))+AA41)))</f>
        <v>1.0684529596700734</v>
      </c>
      <c r="AC41" s="185" cm="1">
        <f t="array" ref="AC41">IF(AC$7=-1,AD41,IF(AC$7=99,AB41,IF(AC$7=0,INDEX($D41:$G41,0,AC$5),(INDEX($D41:$G41,0,AC$7+1)-INDEX($D41:$G41,0,AC$7))/(INDEX($D$4:$G$4,0,AC$7+1)-INDEX($D$4:$G$4,0,AC$7))+AB41)))</f>
        <v>1.0684529596700734</v>
      </c>
      <c r="AD41" s="185" cm="1">
        <f t="array" ref="AD41">IF(AD$7=-1,AE41,IF(AD$7=99,AC41,IF(AD$7=0,INDEX($D41:$G41,0,AD$5),(INDEX($D41:$G41,0,AD$7+1)-INDEX($D41:$G41,0,AD$7))/(INDEX($D$4:$G$4,0,AD$7+1)-INDEX($D$4:$G$4,0,AD$7))+AC41)))</f>
        <v>1.0684529596700734</v>
      </c>
      <c r="AE41" s="185" cm="1">
        <f t="array" ref="AE41">IF(AE$7=-1,AF41,IF(AE$7=99,AD41,IF(AE$7=0,INDEX($D41:$G41,0,AE$5),(INDEX($D41:$G41,0,AE$7+1)-INDEX($D41:$G41,0,AE$7))/(INDEX($D$4:$G$4,0,AE$7+1)-INDEX($D$4:$G$4,0,AE$7))+AD41)))</f>
        <v>1.0684529596700734</v>
      </c>
      <c r="AF41" s="185" cm="1">
        <f t="array" ref="AF41">IF(AF$7=-1,AG41,IF(AF$7=99,AE41,IF(AF$7=0,INDEX($D41:$G41,0,AF$5),(INDEX($D41:$G41,0,AF$7+1)-INDEX($D41:$G41,0,AF$7))/(INDEX($D$4:$G$4,0,AF$7+1)-INDEX($D$4:$G$4,0,AF$7))+AE41)))</f>
        <v>1.0684529596700734</v>
      </c>
      <c r="AG41" s="185" cm="1">
        <f t="array" ref="AG41">IF(AG$7=-1,AH41,IF(AG$7=99,AF41,IF(AG$7=0,INDEX($D41:$G41,0,AG$5),(INDEX($D41:$G41,0,AG$7+1)-INDEX($D41:$G41,0,AG$7))/(INDEX($D$4:$G$4,0,AG$7+1)-INDEX($D$4:$G$4,0,AG$7))+AF41)))</f>
        <v>1.0684529596700734</v>
      </c>
      <c r="AH41" s="185" cm="1">
        <f t="array" ref="AH41">IF(AH$7=-1,AI41,IF(AH$7=99,AG41,IF(AH$7=0,INDEX($D41:$G41,0,AH$5),(INDEX($D41:$G41,0,AH$7+1)-INDEX($D41:$G41,0,AH$7))/(INDEX($D$4:$G$4,0,AH$7+1)-INDEX($D$4:$G$4,0,AH$7))+AG41)))</f>
        <v>1.0684529596700734</v>
      </c>
      <c r="AI41" s="185" cm="1">
        <f t="array" ref="AI41">IF(AI$7=-1,AJ41,IF(AI$7=99,AH41,IF(AI$7=0,INDEX($D41:$G41,0,AI$5),(INDEX($D41:$G41,0,AI$7+1)-INDEX($D41:$G41,0,AI$7))/(INDEX($D$4:$G$4,0,AI$7+1)-INDEX($D$4:$G$4,0,AI$7))+AH41)))</f>
        <v>1.0684529596700734</v>
      </c>
      <c r="AJ41" s="185" cm="1">
        <f t="array" ref="AJ41">IF(AJ$7=-1,AK41,IF(AJ$7=99,AI41,IF(AJ$7=0,INDEX($D41:$G41,0,AJ$5),(INDEX($D41:$G41,0,AJ$7+1)-INDEX($D41:$G41,0,AJ$7))/(INDEX($D$4:$G$4,0,AJ$7+1)-INDEX($D$4:$G$4,0,AJ$7))+AI41)))</f>
        <v>1.0684529596700734</v>
      </c>
      <c r="AK41" s="185" cm="1">
        <f t="array" ref="AK41">IF(AK$7=-1,AL41,IF(AK$7=99,AJ41,IF(AK$7=0,INDEX($D41:$G41,0,AK$5),(INDEX($D41:$G41,0,AK$7+1)-INDEX($D41:$G41,0,AK$7))/(INDEX($D$4:$G$4,0,AK$7+1)-INDEX($D$4:$G$4,0,AK$7))+AJ41)))</f>
        <v>1.0684529596700734</v>
      </c>
      <c r="AL41" s="185" cm="1">
        <f t="array" ref="AL41">IF(AL$7=-1,AM41,IF(AL$7=99,AK41,IF(AL$7=0,INDEX($D41:$G41,0,AL$5),(INDEX($D41:$G41,0,AL$7+1)-INDEX($D41:$G41,0,AL$7))/(INDEX($D$4:$G$4,0,AL$7+1)-INDEX($D$4:$G$4,0,AL$7))+AK41)))</f>
        <v>1.0684529596700734</v>
      </c>
      <c r="AM41" s="185" cm="1">
        <f t="array" ref="AM41">IF(AM$7=-1,AN41,IF(AM$7=99,AL41,IF(AM$7=0,INDEX($D41:$G41,0,AM$5),(INDEX($D41:$G41,0,AM$7+1)-INDEX($D41:$G41,0,AM$7))/(INDEX($D$4:$G$4,0,AM$7+1)-INDEX($D$4:$G$4,0,AM$7))+AL41)))</f>
        <v>1.0684529596700734</v>
      </c>
      <c r="AN41" s="185" cm="1">
        <f t="array" ref="AN41">IF(AN$7=-1,AO41,IF(AN$7=99,AM41,IF(AN$7=0,INDEX($D41:$G41,0,AN$5),(INDEX($D41:$G41,0,AN$7+1)-INDEX($D41:$G41,0,AN$7))/(INDEX($D$4:$G$4,0,AN$7+1)-INDEX($D$4:$G$4,0,AN$7))+AM41)))</f>
        <v>1.0684529596700734</v>
      </c>
      <c r="AO41" s="185" cm="1">
        <f t="array" ref="AO41">IF(AO$7=-1,AP41,IF(AO$7=99,AN41,IF(AO$7=0,INDEX($D41:$G41,0,AO$5),(INDEX($D41:$G41,0,AO$7+1)-INDEX($D41:$G41,0,AO$7))/(INDEX($D$4:$G$4,0,AO$7+1)-INDEX($D$4:$G$4,0,AO$7))+AN41)))</f>
        <v>1.0684529596700734</v>
      </c>
      <c r="AP41" s="185" cm="1">
        <f t="array" ref="AP41">IF(AP$7=-1,AQ41,IF(AP$7=99,AO41,IF(AP$7=0,INDEX($D41:$G41,0,AP$5),(INDEX($D41:$G41,0,AP$7+1)-INDEX($D41:$G41,0,AP$7))/(INDEX($D$4:$G$4,0,AP$7+1)-INDEX($D$4:$G$4,0,AP$7))+AO41)))</f>
        <v>1.0684529596700734</v>
      </c>
    </row>
    <row r="42" spans="1:42">
      <c r="A42" s="185" t="s">
        <v>16</v>
      </c>
      <c r="B42" s="186" t="str">
        <f t="shared" si="13"/>
        <v>FA</v>
      </c>
      <c r="C42" s="186" t="str">
        <f t="shared" si="13"/>
        <v>Ferro Alloys</v>
      </c>
      <c r="D42" s="185">
        <v>1</v>
      </c>
      <c r="E42" s="185">
        <v>1</v>
      </c>
      <c r="F42" s="185">
        <v>1</v>
      </c>
      <c r="G42" s="185">
        <v>1</v>
      </c>
      <c r="J42" s="185" cm="1">
        <f t="array" ref="J42">IF(J$7=-1,K42,IF(J$7=99,I42,IF(J$7=0,INDEX($D42:$G42,0,J$5),(INDEX($D42:$G42,0,J$7+1)-INDEX($D42:$G42,0,J$7))/(INDEX($D$4:$G$4,0,J$7+1)-INDEX($D$4:$G$4,0,J$7))+I42)))</f>
        <v>1</v>
      </c>
      <c r="K42" s="185" cm="1">
        <f t="array" ref="K42">IF(K$7=-1,L42,IF(K$7=99,J42,IF(K$7=0,INDEX($D42:$G42,0,K$5),(INDEX($D42:$G42,0,K$7+1)-INDEX($D42:$G42,0,K$7))/(INDEX($D$4:$G$4,0,K$7+1)-INDEX($D$4:$G$4,0,K$7))+J42)))</f>
        <v>1</v>
      </c>
      <c r="L42" s="185" cm="1">
        <f t="array" ref="L42">IF(L$7=-1,M42,IF(L$7=99,K42,IF(L$7=0,INDEX($D42:$G42,0,L$5),(INDEX($D42:$G42,0,L$7+1)-INDEX($D42:$G42,0,L$7))/(INDEX($D$4:$G$4,0,L$7+1)-INDEX($D$4:$G$4,0,L$7))+K42)))</f>
        <v>1</v>
      </c>
      <c r="M42" s="185" cm="1">
        <f t="array" ref="M42">IF(M$7=-1,N42,IF(M$7=99,L42,IF(M$7=0,INDEX($D42:$G42,0,M$5),(INDEX($D42:$G42,0,M$7+1)-INDEX($D42:$G42,0,M$7))/(INDEX($D$4:$G$4,0,M$7+1)-INDEX($D$4:$G$4,0,M$7))+L42)))</f>
        <v>1</v>
      </c>
      <c r="N42" s="185" cm="1">
        <f t="array" ref="N42">IF(N$7=-1,O42,IF(N$7=99,M42,IF(N$7=0,INDEX($D42:$G42,0,N$5),(INDEX($D42:$G42,0,N$7+1)-INDEX($D42:$G42,0,N$7))/(INDEX($D$4:$G$4,0,N$7+1)-INDEX($D$4:$G$4,0,N$7))+M42)))</f>
        <v>1</v>
      </c>
      <c r="O42" s="185" cm="1">
        <f t="array" ref="O42">IF(O$7=-1,P42,IF(O$7=99,N42,IF(O$7=0,INDEX($D42:$G42,0,O$5),(INDEX($D42:$G42,0,O$7+1)-INDEX($D42:$G42,0,O$7))/(INDEX($D$4:$G$4,0,O$7+1)-INDEX($D$4:$G$4,0,O$7))+N42)))</f>
        <v>1</v>
      </c>
      <c r="P42" s="185" cm="1">
        <f t="array" ref="P42">IF(P$7=-1,Q42,IF(P$7=99,O42,IF(P$7=0,INDEX($D42:$G42,0,P$5),(INDEX($D42:$G42,0,P$7+1)-INDEX($D42:$G42,0,P$7))/(INDEX($D$4:$G$4,0,P$7+1)-INDEX($D$4:$G$4,0,P$7))+O42)))</f>
        <v>1</v>
      </c>
      <c r="Q42" s="185" cm="1">
        <f t="array" ref="Q42">IF(Q$7=-1,R42,IF(Q$7=99,P42,IF(Q$7=0,INDEX($D42:$G42,0,Q$5),(INDEX($D42:$G42,0,Q$7+1)-INDEX($D42:$G42,0,Q$7))/(INDEX($D$4:$G$4,0,Q$7+1)-INDEX($D$4:$G$4,0,Q$7))+P42)))</f>
        <v>1</v>
      </c>
      <c r="R42" s="185" cm="1">
        <f t="array" ref="R42">IF(R$7=-1,S42,IF(R$7=99,Q42,IF(R$7=0,INDEX($D42:$G42,0,R$5),(INDEX($D42:$G42,0,R$7+1)-INDEX($D42:$G42,0,R$7))/(INDEX($D$4:$G$4,0,R$7+1)-INDEX($D$4:$G$4,0,R$7))+Q42)))</f>
        <v>1</v>
      </c>
      <c r="S42" s="214">
        <v>1.07</v>
      </c>
      <c r="T42" s="343">
        <f t="shared" ref="T42:AA42" si="15">IF(T$54=1,($AB42-$S42)/$AC$54+S42,$AB42)</f>
        <v>1.0525</v>
      </c>
      <c r="U42" s="343">
        <f t="shared" si="15"/>
        <v>1.0349999999999999</v>
      </c>
      <c r="V42" s="343">
        <f t="shared" si="15"/>
        <v>1.0174999999999998</v>
      </c>
      <c r="W42" s="343">
        <f t="shared" si="15"/>
        <v>0.99999999999999978</v>
      </c>
      <c r="X42" s="343">
        <f t="shared" si="15"/>
        <v>1</v>
      </c>
      <c r="Y42" s="343">
        <f t="shared" si="15"/>
        <v>1</v>
      </c>
      <c r="Z42" s="343">
        <f t="shared" si="15"/>
        <v>1</v>
      </c>
      <c r="AA42" s="343">
        <f t="shared" si="15"/>
        <v>1</v>
      </c>
      <c r="AB42" s="185" cm="1">
        <f t="array" ref="AB42">IF(AB$7=-1,AC42,IF(AB$7=99,AA42,IF(AB$7=0,INDEX($D42:$G42,0,AB$5),(INDEX($D42:$G42,0,AB$7+1)-INDEX($D42:$G42,0,AB$7))/(INDEX($D$4:$G$4,0,AB$7+1)-INDEX($D$4:$G$4,0,AB$7))+AA42)))</f>
        <v>1</v>
      </c>
      <c r="AC42" s="185" cm="1">
        <f t="array" ref="AC42">IF(AC$7=-1,AD42,IF(AC$7=99,AB42,IF(AC$7=0,INDEX($D42:$G42,0,AC$5),(INDEX($D42:$G42,0,AC$7+1)-INDEX($D42:$G42,0,AC$7))/(INDEX($D$4:$G$4,0,AC$7+1)-INDEX($D$4:$G$4,0,AC$7))+AB42)))</f>
        <v>1</v>
      </c>
      <c r="AD42" s="185" cm="1">
        <f t="array" ref="AD42">IF(AD$7=-1,AE42,IF(AD$7=99,AC42,IF(AD$7=0,INDEX($D42:$G42,0,AD$5),(INDEX($D42:$G42,0,AD$7+1)-INDEX($D42:$G42,0,AD$7))/(INDEX($D$4:$G$4,0,AD$7+1)-INDEX($D$4:$G$4,0,AD$7))+AC42)))</f>
        <v>1</v>
      </c>
      <c r="AE42" s="185" cm="1">
        <f t="array" ref="AE42">IF(AE$7=-1,AF42,IF(AE$7=99,AD42,IF(AE$7=0,INDEX($D42:$G42,0,AE$5),(INDEX($D42:$G42,0,AE$7+1)-INDEX($D42:$G42,0,AE$7))/(INDEX($D$4:$G$4,0,AE$7+1)-INDEX($D$4:$G$4,0,AE$7))+AD42)))</f>
        <v>1</v>
      </c>
      <c r="AF42" s="185" cm="1">
        <f t="array" ref="AF42">IF(AF$7=-1,AG42,IF(AF$7=99,AE42,IF(AF$7=0,INDEX($D42:$G42,0,AF$5),(INDEX($D42:$G42,0,AF$7+1)-INDEX($D42:$G42,0,AF$7))/(INDEX($D$4:$G$4,0,AF$7+1)-INDEX($D$4:$G$4,0,AF$7))+AE42)))</f>
        <v>1</v>
      </c>
      <c r="AG42" s="185" cm="1">
        <f t="array" ref="AG42">IF(AG$7=-1,AH42,IF(AG$7=99,AF42,IF(AG$7=0,INDEX($D42:$G42,0,AG$5),(INDEX($D42:$G42,0,AG$7+1)-INDEX($D42:$G42,0,AG$7))/(INDEX($D$4:$G$4,0,AG$7+1)-INDEX($D$4:$G$4,0,AG$7))+AF42)))</f>
        <v>1</v>
      </c>
      <c r="AH42" s="185" cm="1">
        <f t="array" ref="AH42">IF(AH$7=-1,AI42,IF(AH$7=99,AG42,IF(AH$7=0,INDEX($D42:$G42,0,AH$5),(INDEX($D42:$G42,0,AH$7+1)-INDEX($D42:$G42,0,AH$7))/(INDEX($D$4:$G$4,0,AH$7+1)-INDEX($D$4:$G$4,0,AH$7))+AG42)))</f>
        <v>1</v>
      </c>
      <c r="AI42" s="185" cm="1">
        <f t="array" ref="AI42">IF(AI$7=-1,AJ42,IF(AI$7=99,AH42,IF(AI$7=0,INDEX($D42:$G42,0,AI$5),(INDEX($D42:$G42,0,AI$7+1)-INDEX($D42:$G42,0,AI$7))/(INDEX($D$4:$G$4,0,AI$7+1)-INDEX($D$4:$G$4,0,AI$7))+AH42)))</f>
        <v>1</v>
      </c>
      <c r="AJ42" s="185" cm="1">
        <f t="array" ref="AJ42">IF(AJ$7=-1,AK42,IF(AJ$7=99,AI42,IF(AJ$7=0,INDEX($D42:$G42,0,AJ$5),(INDEX($D42:$G42,0,AJ$7+1)-INDEX($D42:$G42,0,AJ$7))/(INDEX($D$4:$G$4,0,AJ$7+1)-INDEX($D$4:$G$4,0,AJ$7))+AI42)))</f>
        <v>1</v>
      </c>
      <c r="AK42" s="185" cm="1">
        <f t="array" ref="AK42">IF(AK$7=-1,AL42,IF(AK$7=99,AJ42,IF(AK$7=0,INDEX($D42:$G42,0,AK$5),(INDEX($D42:$G42,0,AK$7+1)-INDEX($D42:$G42,0,AK$7))/(INDEX($D$4:$G$4,0,AK$7+1)-INDEX($D$4:$G$4,0,AK$7))+AJ42)))</f>
        <v>1</v>
      </c>
      <c r="AL42" s="185" cm="1">
        <f t="array" ref="AL42">IF(AL$7=-1,AM42,IF(AL$7=99,AK42,IF(AL$7=0,INDEX($D42:$G42,0,AL$5),(INDEX($D42:$G42,0,AL$7+1)-INDEX($D42:$G42,0,AL$7))/(INDEX($D$4:$G$4,0,AL$7+1)-INDEX($D$4:$G$4,0,AL$7))+AK42)))</f>
        <v>1</v>
      </c>
      <c r="AM42" s="185" cm="1">
        <f t="array" ref="AM42">IF(AM$7=-1,AN42,IF(AM$7=99,AL42,IF(AM$7=0,INDEX($D42:$G42,0,AM$5),(INDEX($D42:$G42,0,AM$7+1)-INDEX($D42:$G42,0,AM$7))/(INDEX($D$4:$G$4,0,AM$7+1)-INDEX($D$4:$G$4,0,AM$7))+AL42)))</f>
        <v>1</v>
      </c>
      <c r="AN42" s="185" cm="1">
        <f t="array" ref="AN42">IF(AN$7=-1,AO42,IF(AN$7=99,AM42,IF(AN$7=0,INDEX($D42:$G42,0,AN$5),(INDEX($D42:$G42,0,AN$7+1)-INDEX($D42:$G42,0,AN$7))/(INDEX($D$4:$G$4,0,AN$7+1)-INDEX($D$4:$G$4,0,AN$7))+AM42)))</f>
        <v>1</v>
      </c>
      <c r="AO42" s="185" cm="1">
        <f t="array" ref="AO42">IF(AO$7=-1,AP42,IF(AO$7=99,AN42,IF(AO$7=0,INDEX($D42:$G42,0,AO$5),(INDEX($D42:$G42,0,AO$7+1)-INDEX($D42:$G42,0,AO$7))/(INDEX($D$4:$G$4,0,AO$7+1)-INDEX($D$4:$G$4,0,AO$7))+AN42)))</f>
        <v>1</v>
      </c>
      <c r="AP42" s="185" cm="1">
        <f t="array" ref="AP42">IF(AP$7=-1,AQ42,IF(AP$7=99,AO42,IF(AP$7=0,INDEX($D42:$G42,0,AP$5),(INDEX($D42:$G42,0,AP$7+1)-INDEX($D42:$G42,0,AP$7))/(INDEX($D$4:$G$4,0,AP$7+1)-INDEX($D$4:$G$4,0,AP$7))+AO42)))</f>
        <v>1</v>
      </c>
    </row>
    <row r="43" spans="1:42">
      <c r="A43" s="185" t="s">
        <v>16</v>
      </c>
      <c r="B43" s="186" t="str">
        <f t="shared" si="13"/>
        <v>IS</v>
      </c>
      <c r="C43" s="186" t="str">
        <f t="shared" si="13"/>
        <v>Iron &amp; Steel</v>
      </c>
      <c r="D43" s="185">
        <v>1</v>
      </c>
      <c r="E43" s="185">
        <v>1</v>
      </c>
      <c r="F43" s="185">
        <v>1</v>
      </c>
      <c r="G43" s="185">
        <v>1</v>
      </c>
      <c r="J43" s="185" cm="1">
        <f t="array" ref="J43">IF(J$7=-1,K43,IF(J$7=99,I43,IF(J$7=0,INDEX($D43:$G43,0,J$5),(INDEX($D43:$G43,0,J$7+1)-INDEX($D43:$G43,0,J$7))/(INDEX($D$4:$G$4,0,J$7+1)-INDEX($D$4:$G$4,0,J$7))+I43)))</f>
        <v>1</v>
      </c>
      <c r="K43" s="185" cm="1">
        <f t="array" ref="K43">IF(K$7=-1,L43,IF(K$7=99,J43,IF(K$7=0,INDEX($D43:$G43,0,K$5),(INDEX($D43:$G43,0,K$7+1)-INDEX($D43:$G43,0,K$7))/(INDEX($D$4:$G$4,0,K$7+1)-INDEX($D$4:$G$4,0,K$7))+J43)))</f>
        <v>1</v>
      </c>
      <c r="L43" s="185" cm="1">
        <f t="array" ref="L43">IF(L$7=-1,M43,IF(L$7=99,K43,IF(L$7=0,INDEX($D43:$G43,0,L$5),(INDEX($D43:$G43,0,L$7+1)-INDEX($D43:$G43,0,L$7))/(INDEX($D$4:$G$4,0,L$7+1)-INDEX($D$4:$G$4,0,L$7))+K43)))</f>
        <v>1</v>
      </c>
      <c r="M43" s="185" cm="1">
        <f t="array" ref="M43">IF(M$7=-1,N43,IF(M$7=99,L43,IF(M$7=0,INDEX($D43:$G43,0,M$5),(INDEX($D43:$G43,0,M$7+1)-INDEX($D43:$G43,0,M$7))/(INDEX($D$4:$G$4,0,M$7+1)-INDEX($D$4:$G$4,0,M$7))+L43)))</f>
        <v>1</v>
      </c>
      <c r="N43" s="185" cm="1">
        <f t="array" ref="N43">IF(N$7=-1,O43,IF(N$7=99,M43,IF(N$7=0,INDEX($D43:$G43,0,N$5),(INDEX($D43:$G43,0,N$7+1)-INDEX($D43:$G43,0,N$7))/(INDEX($D$4:$G$4,0,N$7+1)-INDEX($D$4:$G$4,0,N$7))+M43)))</f>
        <v>1</v>
      </c>
      <c r="O43" s="185" cm="1">
        <f t="array" ref="O43">IF(O$7=-1,P43,IF(O$7=99,N43,IF(O$7=0,INDEX($D43:$G43,0,O$5),(INDEX($D43:$G43,0,O$7+1)-INDEX($D43:$G43,0,O$7))/(INDEX($D$4:$G$4,0,O$7+1)-INDEX($D$4:$G$4,0,O$7))+N43)))</f>
        <v>1</v>
      </c>
      <c r="P43" s="185" cm="1">
        <f t="array" ref="P43">IF(P$7=-1,Q43,IF(P$7=99,O43,IF(P$7=0,INDEX($D43:$G43,0,P$5),(INDEX($D43:$G43,0,P$7+1)-INDEX($D43:$G43,0,P$7))/(INDEX($D$4:$G$4,0,P$7+1)-INDEX($D$4:$G$4,0,P$7))+O43)))</f>
        <v>1</v>
      </c>
      <c r="Q43" s="185" cm="1">
        <f t="array" ref="Q43">IF(Q$7=-1,R43,IF(Q$7=99,P43,IF(Q$7=0,INDEX($D43:$G43,0,Q$5),(INDEX($D43:$G43,0,Q$7+1)-INDEX($D43:$G43,0,Q$7))/(INDEX($D$4:$G$4,0,Q$7+1)-INDEX($D$4:$G$4,0,Q$7))+P43)))</f>
        <v>1</v>
      </c>
      <c r="R43" s="185" cm="1">
        <f t="array" ref="R43">IF(R$7=-1,S43,IF(R$7=99,Q43,IF(R$7=0,INDEX($D43:$G43,0,R$5),(INDEX($D43:$G43,0,R$7+1)-INDEX($D43:$G43,0,R$7))/(INDEX($D$4:$G$4,0,R$7+1)-INDEX($D$4:$G$4,0,R$7))+Q43)))</f>
        <v>1</v>
      </c>
      <c r="S43" s="185" cm="1">
        <f t="array" ref="S43">IF(S$7=-1,T43,IF(S$7=99,R43,IF(S$7=0,INDEX($D43:$G43,0,S$5),(INDEX($D43:$G43,0,S$7+1)-INDEX($D43:$G43,0,S$7))/(INDEX($D$4:$G$4,0,S$7+1)-INDEX($D$4:$G$4,0,S$7))+R43)))</f>
        <v>1</v>
      </c>
      <c r="T43" s="343">
        <f t="shared" ref="T43:AA43" si="16">IF(T$54=1,($AB43-$S43)/$AC$54+S43,$AB43)</f>
        <v>1</v>
      </c>
      <c r="U43" s="343">
        <f t="shared" si="16"/>
        <v>1</v>
      </c>
      <c r="V43" s="343">
        <f t="shared" si="16"/>
        <v>1</v>
      </c>
      <c r="W43" s="343">
        <f t="shared" si="16"/>
        <v>1</v>
      </c>
      <c r="X43" s="343">
        <f t="shared" si="16"/>
        <v>1</v>
      </c>
      <c r="Y43" s="343">
        <f t="shared" si="16"/>
        <v>1</v>
      </c>
      <c r="Z43" s="343">
        <f t="shared" si="16"/>
        <v>1</v>
      </c>
      <c r="AA43" s="343">
        <f t="shared" si="16"/>
        <v>1</v>
      </c>
      <c r="AB43" s="185" cm="1">
        <f t="array" ref="AB43">IF(AB$7=-1,AC43,IF(AB$7=99,AA43,IF(AB$7=0,INDEX($D43:$G43,0,AB$5),(INDEX($D43:$G43,0,AB$7+1)-INDEX($D43:$G43,0,AB$7))/(INDEX($D$4:$G$4,0,AB$7+1)-INDEX($D$4:$G$4,0,AB$7))+AA43)))</f>
        <v>1</v>
      </c>
      <c r="AC43" s="185" cm="1">
        <f t="array" ref="AC43">IF(AC$7=-1,AD43,IF(AC$7=99,AB43,IF(AC$7=0,INDEX($D43:$G43,0,AC$5),(INDEX($D43:$G43,0,AC$7+1)-INDEX($D43:$G43,0,AC$7))/(INDEX($D$4:$G$4,0,AC$7+1)-INDEX($D$4:$G$4,0,AC$7))+AB43)))</f>
        <v>1</v>
      </c>
      <c r="AD43" s="185" cm="1">
        <f t="array" ref="AD43">IF(AD$7=-1,AE43,IF(AD$7=99,AC43,IF(AD$7=0,INDEX($D43:$G43,0,AD$5),(INDEX($D43:$G43,0,AD$7+1)-INDEX($D43:$G43,0,AD$7))/(INDEX($D$4:$G$4,0,AD$7+1)-INDEX($D$4:$G$4,0,AD$7))+AC43)))</f>
        <v>1</v>
      </c>
      <c r="AE43" s="185" cm="1">
        <f t="array" ref="AE43">IF(AE$7=-1,AF43,IF(AE$7=99,AD43,IF(AE$7=0,INDEX($D43:$G43,0,AE$5),(INDEX($D43:$G43,0,AE$7+1)-INDEX($D43:$G43,0,AE$7))/(INDEX($D$4:$G$4,0,AE$7+1)-INDEX($D$4:$G$4,0,AE$7))+AD43)))</f>
        <v>1</v>
      </c>
      <c r="AF43" s="185" cm="1">
        <f t="array" ref="AF43">IF(AF$7=-1,AG43,IF(AF$7=99,AE43,IF(AF$7=0,INDEX($D43:$G43,0,AF$5),(INDEX($D43:$G43,0,AF$7+1)-INDEX($D43:$G43,0,AF$7))/(INDEX($D$4:$G$4,0,AF$7+1)-INDEX($D$4:$G$4,0,AF$7))+AE43)))</f>
        <v>1</v>
      </c>
      <c r="AG43" s="185" cm="1">
        <f t="array" ref="AG43">IF(AG$7=-1,AH43,IF(AG$7=99,AF43,IF(AG$7=0,INDEX($D43:$G43,0,AG$5),(INDEX($D43:$G43,0,AG$7+1)-INDEX($D43:$G43,0,AG$7))/(INDEX($D$4:$G$4,0,AG$7+1)-INDEX($D$4:$G$4,0,AG$7))+AF43)))</f>
        <v>1</v>
      </c>
      <c r="AH43" s="185" cm="1">
        <f t="array" ref="AH43">IF(AH$7=-1,AI43,IF(AH$7=99,AG43,IF(AH$7=0,INDEX($D43:$G43,0,AH$5),(INDEX($D43:$G43,0,AH$7+1)-INDEX($D43:$G43,0,AH$7))/(INDEX($D$4:$G$4,0,AH$7+1)-INDEX($D$4:$G$4,0,AH$7))+AG43)))</f>
        <v>1</v>
      </c>
      <c r="AI43" s="185" cm="1">
        <f t="array" ref="AI43">IF(AI$7=-1,AJ43,IF(AI$7=99,AH43,IF(AI$7=0,INDEX($D43:$G43,0,AI$5),(INDEX($D43:$G43,0,AI$7+1)-INDEX($D43:$G43,0,AI$7))/(INDEX($D$4:$G$4,0,AI$7+1)-INDEX($D$4:$G$4,0,AI$7))+AH43)))</f>
        <v>1</v>
      </c>
      <c r="AJ43" s="185" cm="1">
        <f t="array" ref="AJ43">IF(AJ$7=-1,AK43,IF(AJ$7=99,AI43,IF(AJ$7=0,INDEX($D43:$G43,0,AJ$5),(INDEX($D43:$G43,0,AJ$7+1)-INDEX($D43:$G43,0,AJ$7))/(INDEX($D$4:$G$4,0,AJ$7+1)-INDEX($D$4:$G$4,0,AJ$7))+AI43)))</f>
        <v>1</v>
      </c>
      <c r="AK43" s="185" cm="1">
        <f t="array" ref="AK43">IF(AK$7=-1,AL43,IF(AK$7=99,AJ43,IF(AK$7=0,INDEX($D43:$G43,0,AK$5),(INDEX($D43:$G43,0,AK$7+1)-INDEX($D43:$G43,0,AK$7))/(INDEX($D$4:$G$4,0,AK$7+1)-INDEX($D$4:$G$4,0,AK$7))+AJ43)))</f>
        <v>1</v>
      </c>
      <c r="AL43" s="185" cm="1">
        <f t="array" ref="AL43">IF(AL$7=-1,AM43,IF(AL$7=99,AK43,IF(AL$7=0,INDEX($D43:$G43,0,AL$5),(INDEX($D43:$G43,0,AL$7+1)-INDEX($D43:$G43,0,AL$7))/(INDEX($D$4:$G$4,0,AL$7+1)-INDEX($D$4:$G$4,0,AL$7))+AK43)))</f>
        <v>1</v>
      </c>
      <c r="AM43" s="185" cm="1">
        <f t="array" ref="AM43">IF(AM$7=-1,AN43,IF(AM$7=99,AL43,IF(AM$7=0,INDEX($D43:$G43,0,AM$5),(INDEX($D43:$G43,0,AM$7+1)-INDEX($D43:$G43,0,AM$7))/(INDEX($D$4:$G$4,0,AM$7+1)-INDEX($D$4:$G$4,0,AM$7))+AL43)))</f>
        <v>1</v>
      </c>
      <c r="AN43" s="185" cm="1">
        <f t="array" ref="AN43">IF(AN$7=-1,AO43,IF(AN$7=99,AM43,IF(AN$7=0,INDEX($D43:$G43,0,AN$5),(INDEX($D43:$G43,0,AN$7+1)-INDEX($D43:$G43,0,AN$7))/(INDEX($D$4:$G$4,0,AN$7+1)-INDEX($D$4:$G$4,0,AN$7))+AM43)))</f>
        <v>1</v>
      </c>
      <c r="AO43" s="185" cm="1">
        <f t="array" ref="AO43">IF(AO$7=-1,AP43,IF(AO$7=99,AN43,IF(AO$7=0,INDEX($D43:$G43,0,AO$5),(INDEX($D43:$G43,0,AO$7+1)-INDEX($D43:$G43,0,AO$7))/(INDEX($D$4:$G$4,0,AO$7+1)-INDEX($D$4:$G$4,0,AO$7))+AN43)))</f>
        <v>1</v>
      </c>
      <c r="AP43" s="185" cm="1">
        <f t="array" ref="AP43">IF(AP$7=-1,AQ43,IF(AP$7=99,AO43,IF(AP$7=0,INDEX($D43:$G43,0,AP$5),(INDEX($D43:$G43,0,AP$7+1)-INDEX($D43:$G43,0,AP$7))/(INDEX($D$4:$G$4,0,AP$7+1)-INDEX($D$4:$G$4,0,AP$7))+AO43)))</f>
        <v>1</v>
      </c>
    </row>
    <row r="44" spans="1:42">
      <c r="A44" s="185" t="s">
        <v>16</v>
      </c>
      <c r="B44" s="186" t="str">
        <f t="shared" si="13"/>
        <v>CP</v>
      </c>
      <c r="C44" s="186" t="str">
        <f t="shared" si="13"/>
        <v>Chemicals</v>
      </c>
      <c r="D44" s="185">
        <v>1</v>
      </c>
      <c r="E44" s="185">
        <v>1</v>
      </c>
      <c r="F44" s="185">
        <v>1</v>
      </c>
      <c r="G44" s="185">
        <v>1</v>
      </c>
      <c r="J44" s="185" cm="1">
        <f t="array" ref="J44">IF(J$7=-1,K44,IF(J$7=99,I44,IF(J$7=0,INDEX($D44:$G44,0,J$5),(INDEX($D44:$G44,0,J$7+1)-INDEX($D44:$G44,0,J$7))/(INDEX($D$4:$G$4,0,J$7+1)-INDEX($D$4:$G$4,0,J$7))+I44)))</f>
        <v>1</v>
      </c>
      <c r="K44" s="185" cm="1">
        <f t="array" ref="K44">IF(K$7=-1,L44,IF(K$7=99,J44,IF(K$7=0,INDEX($D44:$G44,0,K$5),(INDEX($D44:$G44,0,K$7+1)-INDEX($D44:$G44,0,K$7))/(INDEX($D$4:$G$4,0,K$7+1)-INDEX($D$4:$G$4,0,K$7))+J44)))</f>
        <v>1</v>
      </c>
      <c r="L44" s="185" cm="1">
        <f t="array" ref="L44">IF(L$7=-1,M44,IF(L$7=99,K44,IF(L$7=0,INDEX($D44:$G44,0,L$5),(INDEX($D44:$G44,0,L$7+1)-INDEX($D44:$G44,0,L$7))/(INDEX($D$4:$G$4,0,L$7+1)-INDEX($D$4:$G$4,0,L$7))+K44)))</f>
        <v>1</v>
      </c>
      <c r="M44" s="185" cm="1">
        <f t="array" ref="M44">IF(M$7=-1,N44,IF(M$7=99,L44,IF(M$7=0,INDEX($D44:$G44,0,M$5),(INDEX($D44:$G44,0,M$7+1)-INDEX($D44:$G44,0,M$7))/(INDEX($D$4:$G$4,0,M$7+1)-INDEX($D$4:$G$4,0,M$7))+L44)))</f>
        <v>1</v>
      </c>
      <c r="N44" s="185" cm="1">
        <f t="array" ref="N44">IF(N$7=-1,O44,IF(N$7=99,M44,IF(N$7=0,INDEX($D44:$G44,0,N$5),(INDEX($D44:$G44,0,N$7+1)-INDEX($D44:$G44,0,N$7))/(INDEX($D$4:$G$4,0,N$7+1)-INDEX($D$4:$G$4,0,N$7))+M44)))</f>
        <v>1</v>
      </c>
      <c r="O44" s="185" cm="1">
        <f t="array" ref="O44">IF(O$7=-1,P44,IF(O$7=99,N44,IF(O$7=0,INDEX($D44:$G44,0,O$5),(INDEX($D44:$G44,0,O$7+1)-INDEX($D44:$G44,0,O$7))/(INDEX($D$4:$G$4,0,O$7+1)-INDEX($D$4:$G$4,0,O$7))+N44)))</f>
        <v>1</v>
      </c>
      <c r="P44" s="185" cm="1">
        <f t="array" ref="P44">IF(P$7=-1,Q44,IF(P$7=99,O44,IF(P$7=0,INDEX($D44:$G44,0,P$5),(INDEX($D44:$G44,0,P$7+1)-INDEX($D44:$G44,0,P$7))/(INDEX($D$4:$G$4,0,P$7+1)-INDEX($D$4:$G$4,0,P$7))+O44)))</f>
        <v>1</v>
      </c>
      <c r="Q44" s="185" cm="1">
        <f t="array" ref="Q44">IF(Q$7=-1,R44,IF(Q$7=99,P44,IF(Q$7=0,INDEX($D44:$G44,0,Q$5),(INDEX($D44:$G44,0,Q$7+1)-INDEX($D44:$G44,0,Q$7))/(INDEX($D$4:$G$4,0,Q$7+1)-INDEX($D$4:$G$4,0,Q$7))+P44)))</f>
        <v>1</v>
      </c>
      <c r="R44" s="185" cm="1">
        <f t="array" ref="R44">IF(R$7=-1,S44,IF(R$7=99,Q44,IF(R$7=0,INDEX($D44:$G44,0,R$5),(INDEX($D44:$G44,0,R$7+1)-INDEX($D44:$G44,0,R$7))/(INDEX($D$4:$G$4,0,R$7+1)-INDEX($D$4:$G$4,0,R$7))+Q44)))</f>
        <v>1</v>
      </c>
      <c r="S44" s="214">
        <v>1.054</v>
      </c>
      <c r="T44" s="343">
        <f t="shared" ref="T44:AA44" si="17">IF(T$54=1,($AB44-$S44)/$AC$54+S44,$AB44)</f>
        <v>1.0405</v>
      </c>
      <c r="U44" s="343">
        <f t="shared" si="17"/>
        <v>1.0269999999999999</v>
      </c>
      <c r="V44" s="343">
        <f t="shared" si="17"/>
        <v>1.0134999999999998</v>
      </c>
      <c r="W44" s="343">
        <f t="shared" si="17"/>
        <v>0.99999999999999978</v>
      </c>
      <c r="X44" s="343">
        <f t="shared" si="17"/>
        <v>1</v>
      </c>
      <c r="Y44" s="343">
        <f t="shared" si="17"/>
        <v>1</v>
      </c>
      <c r="Z44" s="343">
        <f t="shared" si="17"/>
        <v>1</v>
      </c>
      <c r="AA44" s="343">
        <f t="shared" si="17"/>
        <v>1</v>
      </c>
      <c r="AB44" s="185" cm="1">
        <f t="array" ref="AB44">IF(AB$7=-1,AC44,IF(AB$7=99,AA44,IF(AB$7=0,INDEX($D44:$G44,0,AB$5),(INDEX($D44:$G44,0,AB$7+1)-INDEX($D44:$G44,0,AB$7))/(INDEX($D$4:$G$4,0,AB$7+1)-INDEX($D$4:$G$4,0,AB$7))+AA44)))</f>
        <v>1</v>
      </c>
      <c r="AC44" s="185" cm="1">
        <f t="array" ref="AC44">IF(AC$7=-1,AD44,IF(AC$7=99,AB44,IF(AC$7=0,INDEX($D44:$G44,0,AC$5),(INDEX($D44:$G44,0,AC$7+1)-INDEX($D44:$G44,0,AC$7))/(INDEX($D$4:$G$4,0,AC$7+1)-INDEX($D$4:$G$4,0,AC$7))+AB44)))</f>
        <v>1</v>
      </c>
      <c r="AD44" s="185" cm="1">
        <f t="array" ref="AD44">IF(AD$7=-1,AE44,IF(AD$7=99,AC44,IF(AD$7=0,INDEX($D44:$G44,0,AD$5),(INDEX($D44:$G44,0,AD$7+1)-INDEX($D44:$G44,0,AD$7))/(INDEX($D$4:$G$4,0,AD$7+1)-INDEX($D$4:$G$4,0,AD$7))+AC44)))</f>
        <v>1</v>
      </c>
      <c r="AE44" s="185" cm="1">
        <f t="array" ref="AE44">IF(AE$7=-1,AF44,IF(AE$7=99,AD44,IF(AE$7=0,INDEX($D44:$G44,0,AE$5),(INDEX($D44:$G44,0,AE$7+1)-INDEX($D44:$G44,0,AE$7))/(INDEX($D$4:$G$4,0,AE$7+1)-INDEX($D$4:$G$4,0,AE$7))+AD44)))</f>
        <v>1</v>
      </c>
      <c r="AF44" s="185" cm="1">
        <f t="array" ref="AF44">IF(AF$7=-1,AG44,IF(AF$7=99,AE44,IF(AF$7=0,INDEX($D44:$G44,0,AF$5),(INDEX($D44:$G44,0,AF$7+1)-INDEX($D44:$G44,0,AF$7))/(INDEX($D$4:$G$4,0,AF$7+1)-INDEX($D$4:$G$4,0,AF$7))+AE44)))</f>
        <v>1</v>
      </c>
      <c r="AG44" s="185" cm="1">
        <f t="array" ref="AG44">IF(AG$7=-1,AH44,IF(AG$7=99,AF44,IF(AG$7=0,INDEX($D44:$G44,0,AG$5),(INDEX($D44:$G44,0,AG$7+1)-INDEX($D44:$G44,0,AG$7))/(INDEX($D$4:$G$4,0,AG$7+1)-INDEX($D$4:$G$4,0,AG$7))+AF44)))</f>
        <v>1</v>
      </c>
      <c r="AH44" s="185" cm="1">
        <f t="array" ref="AH44">IF(AH$7=-1,AI44,IF(AH$7=99,AG44,IF(AH$7=0,INDEX($D44:$G44,0,AH$5),(INDEX($D44:$G44,0,AH$7+1)-INDEX($D44:$G44,0,AH$7))/(INDEX($D$4:$G$4,0,AH$7+1)-INDEX($D$4:$G$4,0,AH$7))+AG44)))</f>
        <v>1</v>
      </c>
      <c r="AI44" s="185" cm="1">
        <f t="array" ref="AI44">IF(AI$7=-1,AJ44,IF(AI$7=99,AH44,IF(AI$7=0,INDEX($D44:$G44,0,AI$5),(INDEX($D44:$G44,0,AI$7+1)-INDEX($D44:$G44,0,AI$7))/(INDEX($D$4:$G$4,0,AI$7+1)-INDEX($D$4:$G$4,0,AI$7))+AH44)))</f>
        <v>1</v>
      </c>
      <c r="AJ44" s="185" cm="1">
        <f t="array" ref="AJ44">IF(AJ$7=-1,AK44,IF(AJ$7=99,AI44,IF(AJ$7=0,INDEX($D44:$G44,0,AJ$5),(INDEX($D44:$G44,0,AJ$7+1)-INDEX($D44:$G44,0,AJ$7))/(INDEX($D$4:$G$4,0,AJ$7+1)-INDEX($D$4:$G$4,0,AJ$7))+AI44)))</f>
        <v>1</v>
      </c>
      <c r="AK44" s="185" cm="1">
        <f t="array" ref="AK44">IF(AK$7=-1,AL44,IF(AK$7=99,AJ44,IF(AK$7=0,INDEX($D44:$G44,0,AK$5),(INDEX($D44:$G44,0,AK$7+1)-INDEX($D44:$G44,0,AK$7))/(INDEX($D$4:$G$4,0,AK$7+1)-INDEX($D$4:$G$4,0,AK$7))+AJ44)))</f>
        <v>1</v>
      </c>
      <c r="AL44" s="185" cm="1">
        <f t="array" ref="AL44">IF(AL$7=-1,AM44,IF(AL$7=99,AK44,IF(AL$7=0,INDEX($D44:$G44,0,AL$5),(INDEX($D44:$G44,0,AL$7+1)-INDEX($D44:$G44,0,AL$7))/(INDEX($D$4:$G$4,0,AL$7+1)-INDEX($D$4:$G$4,0,AL$7))+AK44)))</f>
        <v>1</v>
      </c>
      <c r="AM44" s="185" cm="1">
        <f t="array" ref="AM44">IF(AM$7=-1,AN44,IF(AM$7=99,AL44,IF(AM$7=0,INDEX($D44:$G44,0,AM$5),(INDEX($D44:$G44,0,AM$7+1)-INDEX($D44:$G44,0,AM$7))/(INDEX($D$4:$G$4,0,AM$7+1)-INDEX($D$4:$G$4,0,AM$7))+AL44)))</f>
        <v>1</v>
      </c>
      <c r="AN44" s="185" cm="1">
        <f t="array" ref="AN44">IF(AN$7=-1,AO44,IF(AN$7=99,AM44,IF(AN$7=0,INDEX($D44:$G44,0,AN$5),(INDEX($D44:$G44,0,AN$7+1)-INDEX($D44:$G44,0,AN$7))/(INDEX($D$4:$G$4,0,AN$7+1)-INDEX($D$4:$G$4,0,AN$7))+AM44)))</f>
        <v>1</v>
      </c>
      <c r="AO44" s="185" cm="1">
        <f t="array" ref="AO44">IF(AO$7=-1,AP44,IF(AO$7=99,AN44,IF(AO$7=0,INDEX($D44:$G44,0,AO$5),(INDEX($D44:$G44,0,AO$7+1)-INDEX($D44:$G44,0,AO$7))/(INDEX($D$4:$G$4,0,AO$7+1)-INDEX($D$4:$G$4,0,AO$7))+AN44)))</f>
        <v>1</v>
      </c>
      <c r="AP44" s="185" cm="1">
        <f t="array" ref="AP44">IF(AP$7=-1,AQ44,IF(AP$7=99,AO44,IF(AP$7=0,INDEX($D44:$G44,0,AP$5),(INDEX($D44:$G44,0,AP$7+1)-INDEX($D44:$G44,0,AP$7))/(INDEX($D$4:$G$4,0,AP$7+1)-INDEX($D$4:$G$4,0,AP$7))+AO44)))</f>
        <v>1</v>
      </c>
    </row>
    <row r="45" spans="1:42">
      <c r="A45" s="185" t="s">
        <v>16</v>
      </c>
      <c r="B45" s="186" t="str">
        <f t="shared" si="13"/>
        <v>NF</v>
      </c>
      <c r="C45" s="186" t="str">
        <f t="shared" si="13"/>
        <v>Precious &amp; Non-Ferrous metals</v>
      </c>
      <c r="D45" s="185">
        <v>1</v>
      </c>
      <c r="E45" s="185">
        <v>1</v>
      </c>
      <c r="F45" s="185">
        <v>1</v>
      </c>
      <c r="G45" s="185">
        <v>1</v>
      </c>
      <c r="J45" s="185" cm="1">
        <f t="array" ref="J45">IF(J$7=-1,K45,IF(J$7=99,I45,IF(J$7=0,INDEX($D45:$G45,0,J$5),(INDEX($D45:$G45,0,J$7+1)-INDEX($D45:$G45,0,J$7))/(INDEX($D$4:$G$4,0,J$7+1)-INDEX($D$4:$G$4,0,J$7))+I45)))</f>
        <v>1</v>
      </c>
      <c r="K45" s="185" cm="1">
        <f t="array" ref="K45">IF(K$7=-1,L45,IF(K$7=99,J45,IF(K$7=0,INDEX($D45:$G45,0,K$5),(INDEX($D45:$G45,0,K$7+1)-INDEX($D45:$G45,0,K$7))/(INDEX($D$4:$G$4,0,K$7+1)-INDEX($D$4:$G$4,0,K$7))+J45)))</f>
        <v>1</v>
      </c>
      <c r="L45" s="185" cm="1">
        <f t="array" ref="L45">IF(L$7=-1,M45,IF(L$7=99,K45,IF(L$7=0,INDEX($D45:$G45,0,L$5),(INDEX($D45:$G45,0,L$7+1)-INDEX($D45:$G45,0,L$7))/(INDEX($D$4:$G$4,0,L$7+1)-INDEX($D$4:$G$4,0,L$7))+K45)))</f>
        <v>1</v>
      </c>
      <c r="M45" s="185" cm="1">
        <f t="array" ref="M45">IF(M$7=-1,N45,IF(M$7=99,L45,IF(M$7=0,INDEX($D45:$G45,0,M$5),(INDEX($D45:$G45,0,M$7+1)-INDEX($D45:$G45,0,M$7))/(INDEX($D$4:$G$4,0,M$7+1)-INDEX($D$4:$G$4,0,M$7))+L45)))</f>
        <v>1</v>
      </c>
      <c r="N45" s="185" cm="1">
        <f t="array" ref="N45">IF(N$7=-1,O45,IF(N$7=99,M45,IF(N$7=0,INDEX($D45:$G45,0,N$5),(INDEX($D45:$G45,0,N$7+1)-INDEX($D45:$G45,0,N$7))/(INDEX($D$4:$G$4,0,N$7+1)-INDEX($D$4:$G$4,0,N$7))+M45)))</f>
        <v>1</v>
      </c>
      <c r="O45" s="185" cm="1">
        <f t="array" ref="O45">IF(O$7=-1,P45,IF(O$7=99,N45,IF(O$7=0,INDEX($D45:$G45,0,O$5),(INDEX($D45:$G45,0,O$7+1)-INDEX($D45:$G45,0,O$7))/(INDEX($D$4:$G$4,0,O$7+1)-INDEX($D$4:$G$4,0,O$7))+N45)))</f>
        <v>1</v>
      </c>
      <c r="P45" s="185" cm="1">
        <f t="array" ref="P45">IF(P$7=-1,Q45,IF(P$7=99,O45,IF(P$7=0,INDEX($D45:$G45,0,P$5),(INDEX($D45:$G45,0,P$7+1)-INDEX($D45:$G45,0,P$7))/(INDEX($D$4:$G$4,0,P$7+1)-INDEX($D$4:$G$4,0,P$7))+O45)))</f>
        <v>1</v>
      </c>
      <c r="Q45" s="185" cm="1">
        <f t="array" ref="Q45">IF(Q$7=-1,R45,IF(Q$7=99,P45,IF(Q$7=0,INDEX($D45:$G45,0,Q$5),(INDEX($D45:$G45,0,Q$7+1)-INDEX($D45:$G45,0,Q$7))/(INDEX($D$4:$G$4,0,Q$7+1)-INDEX($D$4:$G$4,0,Q$7))+P45)))</f>
        <v>1</v>
      </c>
      <c r="R45" s="185" cm="1">
        <f t="array" ref="R45">IF(R$7=-1,S45,IF(R$7=99,Q45,IF(R$7=0,INDEX($D45:$G45,0,R$5),(INDEX($D45:$G45,0,R$7+1)-INDEX($D45:$G45,0,R$7))/(INDEX($D$4:$G$4,0,R$7+1)-INDEX($D$4:$G$4,0,R$7))+Q45)))</f>
        <v>1</v>
      </c>
      <c r="S45" s="214">
        <v>1.1000000000000001</v>
      </c>
      <c r="T45" s="343">
        <f t="shared" ref="T45:AA45" si="18">IF(T$54=1,($AB45-$S45)/$AC$54+S45,$AB45)</f>
        <v>1.0750000000000002</v>
      </c>
      <c r="U45" s="343">
        <f t="shared" si="18"/>
        <v>1.0500000000000003</v>
      </c>
      <c r="V45" s="343">
        <f t="shared" si="18"/>
        <v>1.0250000000000004</v>
      </c>
      <c r="W45" s="343">
        <f t="shared" si="18"/>
        <v>1.0000000000000004</v>
      </c>
      <c r="X45" s="343">
        <f t="shared" si="18"/>
        <v>1</v>
      </c>
      <c r="Y45" s="343">
        <f t="shared" si="18"/>
        <v>1</v>
      </c>
      <c r="Z45" s="343">
        <f t="shared" si="18"/>
        <v>1</v>
      </c>
      <c r="AA45" s="343">
        <f t="shared" si="18"/>
        <v>1</v>
      </c>
      <c r="AB45" s="185" cm="1">
        <f t="array" ref="AB45">IF(AB$7=-1,AC45,IF(AB$7=99,AA45,IF(AB$7=0,INDEX($D45:$G45,0,AB$5),(INDEX($D45:$G45,0,AB$7+1)-INDEX($D45:$G45,0,AB$7))/(INDEX($D$4:$G$4,0,AB$7+1)-INDEX($D$4:$G$4,0,AB$7))+AA45)))</f>
        <v>1</v>
      </c>
      <c r="AC45" s="185" cm="1">
        <f t="array" ref="AC45">IF(AC$7=-1,AD45,IF(AC$7=99,AB45,IF(AC$7=0,INDEX($D45:$G45,0,AC$5),(INDEX($D45:$G45,0,AC$7+1)-INDEX($D45:$G45,0,AC$7))/(INDEX($D$4:$G$4,0,AC$7+1)-INDEX($D$4:$G$4,0,AC$7))+AB45)))</f>
        <v>1</v>
      </c>
      <c r="AD45" s="185" cm="1">
        <f t="array" ref="AD45">IF(AD$7=-1,AE45,IF(AD$7=99,AC45,IF(AD$7=0,INDEX($D45:$G45,0,AD$5),(INDEX($D45:$G45,0,AD$7+1)-INDEX($D45:$G45,0,AD$7))/(INDEX($D$4:$G$4,0,AD$7+1)-INDEX($D$4:$G$4,0,AD$7))+AC45)))</f>
        <v>1</v>
      </c>
      <c r="AE45" s="185" cm="1">
        <f t="array" ref="AE45">IF(AE$7=-1,AF45,IF(AE$7=99,AD45,IF(AE$7=0,INDEX($D45:$G45,0,AE$5),(INDEX($D45:$G45,0,AE$7+1)-INDEX($D45:$G45,0,AE$7))/(INDEX($D$4:$G$4,0,AE$7+1)-INDEX($D$4:$G$4,0,AE$7))+AD45)))</f>
        <v>1</v>
      </c>
      <c r="AF45" s="185" cm="1">
        <f t="array" ref="AF45">IF(AF$7=-1,AG45,IF(AF$7=99,AE45,IF(AF$7=0,INDEX($D45:$G45,0,AF$5),(INDEX($D45:$G45,0,AF$7+1)-INDEX($D45:$G45,0,AF$7))/(INDEX($D$4:$G$4,0,AF$7+1)-INDEX($D$4:$G$4,0,AF$7))+AE45)))</f>
        <v>1</v>
      </c>
      <c r="AG45" s="185" cm="1">
        <f t="array" ref="AG45">IF(AG$7=-1,AH45,IF(AG$7=99,AF45,IF(AG$7=0,INDEX($D45:$G45,0,AG$5),(INDEX($D45:$G45,0,AG$7+1)-INDEX($D45:$G45,0,AG$7))/(INDEX($D$4:$G$4,0,AG$7+1)-INDEX($D$4:$G$4,0,AG$7))+AF45)))</f>
        <v>1</v>
      </c>
      <c r="AH45" s="185" cm="1">
        <f t="array" ref="AH45">IF(AH$7=-1,AI45,IF(AH$7=99,AG45,IF(AH$7=0,INDEX($D45:$G45,0,AH$5),(INDEX($D45:$G45,0,AH$7+1)-INDEX($D45:$G45,0,AH$7))/(INDEX($D$4:$G$4,0,AH$7+1)-INDEX($D$4:$G$4,0,AH$7))+AG45)))</f>
        <v>1</v>
      </c>
      <c r="AI45" s="185" cm="1">
        <f t="array" ref="AI45">IF(AI$7=-1,AJ45,IF(AI$7=99,AH45,IF(AI$7=0,INDEX($D45:$G45,0,AI$5),(INDEX($D45:$G45,0,AI$7+1)-INDEX($D45:$G45,0,AI$7))/(INDEX($D$4:$G$4,0,AI$7+1)-INDEX($D$4:$G$4,0,AI$7))+AH45)))</f>
        <v>1</v>
      </c>
      <c r="AJ45" s="185" cm="1">
        <f t="array" ref="AJ45">IF(AJ$7=-1,AK45,IF(AJ$7=99,AI45,IF(AJ$7=0,INDEX($D45:$G45,0,AJ$5),(INDEX($D45:$G45,0,AJ$7+1)-INDEX($D45:$G45,0,AJ$7))/(INDEX($D$4:$G$4,0,AJ$7+1)-INDEX($D$4:$G$4,0,AJ$7))+AI45)))</f>
        <v>1</v>
      </c>
      <c r="AK45" s="185" cm="1">
        <f t="array" ref="AK45">IF(AK$7=-1,AL45,IF(AK$7=99,AJ45,IF(AK$7=0,INDEX($D45:$G45,0,AK$5),(INDEX($D45:$G45,0,AK$7+1)-INDEX($D45:$G45,0,AK$7))/(INDEX($D$4:$G$4,0,AK$7+1)-INDEX($D$4:$G$4,0,AK$7))+AJ45)))</f>
        <v>1</v>
      </c>
      <c r="AL45" s="185" cm="1">
        <f t="array" ref="AL45">IF(AL$7=-1,AM45,IF(AL$7=99,AK45,IF(AL$7=0,INDEX($D45:$G45,0,AL$5),(INDEX($D45:$G45,0,AL$7+1)-INDEX($D45:$G45,0,AL$7))/(INDEX($D$4:$G$4,0,AL$7+1)-INDEX($D$4:$G$4,0,AL$7))+AK45)))</f>
        <v>1</v>
      </c>
      <c r="AM45" s="185" cm="1">
        <f t="array" ref="AM45">IF(AM$7=-1,AN45,IF(AM$7=99,AL45,IF(AM$7=0,INDEX($D45:$G45,0,AM$5),(INDEX($D45:$G45,0,AM$7+1)-INDEX($D45:$G45,0,AM$7))/(INDEX($D$4:$G$4,0,AM$7+1)-INDEX($D$4:$G$4,0,AM$7))+AL45)))</f>
        <v>1</v>
      </c>
      <c r="AN45" s="185" cm="1">
        <f t="array" ref="AN45">IF(AN$7=-1,AO45,IF(AN$7=99,AM45,IF(AN$7=0,INDEX($D45:$G45,0,AN$5),(INDEX($D45:$G45,0,AN$7+1)-INDEX($D45:$G45,0,AN$7))/(INDEX($D$4:$G$4,0,AN$7+1)-INDEX($D$4:$G$4,0,AN$7))+AM45)))</f>
        <v>1</v>
      </c>
      <c r="AO45" s="185" cm="1">
        <f t="array" ref="AO45">IF(AO$7=-1,AP45,IF(AO$7=99,AN45,IF(AO$7=0,INDEX($D45:$G45,0,AO$5),(INDEX($D45:$G45,0,AO$7+1)-INDEX($D45:$G45,0,AO$7))/(INDEX($D$4:$G$4,0,AO$7+1)-INDEX($D$4:$G$4,0,AO$7))+AN45)))</f>
        <v>1</v>
      </c>
      <c r="AP45" s="185" cm="1">
        <f t="array" ref="AP45">IF(AP$7=-1,AQ45,IF(AP$7=99,AO45,IF(AP$7=0,INDEX($D45:$G45,0,AP$5),(INDEX($D45:$G45,0,AP$7+1)-INDEX($D45:$G45,0,AP$7))/(INDEX($D$4:$G$4,0,AP$7+1)-INDEX($D$4:$G$4,0,AP$7))+AO45)))</f>
        <v>1</v>
      </c>
    </row>
    <row r="46" spans="1:42">
      <c r="A46" s="185" t="s">
        <v>16</v>
      </c>
      <c r="B46" s="186" t="str">
        <f t="shared" si="13"/>
        <v>NM</v>
      </c>
      <c r="C46" s="186" t="str">
        <f t="shared" si="13"/>
        <v>N.M.M Products</v>
      </c>
      <c r="D46" s="185">
        <v>1</v>
      </c>
      <c r="E46" s="185">
        <v>1</v>
      </c>
      <c r="F46" s="185">
        <v>1</v>
      </c>
      <c r="G46" s="185">
        <v>1</v>
      </c>
      <c r="J46" s="185" cm="1">
        <f t="array" ref="J46">IF(J$7=-1,K46,IF(J$7=99,I46,IF(J$7=0,INDEX($D46:$G46,0,J$5),(INDEX($D46:$G46,0,J$7+1)-INDEX($D46:$G46,0,J$7))/(INDEX($D$4:$G$4,0,J$7+1)-INDEX($D$4:$G$4,0,J$7))+I46)))</f>
        <v>1</v>
      </c>
      <c r="K46" s="185" cm="1">
        <f t="array" ref="K46">IF(K$7=-1,L46,IF(K$7=99,J46,IF(K$7=0,INDEX($D46:$G46,0,K$5),(INDEX($D46:$G46,0,K$7+1)-INDEX($D46:$G46,0,K$7))/(INDEX($D$4:$G$4,0,K$7+1)-INDEX($D$4:$G$4,0,K$7))+J46)))</f>
        <v>1</v>
      </c>
      <c r="L46" s="185" cm="1">
        <f t="array" ref="L46">IF(L$7=-1,M46,IF(L$7=99,K46,IF(L$7=0,INDEX($D46:$G46,0,L$5),(INDEX($D46:$G46,0,L$7+1)-INDEX($D46:$G46,0,L$7))/(INDEX($D$4:$G$4,0,L$7+1)-INDEX($D$4:$G$4,0,L$7))+K46)))</f>
        <v>1</v>
      </c>
      <c r="M46" s="185" cm="1">
        <f t="array" ref="M46">IF(M$7=-1,N46,IF(M$7=99,L46,IF(M$7=0,INDEX($D46:$G46,0,M$5),(INDEX($D46:$G46,0,M$7+1)-INDEX($D46:$G46,0,M$7))/(INDEX($D$4:$G$4,0,M$7+1)-INDEX($D$4:$G$4,0,M$7))+L46)))</f>
        <v>1</v>
      </c>
      <c r="N46" s="185" cm="1">
        <f t="array" ref="N46">IF(N$7=-1,O46,IF(N$7=99,M46,IF(N$7=0,INDEX($D46:$G46,0,N$5),(INDEX($D46:$G46,0,N$7+1)-INDEX($D46:$G46,0,N$7))/(INDEX($D$4:$G$4,0,N$7+1)-INDEX($D$4:$G$4,0,N$7))+M46)))</f>
        <v>1</v>
      </c>
      <c r="O46" s="185" cm="1">
        <f t="array" ref="O46">IF(O$7=-1,P46,IF(O$7=99,N46,IF(O$7=0,INDEX($D46:$G46,0,O$5),(INDEX($D46:$G46,0,O$7+1)-INDEX($D46:$G46,0,O$7))/(INDEX($D$4:$G$4,0,O$7+1)-INDEX($D$4:$G$4,0,O$7))+N46)))</f>
        <v>1</v>
      </c>
      <c r="P46" s="185" cm="1">
        <f t="array" ref="P46">IF(P$7=-1,Q46,IF(P$7=99,O46,IF(P$7=0,INDEX($D46:$G46,0,P$5),(INDEX($D46:$G46,0,P$7+1)-INDEX($D46:$G46,0,P$7))/(INDEX($D$4:$G$4,0,P$7+1)-INDEX($D$4:$G$4,0,P$7))+O46)))</f>
        <v>1</v>
      </c>
      <c r="Q46" s="185" cm="1">
        <f t="array" ref="Q46">IF(Q$7=-1,R46,IF(Q$7=99,P46,IF(Q$7=0,INDEX($D46:$G46,0,Q$5),(INDEX($D46:$G46,0,Q$7+1)-INDEX($D46:$G46,0,Q$7))/(INDEX($D$4:$G$4,0,Q$7+1)-INDEX($D$4:$G$4,0,Q$7))+P46)))</f>
        <v>1</v>
      </c>
      <c r="R46" s="185" cm="1">
        <f t="array" ref="R46">IF(R$7=-1,S46,IF(R$7=99,Q46,IF(R$7=0,INDEX($D46:$G46,0,R$5),(INDEX($D46:$G46,0,R$7+1)-INDEX($D46:$G46,0,R$7))/(INDEX($D$4:$G$4,0,R$7+1)-INDEX($D$4:$G$4,0,R$7))+Q46)))</f>
        <v>1</v>
      </c>
      <c r="S46" s="185" cm="1">
        <f t="array" ref="S46">IF(S$7=-1,T46,IF(S$7=99,R46,IF(S$7=0,INDEX($D46:$G46,0,S$5),(INDEX($D46:$G46,0,S$7+1)-INDEX($D46:$G46,0,S$7))/(INDEX($D$4:$G$4,0,S$7+1)-INDEX($D$4:$G$4,0,S$7))+R46)))</f>
        <v>1</v>
      </c>
      <c r="T46" s="343">
        <f t="shared" ref="T46:AA46" si="19">IF(T$54=1,($AB46-$S46)/$AC$54+S46,$AB46)</f>
        <v>1</v>
      </c>
      <c r="U46" s="343">
        <f t="shared" si="19"/>
        <v>1</v>
      </c>
      <c r="V46" s="343">
        <f t="shared" si="19"/>
        <v>1</v>
      </c>
      <c r="W46" s="343">
        <f t="shared" si="19"/>
        <v>1</v>
      </c>
      <c r="X46" s="343">
        <f t="shared" si="19"/>
        <v>1</v>
      </c>
      <c r="Y46" s="343">
        <f t="shared" si="19"/>
        <v>1</v>
      </c>
      <c r="Z46" s="343">
        <f t="shared" si="19"/>
        <v>1</v>
      </c>
      <c r="AA46" s="343">
        <f t="shared" si="19"/>
        <v>1</v>
      </c>
      <c r="AB46" s="185" cm="1">
        <f t="array" ref="AB46">IF(AB$7=-1,AC46,IF(AB$7=99,AA46,IF(AB$7=0,INDEX($D46:$G46,0,AB$5),(INDEX($D46:$G46,0,AB$7+1)-INDEX($D46:$G46,0,AB$7))/(INDEX($D$4:$G$4,0,AB$7+1)-INDEX($D$4:$G$4,0,AB$7))+AA46)))</f>
        <v>1</v>
      </c>
      <c r="AC46" s="185" cm="1">
        <f t="array" ref="AC46">IF(AC$7=-1,AD46,IF(AC$7=99,AB46,IF(AC$7=0,INDEX($D46:$G46,0,AC$5),(INDEX($D46:$G46,0,AC$7+1)-INDEX($D46:$G46,0,AC$7))/(INDEX($D$4:$G$4,0,AC$7+1)-INDEX($D$4:$G$4,0,AC$7))+AB46)))</f>
        <v>1</v>
      </c>
      <c r="AD46" s="185" cm="1">
        <f t="array" ref="AD46">IF(AD$7=-1,AE46,IF(AD$7=99,AC46,IF(AD$7=0,INDEX($D46:$G46,0,AD$5),(INDEX($D46:$G46,0,AD$7+1)-INDEX($D46:$G46,0,AD$7))/(INDEX($D$4:$G$4,0,AD$7+1)-INDEX($D$4:$G$4,0,AD$7))+AC46)))</f>
        <v>1</v>
      </c>
      <c r="AE46" s="185" cm="1">
        <f t="array" ref="AE46">IF(AE$7=-1,AF46,IF(AE$7=99,AD46,IF(AE$7=0,INDEX($D46:$G46,0,AE$5),(INDEX($D46:$G46,0,AE$7+1)-INDEX($D46:$G46,0,AE$7))/(INDEX($D$4:$G$4,0,AE$7+1)-INDEX($D$4:$G$4,0,AE$7))+AD46)))</f>
        <v>1</v>
      </c>
      <c r="AF46" s="185" cm="1">
        <f t="array" ref="AF46">IF(AF$7=-1,AG46,IF(AF$7=99,AE46,IF(AF$7=0,INDEX($D46:$G46,0,AF$5),(INDEX($D46:$G46,0,AF$7+1)-INDEX($D46:$G46,0,AF$7))/(INDEX($D$4:$G$4,0,AF$7+1)-INDEX($D$4:$G$4,0,AF$7))+AE46)))</f>
        <v>1</v>
      </c>
      <c r="AG46" s="185" cm="1">
        <f t="array" ref="AG46">IF(AG$7=-1,AH46,IF(AG$7=99,AF46,IF(AG$7=0,INDEX($D46:$G46,0,AG$5),(INDEX($D46:$G46,0,AG$7+1)-INDEX($D46:$G46,0,AG$7))/(INDEX($D$4:$G$4,0,AG$7+1)-INDEX($D$4:$G$4,0,AG$7))+AF46)))</f>
        <v>1</v>
      </c>
      <c r="AH46" s="185" cm="1">
        <f t="array" ref="AH46">IF(AH$7=-1,AI46,IF(AH$7=99,AG46,IF(AH$7=0,INDEX($D46:$G46,0,AH$5),(INDEX($D46:$G46,0,AH$7+1)-INDEX($D46:$G46,0,AH$7))/(INDEX($D$4:$G$4,0,AH$7+1)-INDEX($D$4:$G$4,0,AH$7))+AG46)))</f>
        <v>1</v>
      </c>
      <c r="AI46" s="185" cm="1">
        <f t="array" ref="AI46">IF(AI$7=-1,AJ46,IF(AI$7=99,AH46,IF(AI$7=0,INDEX($D46:$G46,0,AI$5),(INDEX($D46:$G46,0,AI$7+1)-INDEX($D46:$G46,0,AI$7))/(INDEX($D$4:$G$4,0,AI$7+1)-INDEX($D$4:$G$4,0,AI$7))+AH46)))</f>
        <v>1</v>
      </c>
      <c r="AJ46" s="185" cm="1">
        <f t="array" ref="AJ46">IF(AJ$7=-1,AK46,IF(AJ$7=99,AI46,IF(AJ$7=0,INDEX($D46:$G46,0,AJ$5),(INDEX($D46:$G46,0,AJ$7+1)-INDEX($D46:$G46,0,AJ$7))/(INDEX($D$4:$G$4,0,AJ$7+1)-INDEX($D$4:$G$4,0,AJ$7))+AI46)))</f>
        <v>1</v>
      </c>
      <c r="AK46" s="185" cm="1">
        <f t="array" ref="AK46">IF(AK$7=-1,AL46,IF(AK$7=99,AJ46,IF(AK$7=0,INDEX($D46:$G46,0,AK$5),(INDEX($D46:$G46,0,AK$7+1)-INDEX($D46:$G46,0,AK$7))/(INDEX($D$4:$G$4,0,AK$7+1)-INDEX($D$4:$G$4,0,AK$7))+AJ46)))</f>
        <v>1</v>
      </c>
      <c r="AL46" s="185" cm="1">
        <f t="array" ref="AL46">IF(AL$7=-1,AM46,IF(AL$7=99,AK46,IF(AL$7=0,INDEX($D46:$G46,0,AL$5),(INDEX($D46:$G46,0,AL$7+1)-INDEX($D46:$G46,0,AL$7))/(INDEX($D$4:$G$4,0,AL$7+1)-INDEX($D$4:$G$4,0,AL$7))+AK46)))</f>
        <v>1</v>
      </c>
      <c r="AM46" s="185" cm="1">
        <f t="array" ref="AM46">IF(AM$7=-1,AN46,IF(AM$7=99,AL46,IF(AM$7=0,INDEX($D46:$G46,0,AM$5),(INDEX($D46:$G46,0,AM$7+1)-INDEX($D46:$G46,0,AM$7))/(INDEX($D$4:$G$4,0,AM$7+1)-INDEX($D$4:$G$4,0,AM$7))+AL46)))</f>
        <v>1</v>
      </c>
      <c r="AN46" s="185" cm="1">
        <f t="array" ref="AN46">IF(AN$7=-1,AO46,IF(AN$7=99,AM46,IF(AN$7=0,INDEX($D46:$G46,0,AN$5),(INDEX($D46:$G46,0,AN$7+1)-INDEX($D46:$G46,0,AN$7))/(INDEX($D$4:$G$4,0,AN$7+1)-INDEX($D$4:$G$4,0,AN$7))+AM46)))</f>
        <v>1</v>
      </c>
      <c r="AO46" s="185" cm="1">
        <f t="array" ref="AO46">IF(AO$7=-1,AP46,IF(AO$7=99,AN46,IF(AO$7=0,INDEX($D46:$G46,0,AO$5),(INDEX($D46:$G46,0,AO$7+1)-INDEX($D46:$G46,0,AO$7))/(INDEX($D$4:$G$4,0,AO$7+1)-INDEX($D$4:$G$4,0,AO$7))+AN46)))</f>
        <v>1</v>
      </c>
      <c r="AP46" s="185" cm="1">
        <f t="array" ref="AP46">IF(AP$7=-1,AQ46,IF(AP$7=99,AO46,IF(AP$7=0,INDEX($D46:$G46,0,AP$5),(INDEX($D46:$G46,0,AP$7+1)-INDEX($D46:$G46,0,AP$7))/(INDEX($D$4:$G$4,0,AP$7+1)-INDEX($D$4:$G$4,0,AP$7))+AO46)))</f>
        <v>1</v>
      </c>
    </row>
    <row r="47" spans="1:42">
      <c r="A47" s="185" t="s">
        <v>16</v>
      </c>
      <c r="B47" s="186" t="str">
        <f t="shared" si="13"/>
        <v>NM</v>
      </c>
      <c r="C47" s="186" t="str">
        <f t="shared" si="13"/>
        <v>N.M.M Products</v>
      </c>
      <c r="D47" s="185">
        <v>1</v>
      </c>
      <c r="E47" s="185">
        <v>1</v>
      </c>
      <c r="F47" s="185">
        <v>1</v>
      </c>
      <c r="G47" s="185">
        <v>1</v>
      </c>
      <c r="J47" s="185" cm="1">
        <f t="array" ref="J47">IF(J$7=-1,K47,IF(J$7=99,I47,IF(J$7=0,INDEX($D47:$G47,0,J$5),(INDEX($D47:$G47,0,J$7+1)-INDEX($D47:$G47,0,J$7))/(INDEX($D$4:$G$4,0,J$7+1)-INDEX($D$4:$G$4,0,J$7))+I47)))</f>
        <v>1</v>
      </c>
      <c r="K47" s="185" cm="1">
        <f t="array" ref="K47">IF(K$7=-1,L47,IF(K$7=99,J47,IF(K$7=0,INDEX($D47:$G47,0,K$5),(INDEX($D47:$G47,0,K$7+1)-INDEX($D47:$G47,0,K$7))/(INDEX($D$4:$G$4,0,K$7+1)-INDEX($D$4:$G$4,0,K$7))+J47)))</f>
        <v>1</v>
      </c>
      <c r="L47" s="185" cm="1">
        <f t="array" ref="L47">IF(L$7=-1,M47,IF(L$7=99,K47,IF(L$7=0,INDEX($D47:$G47,0,L$5),(INDEX($D47:$G47,0,L$7+1)-INDEX($D47:$G47,0,L$7))/(INDEX($D$4:$G$4,0,L$7+1)-INDEX($D$4:$G$4,0,L$7))+K47)))</f>
        <v>1</v>
      </c>
      <c r="M47" s="185" cm="1">
        <f t="array" ref="M47">IF(M$7=-1,N47,IF(M$7=99,L47,IF(M$7=0,INDEX($D47:$G47,0,M$5),(INDEX($D47:$G47,0,M$7+1)-INDEX($D47:$G47,0,M$7))/(INDEX($D$4:$G$4,0,M$7+1)-INDEX($D$4:$G$4,0,M$7))+L47)))</f>
        <v>1</v>
      </c>
      <c r="N47" s="185" cm="1">
        <f t="array" ref="N47">IF(N$7=-1,O47,IF(N$7=99,M47,IF(N$7=0,INDEX($D47:$G47,0,N$5),(INDEX($D47:$G47,0,N$7+1)-INDEX($D47:$G47,0,N$7))/(INDEX($D$4:$G$4,0,N$7+1)-INDEX($D$4:$G$4,0,N$7))+M47)))</f>
        <v>1</v>
      </c>
      <c r="O47" s="185" cm="1">
        <f t="array" ref="O47">IF(O$7=-1,P47,IF(O$7=99,N47,IF(O$7=0,INDEX($D47:$G47,0,O$5),(INDEX($D47:$G47,0,O$7+1)-INDEX($D47:$G47,0,O$7))/(INDEX($D$4:$G$4,0,O$7+1)-INDEX($D$4:$G$4,0,O$7))+N47)))</f>
        <v>1</v>
      </c>
      <c r="P47" s="185" cm="1">
        <f t="array" ref="P47">IF(P$7=-1,Q47,IF(P$7=99,O47,IF(P$7=0,INDEX($D47:$G47,0,P$5),(INDEX($D47:$G47,0,P$7+1)-INDEX($D47:$G47,0,P$7))/(INDEX($D$4:$G$4,0,P$7+1)-INDEX($D$4:$G$4,0,P$7))+O47)))</f>
        <v>1</v>
      </c>
      <c r="Q47" s="185" cm="1">
        <f t="array" ref="Q47">IF(Q$7=-1,R47,IF(Q$7=99,P47,IF(Q$7=0,INDEX($D47:$G47,0,Q$5),(INDEX($D47:$G47,0,Q$7+1)-INDEX($D47:$G47,0,Q$7))/(INDEX($D$4:$G$4,0,Q$7+1)-INDEX($D$4:$G$4,0,Q$7))+P47)))</f>
        <v>1</v>
      </c>
      <c r="R47" s="185" cm="1">
        <f t="array" ref="R47">IF(R$7=-1,S47,IF(R$7=99,Q47,IF(R$7=0,INDEX($D47:$G47,0,R$5),(INDEX($D47:$G47,0,R$7+1)-INDEX($D47:$G47,0,R$7))/(INDEX($D$4:$G$4,0,R$7+1)-INDEX($D$4:$G$4,0,R$7))+Q47)))</f>
        <v>1</v>
      </c>
      <c r="S47" s="185" cm="1">
        <f t="array" ref="S47">IF(S$7=-1,T47,IF(S$7=99,R47,IF(S$7=0,INDEX($D47:$G47,0,S$5),(INDEX($D47:$G47,0,S$7+1)-INDEX($D47:$G47,0,S$7))/(INDEX($D$4:$G$4,0,S$7+1)-INDEX($D$4:$G$4,0,S$7))+R47)))</f>
        <v>1</v>
      </c>
      <c r="T47" s="343">
        <f t="shared" ref="T47:AA47" si="20">IF(T$54=1,($AB47-$S47)/$AC$54+S47,$AB47)</f>
        <v>1</v>
      </c>
      <c r="U47" s="343">
        <f t="shared" si="20"/>
        <v>1</v>
      </c>
      <c r="V47" s="343">
        <f t="shared" si="20"/>
        <v>1</v>
      </c>
      <c r="W47" s="343">
        <f t="shared" si="20"/>
        <v>1</v>
      </c>
      <c r="X47" s="343">
        <f t="shared" si="20"/>
        <v>1</v>
      </c>
      <c r="Y47" s="343">
        <f t="shared" si="20"/>
        <v>1</v>
      </c>
      <c r="Z47" s="343">
        <f t="shared" si="20"/>
        <v>1</v>
      </c>
      <c r="AA47" s="343">
        <f t="shared" si="20"/>
        <v>1</v>
      </c>
      <c r="AB47" s="185" cm="1">
        <f t="array" ref="AB47">IF(AB$7=-1,AC47,IF(AB$7=99,AA47,IF(AB$7=0,INDEX($D47:$G47,0,AB$5),(INDEX($D47:$G47,0,AB$7+1)-INDEX($D47:$G47,0,AB$7))/(INDEX($D$4:$G$4,0,AB$7+1)-INDEX($D$4:$G$4,0,AB$7))+AA47)))</f>
        <v>1</v>
      </c>
      <c r="AC47" s="185" cm="1">
        <f t="array" ref="AC47">IF(AC$7=-1,AD47,IF(AC$7=99,AB47,IF(AC$7=0,INDEX($D47:$G47,0,AC$5),(INDEX($D47:$G47,0,AC$7+1)-INDEX($D47:$G47,0,AC$7))/(INDEX($D$4:$G$4,0,AC$7+1)-INDEX($D$4:$G$4,0,AC$7))+AB47)))</f>
        <v>1</v>
      </c>
      <c r="AD47" s="185" cm="1">
        <f t="array" ref="AD47">IF(AD$7=-1,AE47,IF(AD$7=99,AC47,IF(AD$7=0,INDEX($D47:$G47,0,AD$5),(INDEX($D47:$G47,0,AD$7+1)-INDEX($D47:$G47,0,AD$7))/(INDEX($D$4:$G$4,0,AD$7+1)-INDEX($D$4:$G$4,0,AD$7))+AC47)))</f>
        <v>1</v>
      </c>
      <c r="AE47" s="185" cm="1">
        <f t="array" ref="AE47">IF(AE$7=-1,AF47,IF(AE$7=99,AD47,IF(AE$7=0,INDEX($D47:$G47,0,AE$5),(INDEX($D47:$G47,0,AE$7+1)-INDEX($D47:$G47,0,AE$7))/(INDEX($D$4:$G$4,0,AE$7+1)-INDEX($D$4:$G$4,0,AE$7))+AD47)))</f>
        <v>1</v>
      </c>
      <c r="AF47" s="185" cm="1">
        <f t="array" ref="AF47">IF(AF$7=-1,AG47,IF(AF$7=99,AE47,IF(AF$7=0,INDEX($D47:$G47,0,AF$5),(INDEX($D47:$G47,0,AF$7+1)-INDEX($D47:$G47,0,AF$7))/(INDEX($D$4:$G$4,0,AF$7+1)-INDEX($D$4:$G$4,0,AF$7))+AE47)))</f>
        <v>1</v>
      </c>
      <c r="AG47" s="185" cm="1">
        <f t="array" ref="AG47">IF(AG$7=-1,AH47,IF(AG$7=99,AF47,IF(AG$7=0,INDEX($D47:$G47,0,AG$5),(INDEX($D47:$G47,0,AG$7+1)-INDEX($D47:$G47,0,AG$7))/(INDEX($D$4:$G$4,0,AG$7+1)-INDEX($D$4:$G$4,0,AG$7))+AF47)))</f>
        <v>1</v>
      </c>
      <c r="AH47" s="185" cm="1">
        <f t="array" ref="AH47">IF(AH$7=-1,AI47,IF(AH$7=99,AG47,IF(AH$7=0,INDEX($D47:$G47,0,AH$5),(INDEX($D47:$G47,0,AH$7+1)-INDEX($D47:$G47,0,AH$7))/(INDEX($D$4:$G$4,0,AH$7+1)-INDEX($D$4:$G$4,0,AH$7))+AG47)))</f>
        <v>1</v>
      </c>
      <c r="AI47" s="185" cm="1">
        <f t="array" ref="AI47">IF(AI$7=-1,AJ47,IF(AI$7=99,AH47,IF(AI$7=0,INDEX($D47:$G47,0,AI$5),(INDEX($D47:$G47,0,AI$7+1)-INDEX($D47:$G47,0,AI$7))/(INDEX($D$4:$G$4,0,AI$7+1)-INDEX($D$4:$G$4,0,AI$7))+AH47)))</f>
        <v>1</v>
      </c>
      <c r="AJ47" s="185" cm="1">
        <f t="array" ref="AJ47">IF(AJ$7=-1,AK47,IF(AJ$7=99,AI47,IF(AJ$7=0,INDEX($D47:$G47,0,AJ$5),(INDEX($D47:$G47,0,AJ$7+1)-INDEX($D47:$G47,0,AJ$7))/(INDEX($D$4:$G$4,0,AJ$7+1)-INDEX($D$4:$G$4,0,AJ$7))+AI47)))</f>
        <v>1</v>
      </c>
      <c r="AK47" s="185" cm="1">
        <f t="array" ref="AK47">IF(AK$7=-1,AL47,IF(AK$7=99,AJ47,IF(AK$7=0,INDEX($D47:$G47,0,AK$5),(INDEX($D47:$G47,0,AK$7+1)-INDEX($D47:$G47,0,AK$7))/(INDEX($D$4:$G$4,0,AK$7+1)-INDEX($D$4:$G$4,0,AK$7))+AJ47)))</f>
        <v>1</v>
      </c>
      <c r="AL47" s="185" cm="1">
        <f t="array" ref="AL47">IF(AL$7=-1,AM47,IF(AL$7=99,AK47,IF(AL$7=0,INDEX($D47:$G47,0,AL$5),(INDEX($D47:$G47,0,AL$7+1)-INDEX($D47:$G47,0,AL$7))/(INDEX($D$4:$G$4,0,AL$7+1)-INDEX($D$4:$G$4,0,AL$7))+AK47)))</f>
        <v>1</v>
      </c>
      <c r="AM47" s="185" cm="1">
        <f t="array" ref="AM47">IF(AM$7=-1,AN47,IF(AM$7=99,AL47,IF(AM$7=0,INDEX($D47:$G47,0,AM$5),(INDEX($D47:$G47,0,AM$7+1)-INDEX($D47:$G47,0,AM$7))/(INDEX($D$4:$G$4,0,AM$7+1)-INDEX($D$4:$G$4,0,AM$7))+AL47)))</f>
        <v>1</v>
      </c>
      <c r="AN47" s="185" cm="1">
        <f t="array" ref="AN47">IF(AN$7=-1,AO47,IF(AN$7=99,AM47,IF(AN$7=0,INDEX($D47:$G47,0,AN$5),(INDEX($D47:$G47,0,AN$7+1)-INDEX($D47:$G47,0,AN$7))/(INDEX($D$4:$G$4,0,AN$7+1)-INDEX($D$4:$G$4,0,AN$7))+AM47)))</f>
        <v>1</v>
      </c>
      <c r="AO47" s="185" cm="1">
        <f t="array" ref="AO47">IF(AO$7=-1,AP47,IF(AO$7=99,AN47,IF(AO$7=0,INDEX($D47:$G47,0,AO$5),(INDEX($D47:$G47,0,AO$7+1)-INDEX($D47:$G47,0,AO$7))/(INDEX($D$4:$G$4,0,AO$7+1)-INDEX($D$4:$G$4,0,AO$7))+AN47)))</f>
        <v>1</v>
      </c>
      <c r="AP47" s="185" cm="1">
        <f t="array" ref="AP47">IF(AP$7=-1,AQ47,IF(AP$7=99,AO47,IF(AP$7=0,INDEX($D47:$G47,0,AP$5),(INDEX($D47:$G47,0,AP$7+1)-INDEX($D47:$G47,0,AP$7))/(INDEX($D$4:$G$4,0,AP$7+1)-INDEX($D$4:$G$4,0,AP$7))+AO47)))</f>
        <v>1</v>
      </c>
    </row>
    <row r="48" spans="1:42">
      <c r="A48" s="185" t="s">
        <v>16</v>
      </c>
      <c r="B48" s="186" t="str">
        <f t="shared" si="13"/>
        <v>NM</v>
      </c>
      <c r="C48" s="186" t="str">
        <f t="shared" si="13"/>
        <v>N.M.M Products</v>
      </c>
      <c r="D48" s="185">
        <v>1</v>
      </c>
      <c r="E48" s="185">
        <v>1</v>
      </c>
      <c r="F48" s="185">
        <v>1</v>
      </c>
      <c r="G48" s="185">
        <v>1</v>
      </c>
      <c r="J48" s="185" cm="1">
        <f t="array" ref="J48">IF(J$7=-1,K48,IF(J$7=99,I48,IF(J$7=0,INDEX($D48:$G48,0,J$5),(INDEX($D48:$G48,0,J$7+1)-INDEX($D48:$G48,0,J$7))/(INDEX($D$4:$G$4,0,J$7+1)-INDEX($D$4:$G$4,0,J$7))+I48)))</f>
        <v>1</v>
      </c>
      <c r="K48" s="185" cm="1">
        <f t="array" ref="K48">IF(K$7=-1,L48,IF(K$7=99,J48,IF(K$7=0,INDEX($D48:$G48,0,K$5),(INDEX($D48:$G48,0,K$7+1)-INDEX($D48:$G48,0,K$7))/(INDEX($D$4:$G$4,0,K$7+1)-INDEX($D$4:$G$4,0,K$7))+J48)))</f>
        <v>1</v>
      </c>
      <c r="L48" s="185" cm="1">
        <f t="array" ref="L48">IF(L$7=-1,M48,IF(L$7=99,K48,IF(L$7=0,INDEX($D48:$G48,0,L$5),(INDEX($D48:$G48,0,L$7+1)-INDEX($D48:$G48,0,L$7))/(INDEX($D$4:$G$4,0,L$7+1)-INDEX($D$4:$G$4,0,L$7))+K48)))</f>
        <v>1</v>
      </c>
      <c r="M48" s="185" cm="1">
        <f t="array" ref="M48">IF(M$7=-1,N48,IF(M$7=99,L48,IF(M$7=0,INDEX($D48:$G48,0,M$5),(INDEX($D48:$G48,0,M$7+1)-INDEX($D48:$G48,0,M$7))/(INDEX($D$4:$G$4,0,M$7+1)-INDEX($D$4:$G$4,0,M$7))+L48)))</f>
        <v>1</v>
      </c>
      <c r="N48" s="185" cm="1">
        <f t="array" ref="N48">IF(N$7=-1,O48,IF(N$7=99,M48,IF(N$7=0,INDEX($D48:$G48,0,N$5),(INDEX($D48:$G48,0,N$7+1)-INDEX($D48:$G48,0,N$7))/(INDEX($D$4:$G$4,0,N$7+1)-INDEX($D$4:$G$4,0,N$7))+M48)))</f>
        <v>1</v>
      </c>
      <c r="O48" s="185" cm="1">
        <f t="array" ref="O48">IF(O$7=-1,P48,IF(O$7=99,N48,IF(O$7=0,INDEX($D48:$G48,0,O$5),(INDEX($D48:$G48,0,O$7+1)-INDEX($D48:$G48,0,O$7))/(INDEX($D$4:$G$4,0,O$7+1)-INDEX($D$4:$G$4,0,O$7))+N48)))</f>
        <v>1</v>
      </c>
      <c r="P48" s="185" cm="1">
        <f t="array" ref="P48">IF(P$7=-1,Q48,IF(P$7=99,O48,IF(P$7=0,INDEX($D48:$G48,0,P$5),(INDEX($D48:$G48,0,P$7+1)-INDEX($D48:$G48,0,P$7))/(INDEX($D$4:$G$4,0,P$7+1)-INDEX($D$4:$G$4,0,P$7))+O48)))</f>
        <v>1</v>
      </c>
      <c r="Q48" s="185" cm="1">
        <f t="array" ref="Q48">IF(Q$7=-1,R48,IF(Q$7=99,P48,IF(Q$7=0,INDEX($D48:$G48,0,Q$5),(INDEX($D48:$G48,0,Q$7+1)-INDEX($D48:$G48,0,Q$7))/(INDEX($D$4:$G$4,0,Q$7+1)-INDEX($D$4:$G$4,0,Q$7))+P48)))</f>
        <v>1</v>
      </c>
      <c r="R48" s="185" cm="1">
        <f t="array" ref="R48">IF(R$7=-1,S48,IF(R$7=99,Q48,IF(R$7=0,INDEX($D48:$G48,0,R$5),(INDEX($D48:$G48,0,R$7+1)-INDEX($D48:$G48,0,R$7))/(INDEX($D$4:$G$4,0,R$7+1)-INDEX($D$4:$G$4,0,R$7))+Q48)))</f>
        <v>1</v>
      </c>
      <c r="S48" s="185" cm="1">
        <f t="array" ref="S48">IF(S$7=-1,T48,IF(S$7=99,R48,IF(S$7=0,INDEX($D48:$G48,0,S$5),(INDEX($D48:$G48,0,S$7+1)-INDEX($D48:$G48,0,S$7))/(INDEX($D$4:$G$4,0,S$7+1)-INDEX($D$4:$G$4,0,S$7))+R48)))</f>
        <v>1</v>
      </c>
      <c r="T48" s="343">
        <f t="shared" ref="T48:AA48" si="21">IF(T$54=1,($AB48-$S48)/$AC$54+S48,$AB48)</f>
        <v>1</v>
      </c>
      <c r="U48" s="343">
        <f t="shared" si="21"/>
        <v>1</v>
      </c>
      <c r="V48" s="343">
        <f t="shared" si="21"/>
        <v>1</v>
      </c>
      <c r="W48" s="343">
        <f t="shared" si="21"/>
        <v>1</v>
      </c>
      <c r="X48" s="343">
        <f t="shared" si="21"/>
        <v>1</v>
      </c>
      <c r="Y48" s="343">
        <f t="shared" si="21"/>
        <v>1</v>
      </c>
      <c r="Z48" s="343">
        <f t="shared" si="21"/>
        <v>1</v>
      </c>
      <c r="AA48" s="343">
        <f t="shared" si="21"/>
        <v>1</v>
      </c>
      <c r="AB48" s="185" cm="1">
        <f t="array" ref="AB48">IF(AB$7=-1,AC48,IF(AB$7=99,AA48,IF(AB$7=0,INDEX($D48:$G48,0,AB$5),(INDEX($D48:$G48,0,AB$7+1)-INDEX($D48:$G48,0,AB$7))/(INDEX($D$4:$G$4,0,AB$7+1)-INDEX($D$4:$G$4,0,AB$7))+AA48)))</f>
        <v>1</v>
      </c>
      <c r="AC48" s="185" cm="1">
        <f t="array" ref="AC48">IF(AC$7=-1,AD48,IF(AC$7=99,AB48,IF(AC$7=0,INDEX($D48:$G48,0,AC$5),(INDEX($D48:$G48,0,AC$7+1)-INDEX($D48:$G48,0,AC$7))/(INDEX($D$4:$G$4,0,AC$7+1)-INDEX($D$4:$G$4,0,AC$7))+AB48)))</f>
        <v>1</v>
      </c>
      <c r="AD48" s="185" cm="1">
        <f t="array" ref="AD48">IF(AD$7=-1,AE48,IF(AD$7=99,AC48,IF(AD$7=0,INDEX($D48:$G48,0,AD$5),(INDEX($D48:$G48,0,AD$7+1)-INDEX($D48:$G48,0,AD$7))/(INDEX($D$4:$G$4,0,AD$7+1)-INDEX($D$4:$G$4,0,AD$7))+AC48)))</f>
        <v>1</v>
      </c>
      <c r="AE48" s="185" cm="1">
        <f t="array" ref="AE48">IF(AE$7=-1,AF48,IF(AE$7=99,AD48,IF(AE$7=0,INDEX($D48:$G48,0,AE$5),(INDEX($D48:$G48,0,AE$7+1)-INDEX($D48:$G48,0,AE$7))/(INDEX($D$4:$G$4,0,AE$7+1)-INDEX($D$4:$G$4,0,AE$7))+AD48)))</f>
        <v>1</v>
      </c>
      <c r="AF48" s="185" cm="1">
        <f t="array" ref="AF48">IF(AF$7=-1,AG48,IF(AF$7=99,AE48,IF(AF$7=0,INDEX($D48:$G48,0,AF$5),(INDEX($D48:$G48,0,AF$7+1)-INDEX($D48:$G48,0,AF$7))/(INDEX($D$4:$G$4,0,AF$7+1)-INDEX($D$4:$G$4,0,AF$7))+AE48)))</f>
        <v>1</v>
      </c>
      <c r="AG48" s="185" cm="1">
        <f t="array" ref="AG48">IF(AG$7=-1,AH48,IF(AG$7=99,AF48,IF(AG$7=0,INDEX($D48:$G48,0,AG$5),(INDEX($D48:$G48,0,AG$7+1)-INDEX($D48:$G48,0,AG$7))/(INDEX($D$4:$G$4,0,AG$7+1)-INDEX($D$4:$G$4,0,AG$7))+AF48)))</f>
        <v>1</v>
      </c>
      <c r="AH48" s="185" cm="1">
        <f t="array" ref="AH48">IF(AH$7=-1,AI48,IF(AH$7=99,AG48,IF(AH$7=0,INDEX($D48:$G48,0,AH$5),(INDEX($D48:$G48,0,AH$7+1)-INDEX($D48:$G48,0,AH$7))/(INDEX($D$4:$G$4,0,AH$7+1)-INDEX($D$4:$G$4,0,AH$7))+AG48)))</f>
        <v>1</v>
      </c>
      <c r="AI48" s="185" cm="1">
        <f t="array" ref="AI48">IF(AI$7=-1,AJ48,IF(AI$7=99,AH48,IF(AI$7=0,INDEX($D48:$G48,0,AI$5),(INDEX($D48:$G48,0,AI$7+1)-INDEX($D48:$G48,0,AI$7))/(INDEX($D$4:$G$4,0,AI$7+1)-INDEX($D$4:$G$4,0,AI$7))+AH48)))</f>
        <v>1</v>
      </c>
      <c r="AJ48" s="185" cm="1">
        <f t="array" ref="AJ48">IF(AJ$7=-1,AK48,IF(AJ$7=99,AI48,IF(AJ$7=0,INDEX($D48:$G48,0,AJ$5),(INDEX($D48:$G48,0,AJ$7+1)-INDEX($D48:$G48,0,AJ$7))/(INDEX($D$4:$G$4,0,AJ$7+1)-INDEX($D$4:$G$4,0,AJ$7))+AI48)))</f>
        <v>1</v>
      </c>
      <c r="AK48" s="185" cm="1">
        <f t="array" ref="AK48">IF(AK$7=-1,AL48,IF(AK$7=99,AJ48,IF(AK$7=0,INDEX($D48:$G48,0,AK$5),(INDEX($D48:$G48,0,AK$7+1)-INDEX($D48:$G48,0,AK$7))/(INDEX($D$4:$G$4,0,AK$7+1)-INDEX($D$4:$G$4,0,AK$7))+AJ48)))</f>
        <v>1</v>
      </c>
      <c r="AL48" s="185" cm="1">
        <f t="array" ref="AL48">IF(AL$7=-1,AM48,IF(AL$7=99,AK48,IF(AL$7=0,INDEX($D48:$G48,0,AL$5),(INDEX($D48:$G48,0,AL$7+1)-INDEX($D48:$G48,0,AL$7))/(INDEX($D$4:$G$4,0,AL$7+1)-INDEX($D$4:$G$4,0,AL$7))+AK48)))</f>
        <v>1</v>
      </c>
      <c r="AM48" s="185" cm="1">
        <f t="array" ref="AM48">IF(AM$7=-1,AN48,IF(AM$7=99,AL48,IF(AM$7=0,INDEX($D48:$G48,0,AM$5),(INDEX($D48:$G48,0,AM$7+1)-INDEX($D48:$G48,0,AM$7))/(INDEX($D$4:$G$4,0,AM$7+1)-INDEX($D$4:$G$4,0,AM$7))+AL48)))</f>
        <v>1</v>
      </c>
      <c r="AN48" s="185" cm="1">
        <f t="array" ref="AN48">IF(AN$7=-1,AO48,IF(AN$7=99,AM48,IF(AN$7=0,INDEX($D48:$G48,0,AN$5),(INDEX($D48:$G48,0,AN$7+1)-INDEX($D48:$G48,0,AN$7))/(INDEX($D$4:$G$4,0,AN$7+1)-INDEX($D$4:$G$4,0,AN$7))+AM48)))</f>
        <v>1</v>
      </c>
      <c r="AO48" s="185" cm="1">
        <f t="array" ref="AO48">IF(AO$7=-1,AP48,IF(AO$7=99,AN48,IF(AO$7=0,INDEX($D48:$G48,0,AO$5),(INDEX($D48:$G48,0,AO$7+1)-INDEX($D48:$G48,0,AO$7))/(INDEX($D$4:$G$4,0,AO$7+1)-INDEX($D$4:$G$4,0,AO$7))+AN48)))</f>
        <v>1</v>
      </c>
      <c r="AP48" s="185" cm="1">
        <f t="array" ref="AP48">IF(AP$7=-1,AQ48,IF(AP$7=99,AO48,IF(AP$7=0,INDEX($D48:$G48,0,AP$5),(INDEX($D48:$G48,0,AP$7+1)-INDEX($D48:$G48,0,AP$7))/(INDEX($D$4:$G$4,0,AP$7+1)-INDEX($D$4:$G$4,0,AP$7))+AO48)))</f>
        <v>1</v>
      </c>
    </row>
    <row r="49" spans="1:42">
      <c r="A49" s="185" t="s">
        <v>16</v>
      </c>
      <c r="B49" s="186" t="str">
        <f t="shared" si="13"/>
        <v>NM</v>
      </c>
      <c r="C49" s="186" t="str">
        <f t="shared" si="13"/>
        <v>N.M.M Products</v>
      </c>
      <c r="D49" s="185">
        <v>1</v>
      </c>
      <c r="E49" s="185">
        <v>1</v>
      </c>
      <c r="F49" s="185">
        <v>1</v>
      </c>
      <c r="G49" s="185">
        <v>1</v>
      </c>
      <c r="J49" s="185" cm="1">
        <f t="array" ref="J49">IF(J$7=-1,K49,IF(J$7=99,I49,IF(J$7=0,INDEX($D49:$G49,0,J$5),(INDEX($D49:$G49,0,J$7+1)-INDEX($D49:$G49,0,J$7))/(INDEX($D$4:$G$4,0,J$7+1)-INDEX($D$4:$G$4,0,J$7))+I49)))</f>
        <v>1</v>
      </c>
      <c r="K49" s="185" cm="1">
        <f t="array" ref="K49">IF(K$7=-1,L49,IF(K$7=99,J49,IF(K$7=0,INDEX($D49:$G49,0,K$5),(INDEX($D49:$G49,0,K$7+1)-INDEX($D49:$G49,0,K$7))/(INDEX($D$4:$G$4,0,K$7+1)-INDEX($D$4:$G$4,0,K$7))+J49)))</f>
        <v>1</v>
      </c>
      <c r="L49" s="185" cm="1">
        <f t="array" ref="L49">IF(L$7=-1,M49,IF(L$7=99,K49,IF(L$7=0,INDEX($D49:$G49,0,L$5),(INDEX($D49:$G49,0,L$7+1)-INDEX($D49:$G49,0,L$7))/(INDEX($D$4:$G$4,0,L$7+1)-INDEX($D$4:$G$4,0,L$7))+K49)))</f>
        <v>1</v>
      </c>
      <c r="M49" s="185" cm="1">
        <f t="array" ref="M49">IF(M$7=-1,N49,IF(M$7=99,L49,IF(M$7=0,INDEX($D49:$G49,0,M$5),(INDEX($D49:$G49,0,M$7+1)-INDEX($D49:$G49,0,M$7))/(INDEX($D$4:$G$4,0,M$7+1)-INDEX($D$4:$G$4,0,M$7))+L49)))</f>
        <v>1</v>
      </c>
      <c r="N49" s="185" cm="1">
        <f t="array" ref="N49">IF(N$7=-1,O49,IF(N$7=99,M49,IF(N$7=0,INDEX($D49:$G49,0,N$5),(INDEX($D49:$G49,0,N$7+1)-INDEX($D49:$G49,0,N$7))/(INDEX($D$4:$G$4,0,N$7+1)-INDEX($D$4:$G$4,0,N$7))+M49)))</f>
        <v>1</v>
      </c>
      <c r="O49" s="185" cm="1">
        <f t="array" ref="O49">IF(O$7=-1,P49,IF(O$7=99,N49,IF(O$7=0,INDEX($D49:$G49,0,O$5),(INDEX($D49:$G49,0,O$7+1)-INDEX($D49:$G49,0,O$7))/(INDEX($D$4:$G$4,0,O$7+1)-INDEX($D$4:$G$4,0,O$7))+N49)))</f>
        <v>1</v>
      </c>
      <c r="P49" s="185" cm="1">
        <f t="array" ref="P49">IF(P$7=-1,Q49,IF(P$7=99,O49,IF(P$7=0,INDEX($D49:$G49,0,P$5),(INDEX($D49:$G49,0,P$7+1)-INDEX($D49:$G49,0,P$7))/(INDEX($D$4:$G$4,0,P$7+1)-INDEX($D$4:$G$4,0,P$7))+O49)))</f>
        <v>1</v>
      </c>
      <c r="Q49" s="185" cm="1">
        <f t="array" ref="Q49">IF(Q$7=-1,R49,IF(Q$7=99,P49,IF(Q$7=0,INDEX($D49:$G49,0,Q$5),(INDEX($D49:$G49,0,Q$7+1)-INDEX($D49:$G49,0,Q$7))/(INDEX($D$4:$G$4,0,Q$7+1)-INDEX($D$4:$G$4,0,Q$7))+P49)))</f>
        <v>1</v>
      </c>
      <c r="R49" s="185" cm="1">
        <f t="array" ref="R49">IF(R$7=-1,S49,IF(R$7=99,Q49,IF(R$7=0,INDEX($D49:$G49,0,R$5),(INDEX($D49:$G49,0,R$7+1)-INDEX($D49:$G49,0,R$7))/(INDEX($D$4:$G$4,0,R$7+1)-INDEX($D$4:$G$4,0,R$7))+Q49)))</f>
        <v>1</v>
      </c>
      <c r="S49" s="185" cm="1">
        <f t="array" ref="S49">IF(S$7=-1,T49,IF(S$7=99,R49,IF(S$7=0,INDEX($D49:$G49,0,S$5),(INDEX($D49:$G49,0,S$7+1)-INDEX($D49:$G49,0,S$7))/(INDEX($D$4:$G$4,0,S$7+1)-INDEX($D$4:$G$4,0,S$7))+R49)))</f>
        <v>1</v>
      </c>
      <c r="T49" s="343">
        <f t="shared" ref="T49:AA49" si="22">IF(T$54=1,($AB49-$S49)/$AC$54+S49,$AB49)</f>
        <v>1</v>
      </c>
      <c r="U49" s="343">
        <f t="shared" si="22"/>
        <v>1</v>
      </c>
      <c r="V49" s="343">
        <f t="shared" si="22"/>
        <v>1</v>
      </c>
      <c r="W49" s="343">
        <f t="shared" si="22"/>
        <v>1</v>
      </c>
      <c r="X49" s="343">
        <f t="shared" si="22"/>
        <v>1</v>
      </c>
      <c r="Y49" s="343">
        <f t="shared" si="22"/>
        <v>1</v>
      </c>
      <c r="Z49" s="343">
        <f t="shared" si="22"/>
        <v>1</v>
      </c>
      <c r="AA49" s="343">
        <f t="shared" si="22"/>
        <v>1</v>
      </c>
      <c r="AB49" s="185" cm="1">
        <f t="array" ref="AB49">IF(AB$7=-1,AC49,IF(AB$7=99,AA49,IF(AB$7=0,INDEX($D49:$G49,0,AB$5),(INDEX($D49:$G49,0,AB$7+1)-INDEX($D49:$G49,0,AB$7))/(INDEX($D$4:$G$4,0,AB$7+1)-INDEX($D$4:$G$4,0,AB$7))+AA49)))</f>
        <v>1</v>
      </c>
      <c r="AC49" s="185" cm="1">
        <f t="array" ref="AC49">IF(AC$7=-1,AD49,IF(AC$7=99,AB49,IF(AC$7=0,INDEX($D49:$G49,0,AC$5),(INDEX($D49:$G49,0,AC$7+1)-INDEX($D49:$G49,0,AC$7))/(INDEX($D$4:$G$4,0,AC$7+1)-INDEX($D$4:$G$4,0,AC$7))+AB49)))</f>
        <v>1</v>
      </c>
      <c r="AD49" s="185" cm="1">
        <f t="array" ref="AD49">IF(AD$7=-1,AE49,IF(AD$7=99,AC49,IF(AD$7=0,INDEX($D49:$G49,0,AD$5),(INDEX($D49:$G49,0,AD$7+1)-INDEX($D49:$G49,0,AD$7))/(INDEX($D$4:$G$4,0,AD$7+1)-INDEX($D$4:$G$4,0,AD$7))+AC49)))</f>
        <v>1</v>
      </c>
      <c r="AE49" s="185" cm="1">
        <f t="array" ref="AE49">IF(AE$7=-1,AF49,IF(AE$7=99,AD49,IF(AE$7=0,INDEX($D49:$G49,0,AE$5),(INDEX($D49:$G49,0,AE$7+1)-INDEX($D49:$G49,0,AE$7))/(INDEX($D$4:$G$4,0,AE$7+1)-INDEX($D$4:$G$4,0,AE$7))+AD49)))</f>
        <v>1</v>
      </c>
      <c r="AF49" s="185" cm="1">
        <f t="array" ref="AF49">IF(AF$7=-1,AG49,IF(AF$7=99,AE49,IF(AF$7=0,INDEX($D49:$G49,0,AF$5),(INDEX($D49:$G49,0,AF$7+1)-INDEX($D49:$G49,0,AF$7))/(INDEX($D$4:$G$4,0,AF$7+1)-INDEX($D$4:$G$4,0,AF$7))+AE49)))</f>
        <v>1</v>
      </c>
      <c r="AG49" s="185" cm="1">
        <f t="array" ref="AG49">IF(AG$7=-1,AH49,IF(AG$7=99,AF49,IF(AG$7=0,INDEX($D49:$G49,0,AG$5),(INDEX($D49:$G49,0,AG$7+1)-INDEX($D49:$G49,0,AG$7))/(INDEX($D$4:$G$4,0,AG$7+1)-INDEX($D$4:$G$4,0,AG$7))+AF49)))</f>
        <v>1</v>
      </c>
      <c r="AH49" s="185" cm="1">
        <f t="array" ref="AH49">IF(AH$7=-1,AI49,IF(AH$7=99,AG49,IF(AH$7=0,INDEX($D49:$G49,0,AH$5),(INDEX($D49:$G49,0,AH$7+1)-INDEX($D49:$G49,0,AH$7))/(INDEX($D$4:$G$4,0,AH$7+1)-INDEX($D$4:$G$4,0,AH$7))+AG49)))</f>
        <v>1</v>
      </c>
      <c r="AI49" s="185" cm="1">
        <f t="array" ref="AI49">IF(AI$7=-1,AJ49,IF(AI$7=99,AH49,IF(AI$7=0,INDEX($D49:$G49,0,AI$5),(INDEX($D49:$G49,0,AI$7+1)-INDEX($D49:$G49,0,AI$7))/(INDEX($D$4:$G$4,0,AI$7+1)-INDEX($D$4:$G$4,0,AI$7))+AH49)))</f>
        <v>1</v>
      </c>
      <c r="AJ49" s="185" cm="1">
        <f t="array" ref="AJ49">IF(AJ$7=-1,AK49,IF(AJ$7=99,AI49,IF(AJ$7=0,INDEX($D49:$G49,0,AJ$5),(INDEX($D49:$G49,0,AJ$7+1)-INDEX($D49:$G49,0,AJ$7))/(INDEX($D$4:$G$4,0,AJ$7+1)-INDEX($D$4:$G$4,0,AJ$7))+AI49)))</f>
        <v>1</v>
      </c>
      <c r="AK49" s="185" cm="1">
        <f t="array" ref="AK49">IF(AK$7=-1,AL49,IF(AK$7=99,AJ49,IF(AK$7=0,INDEX($D49:$G49,0,AK$5),(INDEX($D49:$G49,0,AK$7+1)-INDEX($D49:$G49,0,AK$7))/(INDEX($D$4:$G$4,0,AK$7+1)-INDEX($D$4:$G$4,0,AK$7))+AJ49)))</f>
        <v>1</v>
      </c>
      <c r="AL49" s="185" cm="1">
        <f t="array" ref="AL49">IF(AL$7=-1,AM49,IF(AL$7=99,AK49,IF(AL$7=0,INDEX($D49:$G49,0,AL$5),(INDEX($D49:$G49,0,AL$7+1)-INDEX($D49:$G49,0,AL$7))/(INDEX($D$4:$G$4,0,AL$7+1)-INDEX($D$4:$G$4,0,AL$7))+AK49)))</f>
        <v>1</v>
      </c>
      <c r="AM49" s="185" cm="1">
        <f t="array" ref="AM49">IF(AM$7=-1,AN49,IF(AM$7=99,AL49,IF(AM$7=0,INDEX($D49:$G49,0,AM$5),(INDEX($D49:$G49,0,AM$7+1)-INDEX($D49:$G49,0,AM$7))/(INDEX($D$4:$G$4,0,AM$7+1)-INDEX($D$4:$G$4,0,AM$7))+AL49)))</f>
        <v>1</v>
      </c>
      <c r="AN49" s="185" cm="1">
        <f t="array" ref="AN49">IF(AN$7=-1,AO49,IF(AN$7=99,AM49,IF(AN$7=0,INDEX($D49:$G49,0,AN$5),(INDEX($D49:$G49,0,AN$7+1)-INDEX($D49:$G49,0,AN$7))/(INDEX($D$4:$G$4,0,AN$7+1)-INDEX($D$4:$G$4,0,AN$7))+AM49)))</f>
        <v>1</v>
      </c>
      <c r="AO49" s="185" cm="1">
        <f t="array" ref="AO49">IF(AO$7=-1,AP49,IF(AO$7=99,AN49,IF(AO$7=0,INDEX($D49:$G49,0,AO$5),(INDEX($D49:$G49,0,AO$7+1)-INDEX($D49:$G49,0,AO$7))/(INDEX($D$4:$G$4,0,AO$7+1)-INDEX($D$4:$G$4,0,AO$7))+AN49)))</f>
        <v>1</v>
      </c>
      <c r="AP49" s="185" cm="1">
        <f t="array" ref="AP49">IF(AP$7=-1,AQ49,IF(AP$7=99,AO49,IF(AP$7=0,INDEX($D49:$G49,0,AP$5),(INDEX($D49:$G49,0,AP$7+1)-INDEX($D49:$G49,0,AP$7))/(INDEX($D$4:$G$4,0,AP$7+1)-INDEX($D$4:$G$4,0,AP$7))+AO49)))</f>
        <v>1</v>
      </c>
    </row>
    <row r="50" spans="1:42">
      <c r="A50" s="185" t="s">
        <v>16</v>
      </c>
      <c r="B50" s="186" t="str">
        <f t="shared" si="13"/>
        <v>FB</v>
      </c>
      <c r="C50" s="186" t="str">
        <f t="shared" si="13"/>
        <v>Food, Beverage &amp; Tabacco</v>
      </c>
      <c r="D50" s="185">
        <v>1</v>
      </c>
      <c r="E50" s="185">
        <v>1</v>
      </c>
      <c r="F50" s="185">
        <v>1</v>
      </c>
      <c r="G50" s="185">
        <v>1</v>
      </c>
      <c r="J50" s="185" cm="1">
        <f t="array" ref="J50">IF(J$7=-1,K50,IF(J$7=99,I50,IF(J$7=0,INDEX($D50:$G50,0,J$5),(INDEX($D50:$G50,0,J$7+1)-INDEX($D50:$G50,0,J$7))/(INDEX($D$4:$G$4,0,J$7+1)-INDEX($D$4:$G$4,0,J$7))+I50)))</f>
        <v>1</v>
      </c>
      <c r="K50" s="185" cm="1">
        <f t="array" ref="K50">IF(K$7=-1,L50,IF(K$7=99,J50,IF(K$7=0,INDEX($D50:$G50,0,K$5),(INDEX($D50:$G50,0,K$7+1)-INDEX($D50:$G50,0,K$7))/(INDEX($D$4:$G$4,0,K$7+1)-INDEX($D$4:$G$4,0,K$7))+J50)))</f>
        <v>1</v>
      </c>
      <c r="L50" s="185" cm="1">
        <f t="array" ref="L50">IF(L$7=-1,M50,IF(L$7=99,K50,IF(L$7=0,INDEX($D50:$G50,0,L$5),(INDEX($D50:$G50,0,L$7+1)-INDEX($D50:$G50,0,L$7))/(INDEX($D$4:$G$4,0,L$7+1)-INDEX($D$4:$G$4,0,L$7))+K50)))</f>
        <v>1</v>
      </c>
      <c r="M50" s="185" cm="1">
        <f t="array" ref="M50">IF(M$7=-1,N50,IF(M$7=99,L50,IF(M$7=0,INDEX($D50:$G50,0,M$5),(INDEX($D50:$G50,0,M$7+1)-INDEX($D50:$G50,0,M$7))/(INDEX($D$4:$G$4,0,M$7+1)-INDEX($D$4:$G$4,0,M$7))+L50)))</f>
        <v>1</v>
      </c>
      <c r="N50" s="185" cm="1">
        <f t="array" ref="N50">IF(N$7=-1,O50,IF(N$7=99,M50,IF(N$7=0,INDEX($D50:$G50,0,N$5),(INDEX($D50:$G50,0,N$7+1)-INDEX($D50:$G50,0,N$7))/(INDEX($D$4:$G$4,0,N$7+1)-INDEX($D$4:$G$4,0,N$7))+M50)))</f>
        <v>1</v>
      </c>
      <c r="O50" s="185" cm="1">
        <f t="array" ref="O50">IF(O$7=-1,P50,IF(O$7=99,N50,IF(O$7=0,INDEX($D50:$G50,0,O$5),(INDEX($D50:$G50,0,O$7+1)-INDEX($D50:$G50,0,O$7))/(INDEX($D$4:$G$4,0,O$7+1)-INDEX($D$4:$G$4,0,O$7))+N50)))</f>
        <v>1</v>
      </c>
      <c r="P50" s="185" cm="1">
        <f t="array" ref="P50">IF(P$7=-1,Q50,IF(P$7=99,O50,IF(P$7=0,INDEX($D50:$G50,0,P$5),(INDEX($D50:$G50,0,P$7+1)-INDEX($D50:$G50,0,P$7))/(INDEX($D$4:$G$4,0,P$7+1)-INDEX($D$4:$G$4,0,P$7))+O50)))</f>
        <v>1</v>
      </c>
      <c r="Q50" s="185" cm="1">
        <f t="array" ref="Q50">IF(Q$7=-1,R50,IF(Q$7=99,P50,IF(Q$7=0,INDEX($D50:$G50,0,Q$5),(INDEX($D50:$G50,0,Q$7+1)-INDEX($D50:$G50,0,Q$7))/(INDEX($D$4:$G$4,0,Q$7+1)-INDEX($D$4:$G$4,0,Q$7))+P50)))</f>
        <v>1</v>
      </c>
      <c r="R50" s="185" cm="1">
        <f t="array" ref="R50">IF(R$7=-1,S50,IF(R$7=99,Q50,IF(R$7=0,INDEX($D50:$G50,0,R$5),(INDEX($D50:$G50,0,R$7+1)-INDEX($D50:$G50,0,R$7))/(INDEX($D$4:$G$4,0,R$7+1)-INDEX($D$4:$G$4,0,R$7))+Q50)))</f>
        <v>1</v>
      </c>
      <c r="S50" s="214">
        <v>1.0229999999999999</v>
      </c>
      <c r="T50" s="343">
        <f t="shared" ref="T50:AA50" si="23">IF(T$54=1,($AB50-$S50)/$AC$54+S50,$AB50)</f>
        <v>1.01725</v>
      </c>
      <c r="U50" s="343">
        <f t="shared" si="23"/>
        <v>1.0115000000000001</v>
      </c>
      <c r="V50" s="343">
        <f t="shared" si="23"/>
        <v>1.0057500000000001</v>
      </c>
      <c r="W50" s="343">
        <f t="shared" si="23"/>
        <v>1.0000000000000002</v>
      </c>
      <c r="X50" s="343">
        <f t="shared" si="23"/>
        <v>1</v>
      </c>
      <c r="Y50" s="343">
        <f t="shared" si="23"/>
        <v>1</v>
      </c>
      <c r="Z50" s="343">
        <f t="shared" si="23"/>
        <v>1</v>
      </c>
      <c r="AA50" s="343">
        <f t="shared" si="23"/>
        <v>1</v>
      </c>
      <c r="AB50" s="185" cm="1">
        <f t="array" ref="AB50">IF(AB$7=-1,AC50,IF(AB$7=99,AA50,IF(AB$7=0,INDEX($D50:$G50,0,AB$5),(INDEX($D50:$G50,0,AB$7+1)-INDEX($D50:$G50,0,AB$7))/(INDEX($D$4:$G$4,0,AB$7+1)-INDEX($D$4:$G$4,0,AB$7))+AA50)))</f>
        <v>1</v>
      </c>
      <c r="AC50" s="185" cm="1">
        <f t="array" ref="AC50">IF(AC$7=-1,AD50,IF(AC$7=99,AB50,IF(AC$7=0,INDEX($D50:$G50,0,AC$5),(INDEX($D50:$G50,0,AC$7+1)-INDEX($D50:$G50,0,AC$7))/(INDEX($D$4:$G$4,0,AC$7+1)-INDEX($D$4:$G$4,0,AC$7))+AB50)))</f>
        <v>1</v>
      </c>
      <c r="AD50" s="185" cm="1">
        <f t="array" ref="AD50">IF(AD$7=-1,AE50,IF(AD$7=99,AC50,IF(AD$7=0,INDEX($D50:$G50,0,AD$5),(INDEX($D50:$G50,0,AD$7+1)-INDEX($D50:$G50,0,AD$7))/(INDEX($D$4:$G$4,0,AD$7+1)-INDEX($D$4:$G$4,0,AD$7))+AC50)))</f>
        <v>1</v>
      </c>
      <c r="AE50" s="185" cm="1">
        <f t="array" ref="AE50">IF(AE$7=-1,AF50,IF(AE$7=99,AD50,IF(AE$7=0,INDEX($D50:$G50,0,AE$5),(INDEX($D50:$G50,0,AE$7+1)-INDEX($D50:$G50,0,AE$7))/(INDEX($D$4:$G$4,0,AE$7+1)-INDEX($D$4:$G$4,0,AE$7))+AD50)))</f>
        <v>1</v>
      </c>
      <c r="AF50" s="185" cm="1">
        <f t="array" ref="AF50">IF(AF$7=-1,AG50,IF(AF$7=99,AE50,IF(AF$7=0,INDEX($D50:$G50,0,AF$5),(INDEX($D50:$G50,0,AF$7+1)-INDEX($D50:$G50,0,AF$7))/(INDEX($D$4:$G$4,0,AF$7+1)-INDEX($D$4:$G$4,0,AF$7))+AE50)))</f>
        <v>1</v>
      </c>
      <c r="AG50" s="185" cm="1">
        <f t="array" ref="AG50">IF(AG$7=-1,AH50,IF(AG$7=99,AF50,IF(AG$7=0,INDEX($D50:$G50,0,AG$5),(INDEX($D50:$G50,0,AG$7+1)-INDEX($D50:$G50,0,AG$7))/(INDEX($D$4:$G$4,0,AG$7+1)-INDEX($D$4:$G$4,0,AG$7))+AF50)))</f>
        <v>1</v>
      </c>
      <c r="AH50" s="185" cm="1">
        <f t="array" ref="AH50">IF(AH$7=-1,AI50,IF(AH$7=99,AG50,IF(AH$7=0,INDEX($D50:$G50,0,AH$5),(INDEX($D50:$G50,0,AH$7+1)-INDEX($D50:$G50,0,AH$7))/(INDEX($D$4:$G$4,0,AH$7+1)-INDEX($D$4:$G$4,0,AH$7))+AG50)))</f>
        <v>1</v>
      </c>
      <c r="AI50" s="185" cm="1">
        <f t="array" ref="AI50">IF(AI$7=-1,AJ50,IF(AI$7=99,AH50,IF(AI$7=0,INDEX($D50:$G50,0,AI$5),(INDEX($D50:$G50,0,AI$7+1)-INDEX($D50:$G50,0,AI$7))/(INDEX($D$4:$G$4,0,AI$7+1)-INDEX($D$4:$G$4,0,AI$7))+AH50)))</f>
        <v>1</v>
      </c>
      <c r="AJ50" s="185" cm="1">
        <f t="array" ref="AJ50">IF(AJ$7=-1,AK50,IF(AJ$7=99,AI50,IF(AJ$7=0,INDEX($D50:$G50,0,AJ$5),(INDEX($D50:$G50,0,AJ$7+1)-INDEX($D50:$G50,0,AJ$7))/(INDEX($D$4:$G$4,0,AJ$7+1)-INDEX($D$4:$G$4,0,AJ$7))+AI50)))</f>
        <v>1</v>
      </c>
      <c r="AK50" s="185" cm="1">
        <f t="array" ref="AK50">IF(AK$7=-1,AL50,IF(AK$7=99,AJ50,IF(AK$7=0,INDEX($D50:$G50,0,AK$5),(INDEX($D50:$G50,0,AK$7+1)-INDEX($D50:$G50,0,AK$7))/(INDEX($D$4:$G$4,0,AK$7+1)-INDEX($D$4:$G$4,0,AK$7))+AJ50)))</f>
        <v>1</v>
      </c>
      <c r="AL50" s="185" cm="1">
        <f t="array" ref="AL50">IF(AL$7=-1,AM50,IF(AL$7=99,AK50,IF(AL$7=0,INDEX($D50:$G50,0,AL$5),(INDEX($D50:$G50,0,AL$7+1)-INDEX($D50:$G50,0,AL$7))/(INDEX($D$4:$G$4,0,AL$7+1)-INDEX($D$4:$G$4,0,AL$7))+AK50)))</f>
        <v>1</v>
      </c>
      <c r="AM50" s="185" cm="1">
        <f t="array" ref="AM50">IF(AM$7=-1,AN50,IF(AM$7=99,AL50,IF(AM$7=0,INDEX($D50:$G50,0,AM$5),(INDEX($D50:$G50,0,AM$7+1)-INDEX($D50:$G50,0,AM$7))/(INDEX($D$4:$G$4,0,AM$7+1)-INDEX($D$4:$G$4,0,AM$7))+AL50)))</f>
        <v>1</v>
      </c>
      <c r="AN50" s="185" cm="1">
        <f t="array" ref="AN50">IF(AN$7=-1,AO50,IF(AN$7=99,AM50,IF(AN$7=0,INDEX($D50:$G50,0,AN$5),(INDEX($D50:$G50,0,AN$7+1)-INDEX($D50:$G50,0,AN$7))/(INDEX($D$4:$G$4,0,AN$7+1)-INDEX($D$4:$G$4,0,AN$7))+AM50)))</f>
        <v>1</v>
      </c>
      <c r="AO50" s="185" cm="1">
        <f t="array" ref="AO50">IF(AO$7=-1,AP50,IF(AO$7=99,AN50,IF(AO$7=0,INDEX($D50:$G50,0,AO$5),(INDEX($D50:$G50,0,AO$7+1)-INDEX($D50:$G50,0,AO$7))/(INDEX($D$4:$G$4,0,AO$7+1)-INDEX($D$4:$G$4,0,AO$7))+AN50)))</f>
        <v>1</v>
      </c>
      <c r="AP50" s="185" cm="1">
        <f t="array" ref="AP50">IF(AP$7=-1,AQ50,IF(AP$7=99,AO50,IF(AP$7=0,INDEX($D50:$G50,0,AP$5),(INDEX($D50:$G50,0,AP$7+1)-INDEX($D50:$G50,0,AP$7))/(INDEX($D$4:$G$4,0,AP$7+1)-INDEX($D$4:$G$4,0,AP$7))+AO50)))</f>
        <v>1</v>
      </c>
    </row>
    <row r="51" spans="1:42">
      <c r="A51" s="185" t="s">
        <v>16</v>
      </c>
      <c r="B51" s="186" t="str">
        <f t="shared" si="13"/>
        <v>PP</v>
      </c>
      <c r="C51" s="186" t="str">
        <f t="shared" si="13"/>
        <v>Pulp &amp; Paper Products</v>
      </c>
      <c r="D51" s="185">
        <v>1</v>
      </c>
      <c r="E51" s="185">
        <v>1</v>
      </c>
      <c r="F51" s="185">
        <v>1</v>
      </c>
      <c r="G51" s="185">
        <v>1</v>
      </c>
      <c r="J51" s="185" cm="1">
        <f t="array" ref="J51">IF(J$7=-1,K51,IF(J$7=99,I51,IF(J$7=0,INDEX($D51:$G51,0,J$5),(INDEX($D51:$G51,0,J$7+1)-INDEX($D51:$G51,0,J$7))/(INDEX($D$4:$G$4,0,J$7+1)-INDEX($D$4:$G$4,0,J$7))+I51)))</f>
        <v>1</v>
      </c>
      <c r="K51" s="185" cm="1">
        <f t="array" ref="K51">IF(K$7=-1,L51,IF(K$7=99,J51,IF(K$7=0,INDEX($D51:$G51,0,K$5),(INDEX($D51:$G51,0,K$7+1)-INDEX($D51:$G51,0,K$7))/(INDEX($D$4:$G$4,0,K$7+1)-INDEX($D$4:$G$4,0,K$7))+J51)))</f>
        <v>1</v>
      </c>
      <c r="L51" s="185" cm="1">
        <f t="array" ref="L51">IF(L$7=-1,M51,IF(L$7=99,K51,IF(L$7=0,INDEX($D51:$G51,0,L$5),(INDEX($D51:$G51,0,L$7+1)-INDEX($D51:$G51,0,L$7))/(INDEX($D$4:$G$4,0,L$7+1)-INDEX($D$4:$G$4,0,L$7))+K51)))</f>
        <v>1</v>
      </c>
      <c r="M51" s="185" cm="1">
        <f t="array" ref="M51">IF(M$7=-1,N51,IF(M$7=99,L51,IF(M$7=0,INDEX($D51:$G51,0,M$5),(INDEX($D51:$G51,0,M$7+1)-INDEX($D51:$G51,0,M$7))/(INDEX($D$4:$G$4,0,M$7+1)-INDEX($D$4:$G$4,0,M$7))+L51)))</f>
        <v>1</v>
      </c>
      <c r="N51" s="185" cm="1">
        <f t="array" ref="N51">IF(N$7=-1,O51,IF(N$7=99,M51,IF(N$7=0,INDEX($D51:$G51,0,N$5),(INDEX($D51:$G51,0,N$7+1)-INDEX($D51:$G51,0,N$7))/(INDEX($D$4:$G$4,0,N$7+1)-INDEX($D$4:$G$4,0,N$7))+M51)))</f>
        <v>1</v>
      </c>
      <c r="O51" s="185" cm="1">
        <f t="array" ref="O51">IF(O$7=-1,P51,IF(O$7=99,N51,IF(O$7=0,INDEX($D51:$G51,0,O$5),(INDEX($D51:$G51,0,O$7+1)-INDEX($D51:$G51,0,O$7))/(INDEX($D$4:$G$4,0,O$7+1)-INDEX($D$4:$G$4,0,O$7))+N51)))</f>
        <v>1</v>
      </c>
      <c r="P51" s="185" cm="1">
        <f t="array" ref="P51">IF(P$7=-1,Q51,IF(P$7=99,O51,IF(P$7=0,INDEX($D51:$G51,0,P$5),(INDEX($D51:$G51,0,P$7+1)-INDEX($D51:$G51,0,P$7))/(INDEX($D$4:$G$4,0,P$7+1)-INDEX($D$4:$G$4,0,P$7))+O51)))</f>
        <v>1</v>
      </c>
      <c r="Q51" s="185" cm="1">
        <f t="array" ref="Q51">IF(Q$7=-1,R51,IF(Q$7=99,P51,IF(Q$7=0,INDEX($D51:$G51,0,Q$5),(INDEX($D51:$G51,0,Q$7+1)-INDEX($D51:$G51,0,Q$7))/(INDEX($D$4:$G$4,0,Q$7+1)-INDEX($D$4:$G$4,0,Q$7))+P51)))</f>
        <v>1</v>
      </c>
      <c r="R51" s="185" cm="1">
        <f t="array" ref="R51">IF(R$7=-1,S51,IF(R$7=99,Q51,IF(R$7=0,INDEX($D51:$G51,0,R$5),(INDEX($D51:$G51,0,R$7+1)-INDEX($D51:$G51,0,R$7))/(INDEX($D$4:$G$4,0,R$7+1)-INDEX($D$4:$G$4,0,R$7))+Q51)))</f>
        <v>1</v>
      </c>
      <c r="S51" s="185" cm="1">
        <f t="array" ref="S51">IF(S$7=-1,T51,IF(S$7=99,R51,IF(S$7=0,INDEX($D51:$G51,0,S$5),(INDEX($D51:$G51,0,S$7+1)-INDEX($D51:$G51,0,S$7))/(INDEX($D$4:$G$4,0,S$7+1)-INDEX($D$4:$G$4,0,S$7))+R51)))</f>
        <v>1</v>
      </c>
      <c r="T51" s="343">
        <f t="shared" ref="T51:AA51" si="24">IF(T$54=1,($AB51-$S51)/$AC$54+S51,$AB51)</f>
        <v>1</v>
      </c>
      <c r="U51" s="343">
        <f t="shared" si="24"/>
        <v>1</v>
      </c>
      <c r="V51" s="343">
        <f t="shared" si="24"/>
        <v>1</v>
      </c>
      <c r="W51" s="343">
        <f t="shared" si="24"/>
        <v>1</v>
      </c>
      <c r="X51" s="343">
        <f t="shared" si="24"/>
        <v>1</v>
      </c>
      <c r="Y51" s="343">
        <f t="shared" si="24"/>
        <v>1</v>
      </c>
      <c r="Z51" s="343">
        <f t="shared" si="24"/>
        <v>1</v>
      </c>
      <c r="AA51" s="343">
        <f t="shared" si="24"/>
        <v>1</v>
      </c>
      <c r="AB51" s="185" cm="1">
        <f t="array" ref="AB51">IF(AB$7=-1,AC51,IF(AB$7=99,AA51,IF(AB$7=0,INDEX($D51:$G51,0,AB$5),(INDEX($D51:$G51,0,AB$7+1)-INDEX($D51:$G51,0,AB$7))/(INDEX($D$4:$G$4,0,AB$7+1)-INDEX($D$4:$G$4,0,AB$7))+AA51)))</f>
        <v>1</v>
      </c>
      <c r="AC51" s="185" cm="1">
        <f t="array" ref="AC51">IF(AC$7=-1,AD51,IF(AC$7=99,AB51,IF(AC$7=0,INDEX($D51:$G51,0,AC$5),(INDEX($D51:$G51,0,AC$7+1)-INDEX($D51:$G51,0,AC$7))/(INDEX($D$4:$G$4,0,AC$7+1)-INDEX($D$4:$G$4,0,AC$7))+AB51)))</f>
        <v>1</v>
      </c>
      <c r="AD51" s="185" cm="1">
        <f t="array" ref="AD51">IF(AD$7=-1,AE51,IF(AD$7=99,AC51,IF(AD$7=0,INDEX($D51:$G51,0,AD$5),(INDEX($D51:$G51,0,AD$7+1)-INDEX($D51:$G51,0,AD$7))/(INDEX($D$4:$G$4,0,AD$7+1)-INDEX($D$4:$G$4,0,AD$7))+AC51)))</f>
        <v>1</v>
      </c>
      <c r="AE51" s="185" cm="1">
        <f t="array" ref="AE51">IF(AE$7=-1,AF51,IF(AE$7=99,AD51,IF(AE$7=0,INDEX($D51:$G51,0,AE$5),(INDEX($D51:$G51,0,AE$7+1)-INDEX($D51:$G51,0,AE$7))/(INDEX($D$4:$G$4,0,AE$7+1)-INDEX($D$4:$G$4,0,AE$7))+AD51)))</f>
        <v>1</v>
      </c>
      <c r="AF51" s="185" cm="1">
        <f t="array" ref="AF51">IF(AF$7=-1,AG51,IF(AF$7=99,AE51,IF(AF$7=0,INDEX($D51:$G51,0,AF$5),(INDEX($D51:$G51,0,AF$7+1)-INDEX($D51:$G51,0,AF$7))/(INDEX($D$4:$G$4,0,AF$7+1)-INDEX($D$4:$G$4,0,AF$7))+AE51)))</f>
        <v>1</v>
      </c>
      <c r="AG51" s="185" cm="1">
        <f t="array" ref="AG51">IF(AG$7=-1,AH51,IF(AG$7=99,AF51,IF(AG$7=0,INDEX($D51:$G51,0,AG$5),(INDEX($D51:$G51,0,AG$7+1)-INDEX($D51:$G51,0,AG$7))/(INDEX($D$4:$G$4,0,AG$7+1)-INDEX($D$4:$G$4,0,AG$7))+AF51)))</f>
        <v>1</v>
      </c>
      <c r="AH51" s="185" cm="1">
        <f t="array" ref="AH51">IF(AH$7=-1,AI51,IF(AH$7=99,AG51,IF(AH$7=0,INDEX($D51:$G51,0,AH$5),(INDEX($D51:$G51,0,AH$7+1)-INDEX($D51:$G51,0,AH$7))/(INDEX($D$4:$G$4,0,AH$7+1)-INDEX($D$4:$G$4,0,AH$7))+AG51)))</f>
        <v>1</v>
      </c>
      <c r="AI51" s="185" cm="1">
        <f t="array" ref="AI51">IF(AI$7=-1,AJ51,IF(AI$7=99,AH51,IF(AI$7=0,INDEX($D51:$G51,0,AI$5),(INDEX($D51:$G51,0,AI$7+1)-INDEX($D51:$G51,0,AI$7))/(INDEX($D$4:$G$4,0,AI$7+1)-INDEX($D$4:$G$4,0,AI$7))+AH51)))</f>
        <v>1</v>
      </c>
      <c r="AJ51" s="185" cm="1">
        <f t="array" ref="AJ51">IF(AJ$7=-1,AK51,IF(AJ$7=99,AI51,IF(AJ$7=0,INDEX($D51:$G51,0,AJ$5),(INDEX($D51:$G51,0,AJ$7+1)-INDEX($D51:$G51,0,AJ$7))/(INDEX($D$4:$G$4,0,AJ$7+1)-INDEX($D$4:$G$4,0,AJ$7))+AI51)))</f>
        <v>1</v>
      </c>
      <c r="AK51" s="185" cm="1">
        <f t="array" ref="AK51">IF(AK$7=-1,AL51,IF(AK$7=99,AJ51,IF(AK$7=0,INDEX($D51:$G51,0,AK$5),(INDEX($D51:$G51,0,AK$7+1)-INDEX($D51:$G51,0,AK$7))/(INDEX($D$4:$G$4,0,AK$7+1)-INDEX($D$4:$G$4,0,AK$7))+AJ51)))</f>
        <v>1</v>
      </c>
      <c r="AL51" s="185" cm="1">
        <f t="array" ref="AL51">IF(AL$7=-1,AM51,IF(AL$7=99,AK51,IF(AL$7=0,INDEX($D51:$G51,0,AL$5),(INDEX($D51:$G51,0,AL$7+1)-INDEX($D51:$G51,0,AL$7))/(INDEX($D$4:$G$4,0,AL$7+1)-INDEX($D$4:$G$4,0,AL$7))+AK51)))</f>
        <v>1</v>
      </c>
      <c r="AM51" s="185" cm="1">
        <f t="array" ref="AM51">IF(AM$7=-1,AN51,IF(AM$7=99,AL51,IF(AM$7=0,INDEX($D51:$G51,0,AM$5),(INDEX($D51:$G51,0,AM$7+1)-INDEX($D51:$G51,0,AM$7))/(INDEX($D$4:$G$4,0,AM$7+1)-INDEX($D$4:$G$4,0,AM$7))+AL51)))</f>
        <v>1</v>
      </c>
      <c r="AN51" s="185" cm="1">
        <f t="array" ref="AN51">IF(AN$7=-1,AO51,IF(AN$7=99,AM51,IF(AN$7=0,INDEX($D51:$G51,0,AN$5),(INDEX($D51:$G51,0,AN$7+1)-INDEX($D51:$G51,0,AN$7))/(INDEX($D$4:$G$4,0,AN$7+1)-INDEX($D$4:$G$4,0,AN$7))+AM51)))</f>
        <v>1</v>
      </c>
      <c r="AO51" s="185" cm="1">
        <f t="array" ref="AO51">IF(AO$7=-1,AP51,IF(AO$7=99,AN51,IF(AO$7=0,INDEX($D51:$G51,0,AO$5),(INDEX($D51:$G51,0,AO$7+1)-INDEX($D51:$G51,0,AO$7))/(INDEX($D$4:$G$4,0,AO$7+1)-INDEX($D$4:$G$4,0,AO$7))+AN51)))</f>
        <v>1</v>
      </c>
      <c r="AP51" s="185" cm="1">
        <f t="array" ref="AP51">IF(AP$7=-1,AQ51,IF(AP$7=99,AO51,IF(AP$7=0,INDEX($D51:$G51,0,AP$5),(INDEX($D51:$G51,0,AP$7+1)-INDEX($D51:$G51,0,AP$7))/(INDEX($D$4:$G$4,0,AP$7+1)-INDEX($D$4:$G$4,0,AP$7))+AO51)))</f>
        <v>1</v>
      </c>
    </row>
    <row r="52" spans="1:42">
      <c r="A52" s="185" t="s">
        <v>16</v>
      </c>
      <c r="B52" s="186" t="str">
        <f t="shared" si="13"/>
        <v>PP</v>
      </c>
      <c r="C52" s="186" t="str">
        <f t="shared" si="13"/>
        <v>Pulp &amp; Paper Products</v>
      </c>
      <c r="D52" s="185">
        <v>1</v>
      </c>
      <c r="E52" s="185">
        <v>1</v>
      </c>
      <c r="F52" s="185">
        <v>1</v>
      </c>
      <c r="G52" s="185">
        <v>1</v>
      </c>
      <c r="J52" s="185" cm="1">
        <f t="array" ref="J52">IF(J$7=-1,K52,IF(J$7=99,I52,IF(J$7=0,INDEX($D52:$G52,0,J$5),(INDEX($D52:$G52,0,J$7+1)-INDEX($D52:$G52,0,J$7))/(INDEX($D$4:$G$4,0,J$7+1)-INDEX($D$4:$G$4,0,J$7))+I52)))</f>
        <v>1</v>
      </c>
      <c r="K52" s="185" cm="1">
        <f t="array" ref="K52">IF(K$7=-1,L52,IF(K$7=99,J52,IF(K$7=0,INDEX($D52:$G52,0,K$5),(INDEX($D52:$G52,0,K$7+1)-INDEX($D52:$G52,0,K$7))/(INDEX($D$4:$G$4,0,K$7+1)-INDEX($D$4:$G$4,0,K$7))+J52)))</f>
        <v>1</v>
      </c>
      <c r="L52" s="185" cm="1">
        <f t="array" ref="L52">IF(L$7=-1,M52,IF(L$7=99,K52,IF(L$7=0,INDEX($D52:$G52,0,L$5),(INDEX($D52:$G52,0,L$7+1)-INDEX($D52:$G52,0,L$7))/(INDEX($D$4:$G$4,0,L$7+1)-INDEX($D$4:$G$4,0,L$7))+K52)))</f>
        <v>1</v>
      </c>
      <c r="M52" s="185" cm="1">
        <f t="array" ref="M52">IF(M$7=-1,N52,IF(M$7=99,L52,IF(M$7=0,INDEX($D52:$G52,0,M$5),(INDEX($D52:$G52,0,M$7+1)-INDEX($D52:$G52,0,M$7))/(INDEX($D$4:$G$4,0,M$7+1)-INDEX($D$4:$G$4,0,M$7))+L52)))</f>
        <v>1</v>
      </c>
      <c r="N52" s="185" cm="1">
        <f t="array" ref="N52">IF(N$7=-1,O52,IF(N$7=99,M52,IF(N$7=0,INDEX($D52:$G52,0,N$5),(INDEX($D52:$G52,0,N$7+1)-INDEX($D52:$G52,0,N$7))/(INDEX($D$4:$G$4,0,N$7+1)-INDEX($D$4:$G$4,0,N$7))+M52)))</f>
        <v>1</v>
      </c>
      <c r="O52" s="185" cm="1">
        <f t="array" ref="O52">IF(O$7=-1,P52,IF(O$7=99,N52,IF(O$7=0,INDEX($D52:$G52,0,O$5),(INDEX($D52:$G52,0,O$7+1)-INDEX($D52:$G52,0,O$7))/(INDEX($D$4:$G$4,0,O$7+1)-INDEX($D$4:$G$4,0,O$7))+N52)))</f>
        <v>1</v>
      </c>
      <c r="P52" s="185" cm="1">
        <f t="array" ref="P52">IF(P$7=-1,Q52,IF(P$7=99,O52,IF(P$7=0,INDEX($D52:$G52,0,P$5),(INDEX($D52:$G52,0,P$7+1)-INDEX($D52:$G52,0,P$7))/(INDEX($D$4:$G$4,0,P$7+1)-INDEX($D$4:$G$4,0,P$7))+O52)))</f>
        <v>1</v>
      </c>
      <c r="Q52" s="185" cm="1">
        <f t="array" ref="Q52">IF(Q$7=-1,R52,IF(Q$7=99,P52,IF(Q$7=0,INDEX($D52:$G52,0,Q$5),(INDEX($D52:$G52,0,Q$7+1)-INDEX($D52:$G52,0,Q$7))/(INDEX($D$4:$G$4,0,Q$7+1)-INDEX($D$4:$G$4,0,Q$7))+P52)))</f>
        <v>1</v>
      </c>
      <c r="R52" s="185" cm="1">
        <f t="array" ref="R52">IF(R$7=-1,S52,IF(R$7=99,Q52,IF(R$7=0,INDEX($D52:$G52,0,R$5),(INDEX($D52:$G52,0,R$7+1)-INDEX($D52:$G52,0,R$7))/(INDEX($D$4:$G$4,0,R$7+1)-INDEX($D$4:$G$4,0,R$7))+Q52)))</f>
        <v>1</v>
      </c>
      <c r="S52" s="185" cm="1">
        <f t="array" ref="S52">IF(S$7=-1,T52,IF(S$7=99,R52,IF(S$7=0,INDEX($D52:$G52,0,S$5),(INDEX($D52:$G52,0,S$7+1)-INDEX($D52:$G52,0,S$7))/(INDEX($D$4:$G$4,0,S$7+1)-INDEX($D$4:$G$4,0,S$7))+R52)))</f>
        <v>1</v>
      </c>
      <c r="T52" s="343">
        <f t="shared" ref="T52:AA52" si="25">IF(T$54=1,($AB52-$S52)/$AC$54+S52,$AB52)</f>
        <v>1</v>
      </c>
      <c r="U52" s="343">
        <f t="shared" si="25"/>
        <v>1</v>
      </c>
      <c r="V52" s="343">
        <f t="shared" si="25"/>
        <v>1</v>
      </c>
      <c r="W52" s="343">
        <f t="shared" si="25"/>
        <v>1</v>
      </c>
      <c r="X52" s="343">
        <f t="shared" si="25"/>
        <v>1</v>
      </c>
      <c r="Y52" s="343">
        <f t="shared" si="25"/>
        <v>1</v>
      </c>
      <c r="Z52" s="343">
        <f t="shared" si="25"/>
        <v>1</v>
      </c>
      <c r="AA52" s="343">
        <f t="shared" si="25"/>
        <v>1</v>
      </c>
      <c r="AB52" s="185" cm="1">
        <f t="array" ref="AB52">IF(AB$7=-1,AC52,IF(AB$7=99,AA52,IF(AB$7=0,INDEX($D52:$G52,0,AB$5),(INDEX($D52:$G52,0,AB$7+1)-INDEX($D52:$G52,0,AB$7))/(INDEX($D$4:$G$4,0,AB$7+1)-INDEX($D$4:$G$4,0,AB$7))+AA52)))</f>
        <v>1</v>
      </c>
      <c r="AC52" s="185" cm="1">
        <f t="array" ref="AC52">IF(AC$7=-1,AD52,IF(AC$7=99,AB52,IF(AC$7=0,INDEX($D52:$G52,0,AC$5),(INDEX($D52:$G52,0,AC$7+1)-INDEX($D52:$G52,0,AC$7))/(INDEX($D$4:$G$4,0,AC$7+1)-INDEX($D$4:$G$4,0,AC$7))+AB52)))</f>
        <v>1</v>
      </c>
      <c r="AD52" s="185" cm="1">
        <f t="array" ref="AD52">IF(AD$7=-1,AE52,IF(AD$7=99,AC52,IF(AD$7=0,INDEX($D52:$G52,0,AD$5),(INDEX($D52:$G52,0,AD$7+1)-INDEX($D52:$G52,0,AD$7))/(INDEX($D$4:$G$4,0,AD$7+1)-INDEX($D$4:$G$4,0,AD$7))+AC52)))</f>
        <v>1</v>
      </c>
      <c r="AE52" s="185" cm="1">
        <f t="array" ref="AE52">IF(AE$7=-1,AF52,IF(AE$7=99,AD52,IF(AE$7=0,INDEX($D52:$G52,0,AE$5),(INDEX($D52:$G52,0,AE$7+1)-INDEX($D52:$G52,0,AE$7))/(INDEX($D$4:$G$4,0,AE$7+1)-INDEX($D$4:$G$4,0,AE$7))+AD52)))</f>
        <v>1</v>
      </c>
      <c r="AF52" s="185" cm="1">
        <f t="array" ref="AF52">IF(AF$7=-1,AG52,IF(AF$7=99,AE52,IF(AF$7=0,INDEX($D52:$G52,0,AF$5),(INDEX($D52:$G52,0,AF$7+1)-INDEX($D52:$G52,0,AF$7))/(INDEX($D$4:$G$4,0,AF$7+1)-INDEX($D$4:$G$4,0,AF$7))+AE52)))</f>
        <v>1</v>
      </c>
      <c r="AG52" s="185" cm="1">
        <f t="array" ref="AG52">IF(AG$7=-1,AH52,IF(AG$7=99,AF52,IF(AG$7=0,INDEX($D52:$G52,0,AG$5),(INDEX($D52:$G52,0,AG$7+1)-INDEX($D52:$G52,0,AG$7))/(INDEX($D$4:$G$4,0,AG$7+1)-INDEX($D$4:$G$4,0,AG$7))+AF52)))</f>
        <v>1</v>
      </c>
      <c r="AH52" s="185" cm="1">
        <f t="array" ref="AH52">IF(AH$7=-1,AI52,IF(AH$7=99,AG52,IF(AH$7=0,INDEX($D52:$G52,0,AH$5),(INDEX($D52:$G52,0,AH$7+1)-INDEX($D52:$G52,0,AH$7))/(INDEX($D$4:$G$4,0,AH$7+1)-INDEX($D$4:$G$4,0,AH$7))+AG52)))</f>
        <v>1</v>
      </c>
      <c r="AI52" s="185" cm="1">
        <f t="array" ref="AI52">IF(AI$7=-1,AJ52,IF(AI$7=99,AH52,IF(AI$7=0,INDEX($D52:$G52,0,AI$5),(INDEX($D52:$G52,0,AI$7+1)-INDEX($D52:$G52,0,AI$7))/(INDEX($D$4:$G$4,0,AI$7+1)-INDEX($D$4:$G$4,0,AI$7))+AH52)))</f>
        <v>1</v>
      </c>
      <c r="AJ52" s="185" cm="1">
        <f t="array" ref="AJ52">IF(AJ$7=-1,AK52,IF(AJ$7=99,AI52,IF(AJ$7=0,INDEX($D52:$G52,0,AJ$5),(INDEX($D52:$G52,0,AJ$7+1)-INDEX($D52:$G52,0,AJ$7))/(INDEX($D$4:$G$4,0,AJ$7+1)-INDEX($D$4:$G$4,0,AJ$7))+AI52)))</f>
        <v>1</v>
      </c>
      <c r="AK52" s="185" cm="1">
        <f t="array" ref="AK52">IF(AK$7=-1,AL52,IF(AK$7=99,AJ52,IF(AK$7=0,INDEX($D52:$G52,0,AK$5),(INDEX($D52:$G52,0,AK$7+1)-INDEX($D52:$G52,0,AK$7))/(INDEX($D$4:$G$4,0,AK$7+1)-INDEX($D$4:$G$4,0,AK$7))+AJ52)))</f>
        <v>1</v>
      </c>
      <c r="AL52" s="185" cm="1">
        <f t="array" ref="AL52">IF(AL$7=-1,AM52,IF(AL$7=99,AK52,IF(AL$7=0,INDEX($D52:$G52,0,AL$5),(INDEX($D52:$G52,0,AL$7+1)-INDEX($D52:$G52,0,AL$7))/(INDEX($D$4:$G$4,0,AL$7+1)-INDEX($D$4:$G$4,0,AL$7))+AK52)))</f>
        <v>1</v>
      </c>
      <c r="AM52" s="185" cm="1">
        <f t="array" ref="AM52">IF(AM$7=-1,AN52,IF(AM$7=99,AL52,IF(AM$7=0,INDEX($D52:$G52,0,AM$5),(INDEX($D52:$G52,0,AM$7+1)-INDEX($D52:$G52,0,AM$7))/(INDEX($D$4:$G$4,0,AM$7+1)-INDEX($D$4:$G$4,0,AM$7))+AL52)))</f>
        <v>1</v>
      </c>
      <c r="AN52" s="185" cm="1">
        <f t="array" ref="AN52">IF(AN$7=-1,AO52,IF(AN$7=99,AM52,IF(AN$7=0,INDEX($D52:$G52,0,AN$5),(INDEX($D52:$G52,0,AN$7+1)-INDEX($D52:$G52,0,AN$7))/(INDEX($D$4:$G$4,0,AN$7+1)-INDEX($D$4:$G$4,0,AN$7))+AM52)))</f>
        <v>1</v>
      </c>
      <c r="AO52" s="185" cm="1">
        <f t="array" ref="AO52">IF(AO$7=-1,AP52,IF(AO$7=99,AN52,IF(AO$7=0,INDEX($D52:$G52,0,AO$5),(INDEX($D52:$G52,0,AO$7+1)-INDEX($D52:$G52,0,AO$7))/(INDEX($D$4:$G$4,0,AO$7+1)-INDEX($D$4:$G$4,0,AO$7))+AN52)))</f>
        <v>1</v>
      </c>
      <c r="AP52" s="185" cm="1">
        <f t="array" ref="AP52">IF(AP$7=-1,AQ52,IF(AP$7=99,AO52,IF(AP$7=0,INDEX($D52:$G52,0,AP$5),(INDEX($D52:$G52,0,AP$7+1)-INDEX($D52:$G52,0,AP$7))/(INDEX($D$4:$G$4,0,AP$7+1)-INDEX($D$4:$G$4,0,AP$7))+AO52)))</f>
        <v>1</v>
      </c>
    </row>
    <row r="53" spans="1:42">
      <c r="A53" s="185" t="s">
        <v>16</v>
      </c>
      <c r="B53" s="186" t="str">
        <f>B22</f>
        <v>OT</v>
      </c>
      <c r="C53" s="186" t="str">
        <f>C22</f>
        <v>Other</v>
      </c>
      <c r="D53" s="185">
        <v>1</v>
      </c>
      <c r="E53" s="185">
        <v>1</v>
      </c>
      <c r="F53" s="185">
        <v>1</v>
      </c>
      <c r="G53" s="185">
        <v>1</v>
      </c>
      <c r="J53" s="185" cm="1">
        <f t="array" ref="J53">IF(J$7=-1,K53,IF(J$7=99,I53,IF(J$7=0,INDEX($D53:$G53,0,J$5),(INDEX($D53:$G53,0,J$7+1)-INDEX($D53:$G53,0,J$7))/(INDEX($D$4:$G$4,0,J$7+1)-INDEX($D$4:$G$4,0,J$7))+I53)))</f>
        <v>1</v>
      </c>
      <c r="K53" s="185" cm="1">
        <f t="array" ref="K53">IF(K$7=-1,L53,IF(K$7=99,J53,IF(K$7=0,INDEX($D53:$G53,0,K$5),(INDEX($D53:$G53,0,K$7+1)-INDEX($D53:$G53,0,K$7))/(INDEX($D$4:$G$4,0,K$7+1)-INDEX($D$4:$G$4,0,K$7))+J53)))</f>
        <v>1</v>
      </c>
      <c r="L53" s="185" cm="1">
        <f t="array" ref="L53">IF(L$7=-1,M53,IF(L$7=99,K53,IF(L$7=0,INDEX($D53:$G53,0,L$5),(INDEX($D53:$G53,0,L$7+1)-INDEX($D53:$G53,0,L$7))/(INDEX($D$4:$G$4,0,L$7+1)-INDEX($D$4:$G$4,0,L$7))+K53)))</f>
        <v>1</v>
      </c>
      <c r="M53" s="185" cm="1">
        <f t="array" ref="M53">IF(M$7=-1,N53,IF(M$7=99,L53,IF(M$7=0,INDEX($D53:$G53,0,M$5),(INDEX($D53:$G53,0,M$7+1)-INDEX($D53:$G53,0,M$7))/(INDEX($D$4:$G$4,0,M$7+1)-INDEX($D$4:$G$4,0,M$7))+L53)))</f>
        <v>1</v>
      </c>
      <c r="N53" s="185" cm="1">
        <f t="array" ref="N53">IF(N$7=-1,O53,IF(N$7=99,M53,IF(N$7=0,INDEX($D53:$G53,0,N$5),(INDEX($D53:$G53,0,N$7+1)-INDEX($D53:$G53,0,N$7))/(INDEX($D$4:$G$4,0,N$7+1)-INDEX($D$4:$G$4,0,N$7))+M53)))</f>
        <v>1</v>
      </c>
      <c r="O53" s="185" cm="1">
        <f t="array" ref="O53">IF(O$7=-1,P53,IF(O$7=99,N53,IF(O$7=0,INDEX($D53:$G53,0,O$5),(INDEX($D53:$G53,0,O$7+1)-INDEX($D53:$G53,0,O$7))/(INDEX($D$4:$G$4,0,O$7+1)-INDEX($D$4:$G$4,0,O$7))+N53)))</f>
        <v>1</v>
      </c>
      <c r="P53" s="185" cm="1">
        <f t="array" ref="P53">IF(P$7=-1,Q53,IF(P$7=99,O53,IF(P$7=0,INDEX($D53:$G53,0,P$5),(INDEX($D53:$G53,0,P$7+1)-INDEX($D53:$G53,0,P$7))/(INDEX($D$4:$G$4,0,P$7+1)-INDEX($D$4:$G$4,0,P$7))+O53)))</f>
        <v>1</v>
      </c>
      <c r="Q53" s="185" cm="1">
        <f t="array" ref="Q53">IF(Q$7=-1,R53,IF(Q$7=99,P53,IF(Q$7=0,INDEX($D53:$G53,0,Q$5),(INDEX($D53:$G53,0,Q$7+1)-INDEX($D53:$G53,0,Q$7))/(INDEX($D$4:$G$4,0,Q$7+1)-INDEX($D$4:$G$4,0,Q$7))+P53)))</f>
        <v>1</v>
      </c>
      <c r="R53" s="185" cm="1">
        <f t="array" ref="R53">IF(R$7=-1,S53,IF(R$7=99,Q53,IF(R$7=0,INDEX($D53:$G53,0,R$5),(INDEX($D53:$G53,0,R$7+1)-INDEX($D53:$G53,0,R$7))/(INDEX($D$4:$G$4,0,R$7+1)-INDEX($D$4:$G$4,0,R$7))+Q53)))</f>
        <v>1</v>
      </c>
      <c r="S53" s="185" cm="1">
        <f t="array" ref="S53">IF(S$7=-1,T53,IF(S$7=99,R53,IF(S$7=0,INDEX($D53:$G53,0,S$5),(INDEX($D53:$G53,0,S$7+1)-INDEX($D53:$G53,0,S$7))/(INDEX($D$4:$G$4,0,S$7+1)-INDEX($D$4:$G$4,0,S$7))+R53)))</f>
        <v>1</v>
      </c>
      <c r="T53" s="343">
        <f t="shared" ref="T53:AA53" si="26">IF(T$54=1,($AB53-$S53)/$AC$54+S53,$AB53)</f>
        <v>1</v>
      </c>
      <c r="U53" s="343">
        <f t="shared" si="26"/>
        <v>1</v>
      </c>
      <c r="V53" s="343">
        <f t="shared" si="26"/>
        <v>1</v>
      </c>
      <c r="W53" s="343">
        <f t="shared" si="26"/>
        <v>1</v>
      </c>
      <c r="X53" s="343">
        <f t="shared" si="26"/>
        <v>1</v>
      </c>
      <c r="Y53" s="343">
        <f t="shared" si="26"/>
        <v>1</v>
      </c>
      <c r="Z53" s="343">
        <f t="shared" si="26"/>
        <v>1</v>
      </c>
      <c r="AA53" s="343">
        <f t="shared" si="26"/>
        <v>1</v>
      </c>
      <c r="AB53" s="185" cm="1">
        <f t="array" ref="AB53">IF(AB$7=-1,AC53,IF(AB$7=99,AA53,IF(AB$7=0,INDEX($D53:$G53,0,AB$5),(INDEX($D53:$G53,0,AB$7+1)-INDEX($D53:$G53,0,AB$7))/(INDEX($D$4:$G$4,0,AB$7+1)-INDEX($D$4:$G$4,0,AB$7))+AA53)))</f>
        <v>1</v>
      </c>
      <c r="AC53" s="185" cm="1">
        <f t="array" ref="AC53">IF(AC$7=-1,AD53,IF(AC$7=99,AB53,IF(AC$7=0,INDEX($D53:$G53,0,AC$5),(INDEX($D53:$G53,0,AC$7+1)-INDEX($D53:$G53,0,AC$7))/(INDEX($D$4:$G$4,0,AC$7+1)-INDEX($D$4:$G$4,0,AC$7))+AB53)))</f>
        <v>1</v>
      </c>
      <c r="AD53" s="185" cm="1">
        <f t="array" ref="AD53">IF(AD$7=-1,AE53,IF(AD$7=99,AC53,IF(AD$7=0,INDEX($D53:$G53,0,AD$5),(INDEX($D53:$G53,0,AD$7+1)-INDEX($D53:$G53,0,AD$7))/(INDEX($D$4:$G$4,0,AD$7+1)-INDEX($D$4:$G$4,0,AD$7))+AC53)))</f>
        <v>1</v>
      </c>
      <c r="AE53" s="185" cm="1">
        <f t="array" ref="AE53">IF(AE$7=-1,AF53,IF(AE$7=99,AD53,IF(AE$7=0,INDEX($D53:$G53,0,AE$5),(INDEX($D53:$G53,0,AE$7+1)-INDEX($D53:$G53,0,AE$7))/(INDEX($D$4:$G$4,0,AE$7+1)-INDEX($D$4:$G$4,0,AE$7))+AD53)))</f>
        <v>1</v>
      </c>
      <c r="AF53" s="185" cm="1">
        <f t="array" ref="AF53">IF(AF$7=-1,AG53,IF(AF$7=99,AE53,IF(AF$7=0,INDEX($D53:$G53,0,AF$5),(INDEX($D53:$G53,0,AF$7+1)-INDEX($D53:$G53,0,AF$7))/(INDEX($D$4:$G$4,0,AF$7+1)-INDEX($D$4:$G$4,0,AF$7))+AE53)))</f>
        <v>1</v>
      </c>
      <c r="AG53" s="185" cm="1">
        <f t="array" ref="AG53">IF(AG$7=-1,AH53,IF(AG$7=99,AF53,IF(AG$7=0,INDEX($D53:$G53,0,AG$5),(INDEX($D53:$G53,0,AG$7+1)-INDEX($D53:$G53,0,AG$7))/(INDEX($D$4:$G$4,0,AG$7+1)-INDEX($D$4:$G$4,0,AG$7))+AF53)))</f>
        <v>1</v>
      </c>
      <c r="AH53" s="185" cm="1">
        <f t="array" ref="AH53">IF(AH$7=-1,AI53,IF(AH$7=99,AG53,IF(AH$7=0,INDEX($D53:$G53,0,AH$5),(INDEX($D53:$G53,0,AH$7+1)-INDEX($D53:$G53,0,AH$7))/(INDEX($D$4:$G$4,0,AH$7+1)-INDEX($D$4:$G$4,0,AH$7))+AG53)))</f>
        <v>1</v>
      </c>
      <c r="AI53" s="185" cm="1">
        <f t="array" ref="AI53">IF(AI$7=-1,AJ53,IF(AI$7=99,AH53,IF(AI$7=0,INDEX($D53:$G53,0,AI$5),(INDEX($D53:$G53,0,AI$7+1)-INDEX($D53:$G53,0,AI$7))/(INDEX($D$4:$G$4,0,AI$7+1)-INDEX($D$4:$G$4,0,AI$7))+AH53)))</f>
        <v>1</v>
      </c>
      <c r="AJ53" s="185" cm="1">
        <f t="array" ref="AJ53">IF(AJ$7=-1,AK53,IF(AJ$7=99,AI53,IF(AJ$7=0,INDEX($D53:$G53,0,AJ$5),(INDEX($D53:$G53,0,AJ$7+1)-INDEX($D53:$G53,0,AJ$7))/(INDEX($D$4:$G$4,0,AJ$7+1)-INDEX($D$4:$G$4,0,AJ$7))+AI53)))</f>
        <v>1</v>
      </c>
      <c r="AK53" s="185" cm="1">
        <f t="array" ref="AK53">IF(AK$7=-1,AL53,IF(AK$7=99,AJ53,IF(AK$7=0,INDEX($D53:$G53,0,AK$5),(INDEX($D53:$G53,0,AK$7+1)-INDEX($D53:$G53,0,AK$7))/(INDEX($D$4:$G$4,0,AK$7+1)-INDEX($D$4:$G$4,0,AK$7))+AJ53)))</f>
        <v>1</v>
      </c>
      <c r="AL53" s="185" cm="1">
        <f t="array" ref="AL53">IF(AL$7=-1,AM53,IF(AL$7=99,AK53,IF(AL$7=0,INDEX($D53:$G53,0,AL$5),(INDEX($D53:$G53,0,AL$7+1)-INDEX($D53:$G53,0,AL$7))/(INDEX($D$4:$G$4,0,AL$7+1)-INDEX($D$4:$G$4,0,AL$7))+AK53)))</f>
        <v>1</v>
      </c>
      <c r="AM53" s="185" cm="1">
        <f t="array" ref="AM53">IF(AM$7=-1,AN53,IF(AM$7=99,AL53,IF(AM$7=0,INDEX($D53:$G53,0,AM$5),(INDEX($D53:$G53,0,AM$7+1)-INDEX($D53:$G53,0,AM$7))/(INDEX($D$4:$G$4,0,AM$7+1)-INDEX($D$4:$G$4,0,AM$7))+AL53)))</f>
        <v>1</v>
      </c>
      <c r="AN53" s="185" cm="1">
        <f t="array" ref="AN53">IF(AN$7=-1,AO53,IF(AN$7=99,AM53,IF(AN$7=0,INDEX($D53:$G53,0,AN$5),(INDEX($D53:$G53,0,AN$7+1)-INDEX($D53:$G53,0,AN$7))/(INDEX($D$4:$G$4,0,AN$7+1)-INDEX($D$4:$G$4,0,AN$7))+AM53)))</f>
        <v>1</v>
      </c>
      <c r="AO53" s="185" cm="1">
        <f t="array" ref="AO53">IF(AO$7=-1,AP53,IF(AO$7=99,AN53,IF(AO$7=0,INDEX($D53:$G53,0,AO$5),(INDEX($D53:$G53,0,AO$7+1)-INDEX($D53:$G53,0,AO$7))/(INDEX($D$4:$G$4,0,AO$7+1)-INDEX($D$4:$G$4,0,AO$7))+AN53)))</f>
        <v>1</v>
      </c>
      <c r="AP53" s="185" cm="1">
        <f t="array" ref="AP53">IF(AP$7=-1,AQ53,IF(AP$7=99,AO53,IF(AP$7=0,INDEX($D53:$G53,0,AP$5),(INDEX($D53:$G53,0,AP$7+1)-INDEX($D53:$G53,0,AP$7))/(INDEX($D$4:$G$4,0,AP$7+1)-INDEX($D$4:$G$4,0,AP$7))+AO53)))</f>
        <v>1</v>
      </c>
    </row>
    <row r="54" spans="1:42">
      <c r="A54" s="185" t="s">
        <v>16</v>
      </c>
      <c r="B54" s="186"/>
      <c r="T54" s="345">
        <f>IF(T3&lt;=$X$39,1,0)</f>
        <v>1</v>
      </c>
      <c r="U54" s="345">
        <f t="shared" ref="U54:AB54" si="27">IF(U3&lt;=$X$39,1,0)</f>
        <v>1</v>
      </c>
      <c r="V54" s="345">
        <f t="shared" si="27"/>
        <v>1</v>
      </c>
      <c r="W54" s="345">
        <f t="shared" si="27"/>
        <v>1</v>
      </c>
      <c r="X54" s="345">
        <f t="shared" si="27"/>
        <v>0</v>
      </c>
      <c r="Y54" s="345">
        <f t="shared" si="27"/>
        <v>0</v>
      </c>
      <c r="Z54" s="345">
        <f t="shared" si="27"/>
        <v>0</v>
      </c>
      <c r="AA54" s="345">
        <f t="shared" si="27"/>
        <v>0</v>
      </c>
      <c r="AB54" s="345">
        <f t="shared" si="27"/>
        <v>0</v>
      </c>
      <c r="AC54" s="345">
        <f>SUM(T54:AB54)</f>
        <v>4</v>
      </c>
    </row>
    <row r="55" spans="1:42" ht="15.75" thickBot="1">
      <c r="A55" s="185" t="s">
        <v>16</v>
      </c>
      <c r="B55" s="14" t="s">
        <v>289</v>
      </c>
      <c r="C55" s="14"/>
      <c r="V55" s="344"/>
      <c r="W55" s="344"/>
      <c r="X55" s="344"/>
      <c r="Y55" s="344"/>
      <c r="Z55" s="344"/>
      <c r="AA55" s="344"/>
      <c r="AB55" s="344"/>
    </row>
    <row r="56" spans="1:42">
      <c r="A56" s="185" t="s">
        <v>16</v>
      </c>
      <c r="B56" s="186" t="s">
        <v>107</v>
      </c>
      <c r="C56" s="186" t="s">
        <v>108</v>
      </c>
    </row>
    <row r="57" spans="1:42">
      <c r="A57" s="185" t="s">
        <v>16</v>
      </c>
      <c r="B57" s="186" t="s">
        <v>109</v>
      </c>
      <c r="C57" s="186" t="s">
        <v>110</v>
      </c>
    </row>
    <row r="58" spans="1:42">
      <c r="A58" s="185" t="s">
        <v>16</v>
      </c>
      <c r="B58" s="186" t="s">
        <v>111</v>
      </c>
      <c r="C58" s="186" t="s">
        <v>73</v>
      </c>
    </row>
    <row r="59" spans="1:42">
      <c r="A59" s="185" t="s">
        <v>16</v>
      </c>
      <c r="B59" s="186" t="s">
        <v>112</v>
      </c>
      <c r="C59" s="186" t="s">
        <v>72</v>
      </c>
    </row>
    <row r="60" spans="1:42">
      <c r="A60" s="185" t="s">
        <v>16</v>
      </c>
      <c r="B60" s="186" t="s">
        <v>113</v>
      </c>
      <c r="C60" s="186" t="s">
        <v>114</v>
      </c>
    </row>
    <row r="61" spans="1:42">
      <c r="A61" s="185" t="s">
        <v>16</v>
      </c>
      <c r="B61" s="186" t="s">
        <v>115</v>
      </c>
      <c r="C61" s="186" t="s">
        <v>116</v>
      </c>
    </row>
    <row r="62" spans="1:42">
      <c r="A62" s="185" t="s">
        <v>16</v>
      </c>
      <c r="B62" s="186" t="s">
        <v>117</v>
      </c>
      <c r="C62" s="186" t="s">
        <v>118</v>
      </c>
    </row>
    <row r="63" spans="1:42">
      <c r="A63" s="185" t="s">
        <v>16</v>
      </c>
      <c r="B63" s="186" t="s">
        <v>119</v>
      </c>
      <c r="C63" s="186" t="s">
        <v>120</v>
      </c>
    </row>
    <row r="64" spans="1:42">
      <c r="A64" s="185" t="s">
        <v>16</v>
      </c>
      <c r="B64" s="186" t="s">
        <v>37</v>
      </c>
      <c r="C64" s="186" t="s">
        <v>121</v>
      </c>
    </row>
    <row r="65" spans="1:48">
      <c r="A65" s="185" t="s">
        <v>16</v>
      </c>
      <c r="B65" s="186" t="s">
        <v>122</v>
      </c>
      <c r="C65" s="186" t="s">
        <v>123</v>
      </c>
    </row>
    <row r="66" spans="1:48">
      <c r="A66" s="185" t="s">
        <v>16</v>
      </c>
      <c r="B66" s="186" t="s">
        <v>221</v>
      </c>
      <c r="C66" s="186" t="s">
        <v>220</v>
      </c>
    </row>
    <row r="67" spans="1:48">
      <c r="A67" s="185" t="s">
        <v>16</v>
      </c>
      <c r="B67" s="186" t="s">
        <v>124</v>
      </c>
      <c r="C67" s="186" t="s">
        <v>2</v>
      </c>
      <c r="P67" s="185" t="str">
        <f>ADDRESS(ROW(),1)</f>
        <v>$A$67</v>
      </c>
    </row>
    <row r="68" spans="1:48">
      <c r="A68" s="185" t="s">
        <v>16</v>
      </c>
      <c r="B68" s="186"/>
      <c r="C68" s="186"/>
      <c r="P68" s="185" t="str" cm="1">
        <f t="array" aca="1" ref="P68" ca="1">INDIRECT(P67)</f>
        <v>*</v>
      </c>
    </row>
    <row r="69" spans="1:48" ht="23.25">
      <c r="A69" s="185" t="s">
        <v>16</v>
      </c>
      <c r="B69" s="16" t="s">
        <v>18</v>
      </c>
      <c r="C69" s="16" t="s">
        <v>19</v>
      </c>
      <c r="D69" s="16" t="s">
        <v>20</v>
      </c>
      <c r="E69" s="16" t="s">
        <v>21</v>
      </c>
      <c r="F69" s="16" t="s">
        <v>22</v>
      </c>
      <c r="G69" s="16" t="s">
        <v>23</v>
      </c>
      <c r="H69" s="16" t="s">
        <v>24</v>
      </c>
      <c r="I69" s="17" t="s">
        <v>25</v>
      </c>
      <c r="J69" s="5">
        <f>J3</f>
        <v>2012</v>
      </c>
      <c r="K69" s="5">
        <f t="shared" ref="K69:AP69" si="28">K3</f>
        <v>2013</v>
      </c>
      <c r="L69" s="5">
        <f t="shared" si="28"/>
        <v>2014</v>
      </c>
      <c r="M69" s="5">
        <f t="shared" si="28"/>
        <v>2015</v>
      </c>
      <c r="N69" s="5">
        <f t="shared" si="28"/>
        <v>2016</v>
      </c>
      <c r="O69" s="5">
        <f t="shared" si="28"/>
        <v>2017</v>
      </c>
      <c r="P69" s="5">
        <f t="shared" si="28"/>
        <v>2018</v>
      </c>
      <c r="Q69" s="5">
        <f t="shared" si="28"/>
        <v>2019</v>
      </c>
      <c r="R69" s="5">
        <f t="shared" si="28"/>
        <v>2020</v>
      </c>
      <c r="S69" s="5">
        <f t="shared" si="28"/>
        <v>2021</v>
      </c>
      <c r="T69" s="5">
        <f t="shared" si="28"/>
        <v>2022</v>
      </c>
      <c r="U69" s="5">
        <f t="shared" si="28"/>
        <v>2023</v>
      </c>
      <c r="V69" s="5">
        <f t="shared" si="28"/>
        <v>2024</v>
      </c>
      <c r="W69" s="5">
        <f t="shared" si="28"/>
        <v>2025</v>
      </c>
      <c r="X69" s="5">
        <f t="shared" si="28"/>
        <v>2026</v>
      </c>
      <c r="Y69" s="5">
        <f t="shared" si="28"/>
        <v>2027</v>
      </c>
      <c r="Z69" s="5">
        <f t="shared" si="28"/>
        <v>2028</v>
      </c>
      <c r="AA69" s="5">
        <f t="shared" si="28"/>
        <v>2029</v>
      </c>
      <c r="AB69" s="5">
        <f t="shared" si="28"/>
        <v>2030</v>
      </c>
      <c r="AC69" s="5">
        <f t="shared" si="28"/>
        <v>2031</v>
      </c>
      <c r="AD69" s="5">
        <f t="shared" si="28"/>
        <v>2032</v>
      </c>
      <c r="AE69" s="5">
        <f t="shared" si="28"/>
        <v>2033</v>
      </c>
      <c r="AF69" s="5">
        <f t="shared" si="28"/>
        <v>2034</v>
      </c>
      <c r="AG69" s="5">
        <f t="shared" si="28"/>
        <v>2035</v>
      </c>
      <c r="AH69" s="5">
        <f t="shared" si="28"/>
        <v>2036</v>
      </c>
      <c r="AI69" s="5">
        <f t="shared" si="28"/>
        <v>2037</v>
      </c>
      <c r="AJ69" s="5">
        <f t="shared" si="28"/>
        <v>2038</v>
      </c>
      <c r="AK69" s="5">
        <f t="shared" si="28"/>
        <v>2039</v>
      </c>
      <c r="AL69" s="5">
        <f t="shared" si="28"/>
        <v>2040</v>
      </c>
      <c r="AM69" s="5">
        <f t="shared" si="28"/>
        <v>2045</v>
      </c>
      <c r="AN69" s="5">
        <f t="shared" si="28"/>
        <v>2050</v>
      </c>
      <c r="AO69" s="5">
        <f t="shared" si="28"/>
        <v>2060</v>
      </c>
      <c r="AP69" s="5">
        <f t="shared" si="28"/>
        <v>2070</v>
      </c>
      <c r="AQ69" s="5"/>
      <c r="AR69" s="5"/>
      <c r="AS69" s="5"/>
      <c r="AT69" s="5"/>
      <c r="AU69" s="5"/>
      <c r="AV69" s="5"/>
    </row>
    <row r="70" spans="1:48" s="5" customFormat="1">
      <c r="A70" s="5" t="s">
        <v>16</v>
      </c>
      <c r="B70" s="5">
        <v>1</v>
      </c>
      <c r="C70" s="3" t="str">
        <f ca="1">OFFSET($C$9,$B70,0)</f>
        <v>Mining</v>
      </c>
      <c r="D70" s="3" t="str">
        <f ca="1">OFFSET($B$9,$B70,0)</f>
        <v>MI</v>
      </c>
      <c r="J70" s="5">
        <f ca="1">SUMIF($B$10:$B$22,$D70,J$10:J$22)*SUMIF($B$10:$B$22,$D70,J$41:J$53)</f>
        <v>205.448728044604</v>
      </c>
      <c r="K70" s="5">
        <f t="shared" ref="K70:AP70" ca="1" si="29">SUMIF($B$10:$B$22,$D70,K$10:K$22)*SUMIF($B$10:$B$22,$D70,K$41:K$53)</f>
        <v>211.19277422586717</v>
      </c>
      <c r="L70" s="5">
        <f t="shared" ca="1" si="29"/>
        <v>212.87056543728519</v>
      </c>
      <c r="M70" s="5">
        <f t="shared" ca="1" si="29"/>
        <v>220.30253610165869</v>
      </c>
      <c r="N70" s="5">
        <f t="shared" ca="1" si="29"/>
        <v>217.8840898352222</v>
      </c>
      <c r="O70" s="5">
        <f t="shared" ca="1" si="29"/>
        <v>225.33765038806362</v>
      </c>
      <c r="P70" s="5">
        <f t="shared" ca="1" si="29"/>
        <v>224.65346862269857</v>
      </c>
      <c r="Q70" s="5">
        <f t="shared" ca="1" si="29"/>
        <v>222.3680598614871</v>
      </c>
      <c r="R70" s="5">
        <f t="shared" ca="1" si="29"/>
        <v>204.80660372721852</v>
      </c>
      <c r="S70" s="5">
        <f t="shared" ca="1" si="29"/>
        <v>221.59087210652194</v>
      </c>
      <c r="T70" s="5">
        <f t="shared" ca="1" si="29"/>
        <v>223.56006219572021</v>
      </c>
      <c r="U70" s="5">
        <f t="shared" ca="1" si="29"/>
        <v>225.82926523713473</v>
      </c>
      <c r="V70" s="5">
        <f t="shared" ca="1" si="29"/>
        <v>228.48847230408043</v>
      </c>
      <c r="W70" s="5">
        <f t="shared" ca="1" si="29"/>
        <v>231.07550150720749</v>
      </c>
      <c r="X70" s="5">
        <f t="shared" ca="1" si="29"/>
        <v>235.29326628816742</v>
      </c>
      <c r="Y70" s="5">
        <f t="shared" ca="1" si="29"/>
        <v>239.52162557880993</v>
      </c>
      <c r="Z70" s="5">
        <f t="shared" ca="1" si="29"/>
        <v>244.22695198927678</v>
      </c>
      <c r="AA70" s="5">
        <f t="shared" ca="1" si="29"/>
        <v>249.73671742319826</v>
      </c>
      <c r="AB70" s="5">
        <f t="shared" ca="1" si="29"/>
        <v>254.5599002031355</v>
      </c>
      <c r="AC70" s="5">
        <f t="shared" ca="1" si="29"/>
        <v>260.82686017136888</v>
      </c>
      <c r="AD70" s="5">
        <f t="shared" ca="1" si="29"/>
        <v>267.79252029091697</v>
      </c>
      <c r="AE70" s="5">
        <f t="shared" ca="1" si="29"/>
        <v>274.82231034334546</v>
      </c>
      <c r="AF70" s="5">
        <f t="shared" ca="1" si="29"/>
        <v>281.95739514727399</v>
      </c>
      <c r="AG70" s="5">
        <f t="shared" ca="1" si="29"/>
        <v>290.72591556426545</v>
      </c>
      <c r="AH70" s="5">
        <f t="shared" ca="1" si="29"/>
        <v>298.64858842454208</v>
      </c>
      <c r="AI70" s="5">
        <f t="shared" ca="1" si="29"/>
        <v>306.68546831065515</v>
      </c>
      <c r="AJ70" s="5">
        <f t="shared" ca="1" si="29"/>
        <v>314.46463394842334</v>
      </c>
      <c r="AK70" s="5">
        <f t="shared" ca="1" si="29"/>
        <v>322.42123628312464</v>
      </c>
      <c r="AL70" s="5">
        <f t="shared" ca="1" si="29"/>
        <v>330.76464175360934</v>
      </c>
      <c r="AM70" s="5">
        <f t="shared" ca="1" si="29"/>
        <v>374.23844045723405</v>
      </c>
      <c r="AN70" s="5">
        <f t="shared" ca="1" si="29"/>
        <v>421.34710334071082</v>
      </c>
      <c r="AO70" s="5">
        <f t="shared" ca="1" si="29"/>
        <v>511.32375423116861</v>
      </c>
      <c r="AP70" s="5">
        <f t="shared" ca="1" si="29"/>
        <v>601.90621581827008</v>
      </c>
    </row>
    <row r="71" spans="1:48">
      <c r="A71" s="57" t="str">
        <f>'[4]TS BYDem'!A10</f>
        <v/>
      </c>
      <c r="B71" s="185" t="s">
        <v>288</v>
      </c>
      <c r="C71" s="185" t="s">
        <v>137</v>
      </c>
      <c r="D71" s="185" t="str">
        <f>'[4]TS BYDem'!D10</f>
        <v>IMIK</v>
      </c>
      <c r="E71" s="185" t="s">
        <v>137</v>
      </c>
      <c r="F71" s="185" t="s">
        <v>137</v>
      </c>
      <c r="G71" s="185" t="s">
        <v>137</v>
      </c>
      <c r="H71" s="185" t="s">
        <v>137</v>
      </c>
      <c r="I71" s="185">
        <v>0</v>
      </c>
      <c r="J71" s="185">
        <f>INDEX('[4]TS BYDem'!$J$10:$J$203,MATCH(D71,'[4]TS BYDem'!$D$10:$D$203,0))</f>
        <v>2.1376388478991801</v>
      </c>
      <c r="K71" s="185">
        <f t="shared" ref="K71:Z86" ca="1" si="30">K$70/J$70*J71</f>
        <v>2.1974041060152065</v>
      </c>
      <c r="L71" s="185">
        <f t="shared" ca="1" si="30"/>
        <v>2.2148610730469636</v>
      </c>
      <c r="M71" s="192">
        <f>O71</f>
        <v>2.2014400000000003</v>
      </c>
      <c r="N71" s="192">
        <f>O71</f>
        <v>2.2014400000000003</v>
      </c>
      <c r="O71" s="192">
        <f>INDEX('[4]TS BYDem'!$O$10:$O$203,MATCH(D71,'[4]TS BYDem'!$D$10:$D$203,0))</f>
        <v>2.2014400000000003</v>
      </c>
      <c r="P71" s="185">
        <f t="shared" ca="1" si="30"/>
        <v>2.1947558746310198</v>
      </c>
      <c r="Q71" s="185">
        <f t="shared" ca="1" si="30"/>
        <v>2.1724285349493599</v>
      </c>
      <c r="R71" s="185">
        <f t="shared" ca="1" si="30"/>
        <v>2.0008615911845462</v>
      </c>
      <c r="S71" s="185">
        <f t="shared" ca="1" si="30"/>
        <v>2.1648357859864413</v>
      </c>
      <c r="T71" s="185">
        <f t="shared" ca="1" si="30"/>
        <v>2.1840738219848599</v>
      </c>
      <c r="U71" s="185">
        <f t="shared" ca="1" si="30"/>
        <v>2.2062428396119125</v>
      </c>
      <c r="V71" s="185">
        <f t="shared" ca="1" si="30"/>
        <v>2.2322220081857189</v>
      </c>
      <c r="W71" s="185">
        <f t="shared" ca="1" si="30"/>
        <v>2.2574960338939132</v>
      </c>
      <c r="X71" s="185">
        <f t="shared" ca="1" si="30"/>
        <v>2.2987015585073372</v>
      </c>
      <c r="Y71" s="185">
        <f t="shared" ca="1" si="30"/>
        <v>2.3400105863629199</v>
      </c>
      <c r="Z71" s="185">
        <f t="shared" ca="1" si="30"/>
        <v>2.3859793525909305</v>
      </c>
      <c r="AA71" s="185">
        <f t="shared" ref="AA71:AP86" ca="1" si="31">AA$70/Z$70*Z71</f>
        <v>2.439807099511889</v>
      </c>
      <c r="AB71" s="185">
        <f t="shared" ca="1" si="31"/>
        <v>2.4869272655417531</v>
      </c>
      <c r="AC71" s="185">
        <f t="shared" ca="1" si="31"/>
        <v>2.5481524373171243</v>
      </c>
      <c r="AD71" s="185">
        <f t="shared" ca="1" si="31"/>
        <v>2.6162035720794234</v>
      </c>
      <c r="AE71" s="185">
        <f t="shared" ca="1" si="31"/>
        <v>2.6848812253094403</v>
      </c>
      <c r="AF71" s="185">
        <f t="shared" ca="1" si="31"/>
        <v>2.7545875574013472</v>
      </c>
      <c r="AG71" s="185">
        <f t="shared" ca="1" si="31"/>
        <v>2.8402517664384899</v>
      </c>
      <c r="AH71" s="185">
        <f t="shared" ca="1" si="31"/>
        <v>2.9176524534141954</v>
      </c>
      <c r="AI71" s="185">
        <f t="shared" ca="1" si="31"/>
        <v>2.9961688878671833</v>
      </c>
      <c r="AJ71" s="185">
        <f t="shared" ca="1" si="31"/>
        <v>3.0721675785969218</v>
      </c>
      <c r="AK71" s="185">
        <f t="shared" ca="1" si="31"/>
        <v>3.1498997401488849</v>
      </c>
      <c r="AL71" s="185">
        <f t="shared" ca="1" si="31"/>
        <v>3.2314107815008843</v>
      </c>
      <c r="AM71" s="185">
        <f t="shared" ca="1" si="31"/>
        <v>3.6561287957931694</v>
      </c>
      <c r="AN71" s="185">
        <f t="shared" ca="1" si="31"/>
        <v>4.1163576773830988</v>
      </c>
      <c r="AO71" s="185">
        <f t="shared" ca="1" si="31"/>
        <v>4.995386095382357</v>
      </c>
      <c r="AP71" s="185">
        <f t="shared" ca="1" si="31"/>
        <v>5.8803329912645719</v>
      </c>
    </row>
    <row r="72" spans="1:48">
      <c r="A72" s="57" t="str">
        <f>'[4]TS BYDem'!A11</f>
        <v/>
      </c>
      <c r="B72" s="185" t="s">
        <v>288</v>
      </c>
      <c r="C72" s="185" t="s">
        <v>137</v>
      </c>
      <c r="D72" s="185" t="str">
        <f>'[4]TS BYDem'!D11</f>
        <v>IMIA</v>
      </c>
      <c r="E72" s="185" t="s">
        <v>137</v>
      </c>
      <c r="F72" s="185" t="s">
        <v>137</v>
      </c>
      <c r="G72" s="185" t="s">
        <v>137</v>
      </c>
      <c r="H72" s="185" t="s">
        <v>137</v>
      </c>
      <c r="I72" s="185">
        <v>0</v>
      </c>
      <c r="J72" s="185">
        <f>INDEX('[4]TS BYDem'!$J$10:$J$203,MATCH(D72,'[4]TS BYDem'!$D$10:$D$203,0))</f>
        <v>0.99318058118269725</v>
      </c>
      <c r="K72" s="185">
        <f t="shared" ca="1" si="30"/>
        <v>1.0209484587400051</v>
      </c>
      <c r="L72" s="185">
        <f t="shared" ca="1" si="30"/>
        <v>1.0290592397914098</v>
      </c>
      <c r="M72" s="192">
        <f t="shared" ref="M72:M79" si="32">O72</f>
        <v>1.0228235984706235</v>
      </c>
      <c r="N72" s="192">
        <f t="shared" ref="N72:N81" si="33">O72</f>
        <v>1.0228235984706235</v>
      </c>
      <c r="O72" s="192">
        <f>INDEX('[4]TS BYDem'!$O$10:$O$203,MATCH(D72,'[4]TS BYDem'!$D$10:$D$203,0))</f>
        <v>1.0228235984706235</v>
      </c>
      <c r="P72" s="185">
        <f t="shared" ca="1" si="30"/>
        <v>1.0197180488474091</v>
      </c>
      <c r="Q72" s="185">
        <f t="shared" ca="1" si="30"/>
        <v>1.0093444161717644</v>
      </c>
      <c r="R72" s="185">
        <f t="shared" ca="1" si="30"/>
        <v>0.92963171957311352</v>
      </c>
      <c r="S72" s="185">
        <f t="shared" ca="1" si="30"/>
        <v>1.0058167057565197</v>
      </c>
      <c r="T72" s="185">
        <f t="shared" ca="1" si="30"/>
        <v>1.0147549994222158</v>
      </c>
      <c r="U72" s="185">
        <f t="shared" ca="1" si="30"/>
        <v>1.0250550731847807</v>
      </c>
      <c r="V72" s="185">
        <f t="shared" ca="1" si="30"/>
        <v>1.0371254029171084</v>
      </c>
      <c r="W72" s="185">
        <f t="shared" ca="1" si="30"/>
        <v>1.04886811219953</v>
      </c>
      <c r="X72" s="185">
        <f t="shared" ca="1" si="30"/>
        <v>1.0680128460837022</v>
      </c>
      <c r="Y72" s="185">
        <f t="shared" ca="1" si="30"/>
        <v>1.08720566919974</v>
      </c>
      <c r="Z72" s="185">
        <f t="shared" ca="1" si="30"/>
        <v>1.1085634799466098</v>
      </c>
      <c r="AA72" s="185">
        <f t="shared" ca="1" si="31"/>
        <v>1.1335726965517685</v>
      </c>
      <c r="AB72" s="185">
        <f t="shared" ca="1" si="31"/>
        <v>1.1554654657297605</v>
      </c>
      <c r="AC72" s="185">
        <f t="shared" ca="1" si="31"/>
        <v>1.1839116421017113</v>
      </c>
      <c r="AD72" s="185">
        <f t="shared" ca="1" si="31"/>
        <v>1.21552926808179</v>
      </c>
      <c r="AE72" s="185">
        <f t="shared" ca="1" si="31"/>
        <v>1.2474379843816861</v>
      </c>
      <c r="AF72" s="185">
        <f t="shared" ca="1" si="31"/>
        <v>1.2798246410366176</v>
      </c>
      <c r="AG72" s="185">
        <f t="shared" ca="1" si="31"/>
        <v>1.3196255779449639</v>
      </c>
      <c r="AH72" s="185">
        <f t="shared" ca="1" si="31"/>
        <v>1.3555871527217416</v>
      </c>
      <c r="AI72" s="185">
        <f t="shared" ca="1" si="31"/>
        <v>1.3920671212997124</v>
      </c>
      <c r="AJ72" s="185">
        <f t="shared" ca="1" si="31"/>
        <v>1.4273773066017181</v>
      </c>
      <c r="AK72" s="185">
        <f t="shared" ca="1" si="31"/>
        <v>1.4634928896725621</v>
      </c>
      <c r="AL72" s="185">
        <f t="shared" ca="1" si="31"/>
        <v>1.5013641996472786</v>
      </c>
      <c r="AM72" s="185">
        <f t="shared" ca="1" si="31"/>
        <v>1.6986948594489233</v>
      </c>
      <c r="AN72" s="185">
        <f t="shared" ca="1" si="31"/>
        <v>1.9125244259090233</v>
      </c>
      <c r="AO72" s="185">
        <f t="shared" ca="1" si="31"/>
        <v>2.3209348343943512</v>
      </c>
      <c r="AP72" s="185">
        <f t="shared" ca="1" si="31"/>
        <v>2.7320950606560959</v>
      </c>
    </row>
    <row r="73" spans="1:48">
      <c r="A73" s="57" t="str">
        <f>'[4]TS BYDem'!A12</f>
        <v/>
      </c>
      <c r="B73" s="185" t="s">
        <v>288</v>
      </c>
      <c r="C73" s="185" t="s">
        <v>137</v>
      </c>
      <c r="D73" s="185" t="str">
        <f>'[4]TS BYDem'!D12</f>
        <v>IMIL</v>
      </c>
      <c r="E73" s="185" t="s">
        <v>137</v>
      </c>
      <c r="F73" s="185" t="s">
        <v>137</v>
      </c>
      <c r="G73" s="185" t="s">
        <v>137</v>
      </c>
      <c r="H73" s="185" t="s">
        <v>137</v>
      </c>
      <c r="I73" s="185">
        <v>0</v>
      </c>
      <c r="J73" s="185">
        <f>INDEX('[4]TS BYDem'!$J$10:$J$203,MATCH(D73,'[4]TS BYDem'!$D$10:$D$203,0))</f>
        <v>1.4429062223319464</v>
      </c>
      <c r="K73" s="185">
        <f t="shared" ca="1" si="30"/>
        <v>1.4832477715602643</v>
      </c>
      <c r="L73" s="185">
        <f t="shared" ca="1" si="30"/>
        <v>1.4950312243067001</v>
      </c>
      <c r="M73" s="192">
        <f t="shared" si="32"/>
        <v>1.4859720000000001</v>
      </c>
      <c r="N73" s="192">
        <f t="shared" si="33"/>
        <v>1.4859720000000001</v>
      </c>
      <c r="O73" s="192">
        <f>INDEX('[4]TS BYDem'!$O$10:$O$203,MATCH(D73,'[4]TS BYDem'!$D$10:$D$203,0))</f>
        <v>1.4859720000000001</v>
      </c>
      <c r="P73" s="185">
        <f t="shared" ca="1" si="30"/>
        <v>1.4814602153759384</v>
      </c>
      <c r="Q73" s="185">
        <f t="shared" ca="1" si="30"/>
        <v>1.466389261090818</v>
      </c>
      <c r="R73" s="185">
        <f t="shared" ca="1" si="30"/>
        <v>1.3505815740495686</v>
      </c>
      <c r="S73" s="185">
        <f t="shared" ca="1" si="30"/>
        <v>1.4612641555408479</v>
      </c>
      <c r="T73" s="185">
        <f t="shared" ca="1" si="30"/>
        <v>1.4742498298397804</v>
      </c>
      <c r="U73" s="185">
        <f t="shared" ca="1" si="30"/>
        <v>1.4892139167380409</v>
      </c>
      <c r="V73" s="185">
        <f t="shared" ca="1" si="30"/>
        <v>1.5067498555253602</v>
      </c>
      <c r="W73" s="185">
        <f t="shared" ca="1" si="30"/>
        <v>1.5238098228783914</v>
      </c>
      <c r="X73" s="185">
        <f t="shared" ca="1" si="30"/>
        <v>1.5516235519924524</v>
      </c>
      <c r="Y73" s="185">
        <f t="shared" ca="1" si="30"/>
        <v>1.5795071457949708</v>
      </c>
      <c r="Z73" s="185">
        <f t="shared" ca="1" si="30"/>
        <v>1.6105360629988781</v>
      </c>
      <c r="AA73" s="185">
        <f t="shared" ca="1" si="31"/>
        <v>1.6468697921705251</v>
      </c>
      <c r="AB73" s="185">
        <f t="shared" ca="1" si="31"/>
        <v>1.6786759042406834</v>
      </c>
      <c r="AC73" s="185">
        <f t="shared" ca="1" si="31"/>
        <v>1.7200028951890589</v>
      </c>
      <c r="AD73" s="185">
        <f t="shared" ca="1" si="31"/>
        <v>1.7659374111536108</v>
      </c>
      <c r="AE73" s="185">
        <f t="shared" ca="1" si="31"/>
        <v>1.8122948270838721</v>
      </c>
      <c r="AF73" s="185">
        <f t="shared" ca="1" si="31"/>
        <v>1.8593466012459092</v>
      </c>
      <c r="AG73" s="185">
        <f t="shared" ca="1" si="31"/>
        <v>1.9171699423459805</v>
      </c>
      <c r="AH73" s="185">
        <f t="shared" ca="1" si="31"/>
        <v>1.9694154060545817</v>
      </c>
      <c r="AI73" s="185">
        <f t="shared" ca="1" si="31"/>
        <v>2.0224139993103485</v>
      </c>
      <c r="AJ73" s="185">
        <f t="shared" ca="1" si="31"/>
        <v>2.073713115552922</v>
      </c>
      <c r="AK73" s="185">
        <f t="shared" ca="1" si="31"/>
        <v>2.1261823246004972</v>
      </c>
      <c r="AL73" s="185">
        <f t="shared" ca="1" si="31"/>
        <v>2.1812022775130968</v>
      </c>
      <c r="AM73" s="185">
        <f t="shared" ca="1" si="31"/>
        <v>2.4678869371603893</v>
      </c>
      <c r="AN73" s="185">
        <f t="shared" ca="1" si="31"/>
        <v>2.7785414322335917</v>
      </c>
      <c r="AO73" s="185">
        <f t="shared" ca="1" si="31"/>
        <v>3.3718856143830909</v>
      </c>
      <c r="AP73" s="185">
        <f t="shared" ca="1" si="31"/>
        <v>3.9692247691035862</v>
      </c>
    </row>
    <row r="74" spans="1:48">
      <c r="A74" s="57" t="str">
        <f>'[4]TS BYDem'!A13</f>
        <v/>
      </c>
      <c r="B74" s="185" t="s">
        <v>288</v>
      </c>
      <c r="C74" s="185" t="s">
        <v>137</v>
      </c>
      <c r="D74" s="185" t="str">
        <f>'[4]TS BYDem'!D13</f>
        <v>IMIC</v>
      </c>
      <c r="E74" s="185" t="s">
        <v>137</v>
      </c>
      <c r="F74" s="185" t="s">
        <v>137</v>
      </c>
      <c r="G74" s="185" t="s">
        <v>137</v>
      </c>
      <c r="H74" s="185" t="s">
        <v>137</v>
      </c>
      <c r="I74" s="185">
        <v>0</v>
      </c>
      <c r="J74" s="185">
        <f>INDEX('[4]TS BYDem'!$J$10:$J$203,MATCH(D74,'[4]TS BYDem'!$D$10:$D$203,0))</f>
        <v>17.35324025908308</v>
      </c>
      <c r="K74" s="185">
        <f t="shared" ca="1" si="30"/>
        <v>17.838411495680308</v>
      </c>
      <c r="L74" s="185">
        <f t="shared" ca="1" si="30"/>
        <v>17.980126240149275</v>
      </c>
      <c r="M74" s="192">
        <f t="shared" si="32"/>
        <v>17.871174671764589</v>
      </c>
      <c r="N74" s="192">
        <f t="shared" si="33"/>
        <v>17.871174671764589</v>
      </c>
      <c r="O74" s="192">
        <f>INDEX('[4]TS BYDem'!$O$10:$O$203,MATCH(D74,'[4]TS BYDem'!$D$10:$D$203,0))</f>
        <v>17.871174671764589</v>
      </c>
      <c r="P74" s="185">
        <f t="shared" ca="1" si="30"/>
        <v>17.816913291941827</v>
      </c>
      <c r="Q74" s="185">
        <f t="shared" ca="1" si="30"/>
        <v>17.635661117271265</v>
      </c>
      <c r="R74" s="185">
        <f t="shared" ca="1" si="30"/>
        <v>16.242889649540235</v>
      </c>
      <c r="S74" s="185">
        <f t="shared" ca="1" si="30"/>
        <v>17.574023578680535</v>
      </c>
      <c r="T74" s="185">
        <f t="shared" ca="1" si="30"/>
        <v>17.730196947779593</v>
      </c>
      <c r="U74" s="185">
        <f t="shared" ca="1" si="30"/>
        <v>17.910163872299218</v>
      </c>
      <c r="V74" s="185">
        <f t="shared" ca="1" si="30"/>
        <v>18.121061402738256</v>
      </c>
      <c r="W74" s="185">
        <f t="shared" ca="1" si="30"/>
        <v>18.326234620309396</v>
      </c>
      <c r="X74" s="185">
        <f t="shared" ca="1" si="30"/>
        <v>18.660738911958585</v>
      </c>
      <c r="Y74" s="185">
        <f t="shared" ca="1" si="30"/>
        <v>18.996083437509093</v>
      </c>
      <c r="Z74" s="185">
        <f t="shared" ca="1" si="30"/>
        <v>19.369255475223632</v>
      </c>
      <c r="AA74" s="185">
        <f t="shared" ca="1" si="31"/>
        <v>19.806226306775702</v>
      </c>
      <c r="AB74" s="185">
        <f t="shared" ca="1" si="31"/>
        <v>20.188745347804414</v>
      </c>
      <c r="AC74" s="185">
        <f t="shared" ca="1" si="31"/>
        <v>20.685768087059831</v>
      </c>
      <c r="AD74" s="185">
        <f t="shared" ca="1" si="31"/>
        <v>21.238203636495125</v>
      </c>
      <c r="AE74" s="185">
        <f t="shared" ca="1" si="31"/>
        <v>21.795725230052302</v>
      </c>
      <c r="AF74" s="185">
        <f t="shared" ca="1" si="31"/>
        <v>22.361597584757629</v>
      </c>
      <c r="AG74" s="185">
        <f t="shared" ca="1" si="31"/>
        <v>23.057015149088855</v>
      </c>
      <c r="AH74" s="185">
        <f t="shared" ca="1" si="31"/>
        <v>23.685349873931415</v>
      </c>
      <c r="AI74" s="185">
        <f t="shared" ca="1" si="31"/>
        <v>24.322742178383731</v>
      </c>
      <c r="AJ74" s="185">
        <f t="shared" ca="1" si="31"/>
        <v>24.939695571097854</v>
      </c>
      <c r="AK74" s="185">
        <f t="shared" ca="1" si="31"/>
        <v>25.570721189197354</v>
      </c>
      <c r="AL74" s="185">
        <f t="shared" ca="1" si="31"/>
        <v>26.232423555684292</v>
      </c>
      <c r="AM74" s="185">
        <f t="shared" ca="1" si="31"/>
        <v>29.680262161170898</v>
      </c>
      <c r="AN74" s="185">
        <f t="shared" ca="1" si="31"/>
        <v>33.416376128339884</v>
      </c>
      <c r="AO74" s="185">
        <f t="shared" ca="1" si="31"/>
        <v>40.552282807381616</v>
      </c>
      <c r="AP74" s="185">
        <f t="shared" ca="1" si="31"/>
        <v>47.736235380037215</v>
      </c>
    </row>
    <row r="75" spans="1:48">
      <c r="A75" s="57" t="str">
        <f>'[4]TS BYDem'!A14</f>
        <v/>
      </c>
      <c r="B75" s="185" t="s">
        <v>288</v>
      </c>
      <c r="C75" s="185" t="s">
        <v>137</v>
      </c>
      <c r="D75" s="185" t="str">
        <f>'[4]TS BYDem'!D14</f>
        <v>IMIH</v>
      </c>
      <c r="E75" s="185" t="s">
        <v>137</v>
      </c>
      <c r="F75" s="185" t="s">
        <v>137</v>
      </c>
      <c r="G75" s="185" t="s">
        <v>137</v>
      </c>
      <c r="H75" s="185" t="s">
        <v>137</v>
      </c>
      <c r="I75" s="185">
        <v>0</v>
      </c>
      <c r="J75" s="185">
        <f>INDEX('[4]TS BYDem'!$J$10:$J$203,MATCH(D75,'[4]TS BYDem'!$D$10:$D$203,0))</f>
        <v>7.6954998524370488</v>
      </c>
      <c r="K75" s="185">
        <f t="shared" ca="1" si="30"/>
        <v>7.9106547816547446</v>
      </c>
      <c r="L75" s="185">
        <f t="shared" ca="1" si="30"/>
        <v>7.973499862969069</v>
      </c>
      <c r="M75" s="192">
        <f t="shared" si="32"/>
        <v>7.9251840000000016</v>
      </c>
      <c r="N75" s="192">
        <f t="shared" si="33"/>
        <v>7.9251840000000016</v>
      </c>
      <c r="O75" s="192">
        <f>INDEX('[4]TS BYDem'!$O$10:$O$203,MATCH(D75,'[4]TS BYDem'!$D$10:$D$203,0))</f>
        <v>7.9251840000000016</v>
      </c>
      <c r="P75" s="185">
        <f t="shared" ca="1" si="30"/>
        <v>7.9011211486716721</v>
      </c>
      <c r="Q75" s="185">
        <f t="shared" ca="1" si="30"/>
        <v>7.8207427258176967</v>
      </c>
      <c r="R75" s="185">
        <f t="shared" ca="1" si="30"/>
        <v>7.2031017282643663</v>
      </c>
      <c r="S75" s="185">
        <f t="shared" ca="1" si="30"/>
        <v>7.793408829551189</v>
      </c>
      <c r="T75" s="185">
        <f t="shared" ca="1" si="30"/>
        <v>7.8626657591454956</v>
      </c>
      <c r="U75" s="185">
        <f t="shared" ca="1" si="30"/>
        <v>7.9424742226028853</v>
      </c>
      <c r="V75" s="185">
        <f t="shared" ca="1" si="30"/>
        <v>8.0359992294685885</v>
      </c>
      <c r="W75" s="185">
        <f t="shared" ca="1" si="30"/>
        <v>8.1269857220180874</v>
      </c>
      <c r="X75" s="185">
        <f t="shared" ca="1" si="30"/>
        <v>8.2753256106264139</v>
      </c>
      <c r="Y75" s="185">
        <f t="shared" ca="1" si="30"/>
        <v>8.4240381109065119</v>
      </c>
      <c r="Z75" s="185">
        <f t="shared" ca="1" si="30"/>
        <v>8.589525669327351</v>
      </c>
      <c r="AA75" s="185">
        <f t="shared" ca="1" si="31"/>
        <v>8.7833055582428017</v>
      </c>
      <c r="AB75" s="185">
        <f t="shared" ca="1" si="31"/>
        <v>8.9529381559503118</v>
      </c>
      <c r="AC75" s="185">
        <f t="shared" ca="1" si="31"/>
        <v>9.1733487743416475</v>
      </c>
      <c r="AD75" s="185">
        <f t="shared" ca="1" si="31"/>
        <v>9.4183328594859237</v>
      </c>
      <c r="AE75" s="185">
        <f t="shared" ca="1" si="31"/>
        <v>9.6655724111139847</v>
      </c>
      <c r="AF75" s="185">
        <f t="shared" ca="1" si="31"/>
        <v>9.9165152066448492</v>
      </c>
      <c r="AG75" s="185">
        <f t="shared" ca="1" si="31"/>
        <v>10.224906359178563</v>
      </c>
      <c r="AH75" s="185">
        <f t="shared" ca="1" si="31"/>
        <v>10.503548832291102</v>
      </c>
      <c r="AI75" s="185">
        <f t="shared" ca="1" si="31"/>
        <v>10.786207996321858</v>
      </c>
      <c r="AJ75" s="185">
        <f t="shared" ca="1" si="31"/>
        <v>11.059803282948918</v>
      </c>
      <c r="AK75" s="185">
        <f t="shared" ca="1" si="31"/>
        <v>11.339639064535985</v>
      </c>
      <c r="AL75" s="185">
        <f t="shared" ca="1" si="31"/>
        <v>11.633078813403182</v>
      </c>
      <c r="AM75" s="185">
        <f t="shared" ca="1" si="31"/>
        <v>13.162063664855408</v>
      </c>
      <c r="AN75" s="185">
        <f t="shared" ca="1" si="31"/>
        <v>14.818887638579154</v>
      </c>
      <c r="AO75" s="185">
        <f t="shared" ca="1" si="31"/>
        <v>17.983389943376483</v>
      </c>
      <c r="AP75" s="185">
        <f t="shared" ca="1" si="31"/>
        <v>21.169198768552459</v>
      </c>
    </row>
    <row r="76" spans="1:48">
      <c r="A76" s="57" t="str">
        <f>'[4]TS BYDem'!A15</f>
        <v/>
      </c>
      <c r="B76" s="185" t="s">
        <v>288</v>
      </c>
      <c r="C76" s="185" t="s">
        <v>137</v>
      </c>
      <c r="D76" s="185" t="str">
        <f>'[4]TS BYDem'!D15</f>
        <v>IMIP</v>
      </c>
      <c r="E76" s="185" t="s">
        <v>137</v>
      </c>
      <c r="F76" s="185" t="s">
        <v>137</v>
      </c>
      <c r="G76" s="185" t="s">
        <v>137</v>
      </c>
      <c r="H76" s="185" t="s">
        <v>137</v>
      </c>
      <c r="I76" s="185">
        <v>0</v>
      </c>
      <c r="J76" s="185">
        <f>INDEX('[4]TS BYDem'!$J$10:$J$203,MATCH(D76,'[4]TS BYDem'!$D$10:$D$203,0))</f>
        <v>15.294517272248457</v>
      </c>
      <c r="K76" s="185">
        <f t="shared" ca="1" si="30"/>
        <v>15.722129622872741</v>
      </c>
      <c r="L76" s="185">
        <f t="shared" ca="1" si="30"/>
        <v>15.847031864451422</v>
      </c>
      <c r="M76" s="192">
        <f t="shared" si="32"/>
        <v>15.751005899293361</v>
      </c>
      <c r="N76" s="192">
        <f t="shared" si="33"/>
        <v>15.751005899293361</v>
      </c>
      <c r="O76" s="192">
        <f>INDEX('[4]TS BYDem'!$O$10:$O$203,MATCH(D76,'[4]TS BYDem'!$D$10:$D$203,0))</f>
        <v>15.751005899293361</v>
      </c>
      <c r="P76" s="185">
        <f t="shared" ca="1" si="30"/>
        <v>15.703181884958004</v>
      </c>
      <c r="Q76" s="185">
        <f t="shared" ca="1" si="30"/>
        <v>15.543432784804764</v>
      </c>
      <c r="R76" s="185">
        <f t="shared" ca="1" si="30"/>
        <v>14.315894471989827</v>
      </c>
      <c r="S76" s="185">
        <f t="shared" ca="1" si="30"/>
        <v>15.489107691362843</v>
      </c>
      <c r="T76" s="185">
        <f t="shared" ca="1" si="30"/>
        <v>15.626753240867671</v>
      </c>
      <c r="U76" s="185">
        <f t="shared" ca="1" si="30"/>
        <v>15.785369568101322</v>
      </c>
      <c r="V76" s="185">
        <f t="shared" ca="1" si="30"/>
        <v>15.971247010804626</v>
      </c>
      <c r="W76" s="185">
        <f t="shared" ca="1" si="30"/>
        <v>16.152079251532815</v>
      </c>
      <c r="X76" s="185">
        <f t="shared" ca="1" si="30"/>
        <v>16.446899215406241</v>
      </c>
      <c r="Y76" s="185">
        <f t="shared" ca="1" si="30"/>
        <v>16.742459730999379</v>
      </c>
      <c r="Z76" s="185">
        <f t="shared" ca="1" si="30"/>
        <v>17.07136004535754</v>
      </c>
      <c r="AA76" s="185">
        <f t="shared" ca="1" si="31"/>
        <v>17.456490305231846</v>
      </c>
      <c r="AB76" s="185">
        <f t="shared" ca="1" si="31"/>
        <v>17.793628729677696</v>
      </c>
      <c r="AC76" s="185">
        <f t="shared" ca="1" si="31"/>
        <v>18.23168656537575</v>
      </c>
      <c r="AD76" s="185">
        <f t="shared" ca="1" si="31"/>
        <v>18.718583244410645</v>
      </c>
      <c r="AE76" s="185">
        <f t="shared" ca="1" si="31"/>
        <v>19.209962578471814</v>
      </c>
      <c r="AF76" s="185">
        <f t="shared" ca="1" si="31"/>
        <v>19.708701970868486</v>
      </c>
      <c r="AG76" s="185">
        <f t="shared" ca="1" si="31"/>
        <v>20.321617817724331</v>
      </c>
      <c r="AH76" s="185">
        <f t="shared" ca="1" si="31"/>
        <v>20.875409280205115</v>
      </c>
      <c r="AI76" s="185">
        <f t="shared" ca="1" si="31"/>
        <v>21.437183765206068</v>
      </c>
      <c r="AJ76" s="185">
        <f t="shared" ca="1" si="31"/>
        <v>21.980944133884154</v>
      </c>
      <c r="AK76" s="185">
        <f t="shared" ca="1" si="31"/>
        <v>22.537107252192989</v>
      </c>
      <c r="AL76" s="185">
        <f t="shared" ca="1" si="31"/>
        <v>23.120307745139826</v>
      </c>
      <c r="AM76" s="185">
        <f t="shared" ca="1" si="31"/>
        <v>26.159107779959736</v>
      </c>
      <c r="AN76" s="185">
        <f t="shared" ca="1" si="31"/>
        <v>29.451983274612406</v>
      </c>
      <c r="AO76" s="185">
        <f t="shared" ca="1" si="31"/>
        <v>35.741312894112745</v>
      </c>
      <c r="AP76" s="185">
        <f t="shared" ca="1" si="31"/>
        <v>42.072988423585329</v>
      </c>
    </row>
    <row r="77" spans="1:48">
      <c r="A77" s="57" t="str">
        <f>'[4]TS BYDem'!A16</f>
        <v/>
      </c>
      <c r="B77" s="185" t="s">
        <v>288</v>
      </c>
      <c r="C77" s="185" t="s">
        <v>137</v>
      </c>
      <c r="D77" s="185" t="str">
        <f>'[4]TS BYDem'!D16</f>
        <v>IMIF</v>
      </c>
      <c r="E77" s="185" t="s">
        <v>137</v>
      </c>
      <c r="F77" s="185" t="s">
        <v>137</v>
      </c>
      <c r="G77" s="185" t="s">
        <v>137</v>
      </c>
      <c r="H77" s="185" t="s">
        <v>137</v>
      </c>
      <c r="I77" s="185">
        <v>0</v>
      </c>
      <c r="J77" s="185">
        <f>INDEX('[4]TS BYDem'!$J$10:$J$203,MATCH(D77,'[4]TS BYDem'!$D$10:$D$203,0))</f>
        <v>5.8889063414920679</v>
      </c>
      <c r="K77" s="185">
        <f t="shared" ca="1" si="30"/>
        <v>6.0535515564058358</v>
      </c>
      <c r="L77" s="185">
        <f t="shared" ca="1" si="30"/>
        <v>6.1016431430447868</v>
      </c>
      <c r="M77" s="192">
        <f t="shared" si="32"/>
        <v>6.0646698992933636</v>
      </c>
      <c r="N77" s="192">
        <f t="shared" si="33"/>
        <v>6.0646698992933636</v>
      </c>
      <c r="O77" s="192">
        <f>INDEX('[4]TS BYDem'!$O$10:$O$203,MATCH(D77,'[4]TS BYDem'!$D$10:$D$203,0))</f>
        <v>6.0646698992933636</v>
      </c>
      <c r="P77" s="185">
        <f t="shared" ca="1" si="30"/>
        <v>6.0462560365815214</v>
      </c>
      <c r="Q77" s="185">
        <f t="shared" ca="1" si="30"/>
        <v>5.9847472310275842</v>
      </c>
      <c r="R77" s="185">
        <f t="shared" ca="1" si="30"/>
        <v>5.512103470777828</v>
      </c>
      <c r="S77" s="185">
        <f t="shared" ca="1" si="30"/>
        <v>5.9638302330225041</v>
      </c>
      <c r="T77" s="185">
        <f t="shared" ca="1" si="30"/>
        <v>6.0168284241342906</v>
      </c>
      <c r="U77" s="185">
        <f t="shared" ca="1" si="30"/>
        <v>6.0779010738089081</v>
      </c>
      <c r="V77" s="185">
        <f t="shared" ca="1" si="30"/>
        <v>6.1494701747874636</v>
      </c>
      <c r="W77" s="185">
        <f t="shared" ca="1" si="30"/>
        <v>6.2190967023995958</v>
      </c>
      <c r="X77" s="185">
        <f t="shared" ca="1" si="30"/>
        <v>6.3326123579739573</v>
      </c>
      <c r="Y77" s="185">
        <f t="shared" ca="1" si="30"/>
        <v>6.4464131510025311</v>
      </c>
      <c r="Z77" s="185">
        <f t="shared" ca="1" si="30"/>
        <v>6.573050893957447</v>
      </c>
      <c r="AA77" s="185">
        <f t="shared" ca="1" si="31"/>
        <v>6.7213390673795335</v>
      </c>
      <c r="AB77" s="185">
        <f t="shared" ca="1" si="31"/>
        <v>6.851148761293981</v>
      </c>
      <c r="AC77" s="185">
        <f t="shared" ca="1" si="31"/>
        <v>7.0198158411804004</v>
      </c>
      <c r="AD77" s="185">
        <f t="shared" ca="1" si="31"/>
        <v>7.2072875272611805</v>
      </c>
      <c r="AE77" s="185">
        <f t="shared" ca="1" si="31"/>
        <v>7.396485187110275</v>
      </c>
      <c r="AF77" s="185">
        <f t="shared" ca="1" si="31"/>
        <v>7.5885167183025555</v>
      </c>
      <c r="AG77" s="185">
        <f t="shared" ca="1" si="31"/>
        <v>7.8245100453949741</v>
      </c>
      <c r="AH77" s="185">
        <f t="shared" ca="1" si="31"/>
        <v>8.0377384851826541</v>
      </c>
      <c r="AI77" s="185">
        <f t="shared" ca="1" si="31"/>
        <v>8.2540406585904584</v>
      </c>
      <c r="AJ77" s="185">
        <f t="shared" ca="1" si="31"/>
        <v>8.4634067880576946</v>
      </c>
      <c r="AK77" s="185">
        <f t="shared" ca="1" si="31"/>
        <v>8.6775483955378903</v>
      </c>
      <c r="AL77" s="185">
        <f t="shared" ca="1" si="31"/>
        <v>8.9021003065359317</v>
      </c>
      <c r="AM77" s="185">
        <f t="shared" ca="1" si="31"/>
        <v>10.072141078469789</v>
      </c>
      <c r="AN77" s="185">
        <f t="shared" ca="1" si="31"/>
        <v>11.340009494126766</v>
      </c>
      <c r="AO77" s="185">
        <f t="shared" ca="1" si="31"/>
        <v>13.761614074430371</v>
      </c>
      <c r="AP77" s="185">
        <f t="shared" ca="1" si="31"/>
        <v>16.199523262021206</v>
      </c>
    </row>
    <row r="78" spans="1:48">
      <c r="A78" s="57" t="str">
        <f>'[4]TS BYDem'!A17</f>
        <v/>
      </c>
      <c r="B78" s="185" t="s">
        <v>288</v>
      </c>
      <c r="C78" s="185" t="s">
        <v>137</v>
      </c>
      <c r="D78" s="185" t="str">
        <f>'[4]TS BYDem'!D17</f>
        <v>IMIO</v>
      </c>
      <c r="E78" s="185" t="s">
        <v>137</v>
      </c>
      <c r="F78" s="185" t="s">
        <v>137</v>
      </c>
      <c r="G78" s="185" t="s">
        <v>137</v>
      </c>
      <c r="H78" s="185" t="s">
        <v>137</v>
      </c>
      <c r="I78" s="185">
        <v>0</v>
      </c>
      <c r="J78" s="185">
        <f>INDEX('[4]TS BYDem'!$J$10:$J$203,MATCH(D78,'[4]TS BYDem'!$D$10:$D$203,0))</f>
        <v>28.894976807848312</v>
      </c>
      <c r="K78" s="185">
        <f t="shared" ca="1" si="30"/>
        <v>29.702838130575874</v>
      </c>
      <c r="L78" s="185">
        <f t="shared" ca="1" si="30"/>
        <v>29.938808139267341</v>
      </c>
      <c r="M78" s="192">
        <f t="shared" si="32"/>
        <v>29.757392277177463</v>
      </c>
      <c r="N78" s="192">
        <f t="shared" si="33"/>
        <v>29.757392277177463</v>
      </c>
      <c r="O78" s="192">
        <f>INDEX('[4]TS BYDem'!$O$10:$O$203,MATCH(D78,'[4]TS BYDem'!$D$10:$D$203,0))</f>
        <v>29.757392277177463</v>
      </c>
      <c r="P78" s="185">
        <f t="shared" ca="1" si="30"/>
        <v>29.667041352040016</v>
      </c>
      <c r="Q78" s="185">
        <f t="shared" ca="1" si="30"/>
        <v>29.365237348563682</v>
      </c>
      <c r="R78" s="185">
        <f t="shared" ca="1" si="30"/>
        <v>27.04612583636893</v>
      </c>
      <c r="S78" s="185">
        <f t="shared" ca="1" si="30"/>
        <v>29.262604340463664</v>
      </c>
      <c r="T78" s="185">
        <f t="shared" ca="1" si="30"/>
        <v>29.52264948539035</v>
      </c>
      <c r="U78" s="185">
        <f t="shared" ca="1" si="30"/>
        <v>29.822313411696708</v>
      </c>
      <c r="V78" s="185">
        <f t="shared" ca="1" si="30"/>
        <v>30.173480061837378</v>
      </c>
      <c r="W78" s="185">
        <f t="shared" ca="1" si="30"/>
        <v>30.515115126804947</v>
      </c>
      <c r="X78" s="185">
        <f t="shared" ca="1" si="30"/>
        <v>31.072100082065386</v>
      </c>
      <c r="Y78" s="185">
        <f t="shared" ca="1" si="30"/>
        <v>31.630484115465084</v>
      </c>
      <c r="Z78" s="185">
        <f t="shared" ca="1" si="30"/>
        <v>32.251854949621261</v>
      </c>
      <c r="AA78" s="185">
        <f t="shared" ca="1" si="31"/>
        <v>32.979457510001552</v>
      </c>
      <c r="AB78" s="185">
        <f t="shared" ca="1" si="31"/>
        <v>33.6163920913285</v>
      </c>
      <c r="AC78" s="185">
        <f t="shared" ca="1" si="31"/>
        <v>34.443987417005005</v>
      </c>
      <c r="AD78" s="185">
        <f t="shared" ca="1" si="31"/>
        <v>35.363850920906451</v>
      </c>
      <c r="AE78" s="185">
        <f t="shared" ca="1" si="31"/>
        <v>36.292183225144392</v>
      </c>
      <c r="AF78" s="185">
        <f t="shared" ca="1" si="31"/>
        <v>37.23442042818516</v>
      </c>
      <c r="AG78" s="185">
        <f t="shared" ca="1" si="31"/>
        <v>38.392364079809724</v>
      </c>
      <c r="AH78" s="185">
        <f t="shared" ca="1" si="31"/>
        <v>39.438607722543153</v>
      </c>
      <c r="AI78" s="185">
        <f t="shared" ca="1" si="31"/>
        <v>40.499933191428454</v>
      </c>
      <c r="AJ78" s="185">
        <f t="shared" ca="1" si="31"/>
        <v>41.527225714775319</v>
      </c>
      <c r="AK78" s="185">
        <f t="shared" ca="1" si="31"/>
        <v>42.577949978827348</v>
      </c>
      <c r="AL78" s="185">
        <f t="shared" ca="1" si="31"/>
        <v>43.679754267126221</v>
      </c>
      <c r="AM78" s="185">
        <f t="shared" ca="1" si="31"/>
        <v>49.420769492832754</v>
      </c>
      <c r="AN78" s="185">
        <f t="shared" ca="1" si="31"/>
        <v>55.641793625563238</v>
      </c>
      <c r="AO78" s="185">
        <f t="shared" ca="1" si="31"/>
        <v>67.52383149949604</v>
      </c>
      <c r="AP78" s="185">
        <f t="shared" ca="1" si="31"/>
        <v>79.485870857933051</v>
      </c>
    </row>
    <row r="79" spans="1:48">
      <c r="A79" s="57" t="str">
        <f>'[4]TS BYDem'!A18</f>
        <v/>
      </c>
      <c r="B79" s="185" t="s">
        <v>288</v>
      </c>
      <c r="C79" s="185" t="s">
        <v>137</v>
      </c>
      <c r="D79" s="185" t="str">
        <f>'[4]TS BYDem'!D18</f>
        <v>IMIE</v>
      </c>
      <c r="E79" s="185" t="s">
        <v>137</v>
      </c>
      <c r="F79" s="185" t="s">
        <v>137</v>
      </c>
      <c r="G79" s="185" t="s">
        <v>137</v>
      </c>
      <c r="H79" s="185" t="s">
        <v>137</v>
      </c>
      <c r="I79" s="185">
        <v>0</v>
      </c>
      <c r="J79" s="185">
        <f>INDEX('[4]TS BYDem'!$J$10:$J$203,MATCH(D79,'[4]TS BYDem'!$D$10:$D$203,0))</f>
        <v>0.18682963530638833</v>
      </c>
      <c r="K79" s="185">
        <f t="shared" ca="1" si="30"/>
        <v>0.19205311886572904</v>
      </c>
      <c r="L79" s="185">
        <f t="shared" ca="1" si="30"/>
        <v>0.19357885778430459</v>
      </c>
      <c r="M79" s="192">
        <f t="shared" si="32"/>
        <v>0.19240585599999999</v>
      </c>
      <c r="N79" s="192">
        <f t="shared" si="33"/>
        <v>0.19240585599999999</v>
      </c>
      <c r="O79" s="192">
        <f>INDEX('[4]TS BYDem'!$O$10:$O$203,MATCH(D79,'[4]TS BYDem'!$D$10:$D$203,0))</f>
        <v>0.19240585599999999</v>
      </c>
      <c r="P79" s="185">
        <f t="shared" ca="1" si="30"/>
        <v>0.19182166344275112</v>
      </c>
      <c r="Q79" s="185">
        <f t="shared" ca="1" si="30"/>
        <v>0.18987025395457405</v>
      </c>
      <c r="R79" s="185">
        <f t="shared" ca="1" si="30"/>
        <v>0.17487530306952931</v>
      </c>
      <c r="S79" s="185">
        <f t="shared" ca="1" si="30"/>
        <v>0.18920664769521495</v>
      </c>
      <c r="T79" s="185">
        <f t="shared" ca="1" si="30"/>
        <v>0.19088805204147671</v>
      </c>
      <c r="U79" s="185">
        <f t="shared" ca="1" si="30"/>
        <v>0.19282562418208113</v>
      </c>
      <c r="V79" s="185">
        <f t="shared" ca="1" si="30"/>
        <v>0.1950962035154318</v>
      </c>
      <c r="W79" s="185">
        <f t="shared" ca="1" si="30"/>
        <v>0.19730515336232798</v>
      </c>
      <c r="X79" s="185">
        <f t="shared" ca="1" si="30"/>
        <v>0.20090651621354122</v>
      </c>
      <c r="Y79" s="185">
        <f t="shared" ca="1" si="30"/>
        <v>0.20451692524811915</v>
      </c>
      <c r="Z79" s="185">
        <f t="shared" ca="1" si="30"/>
        <v>0.20853459541644728</v>
      </c>
      <c r="AA79" s="185">
        <f t="shared" ca="1" si="31"/>
        <v>0.21323914049733905</v>
      </c>
      <c r="AB79" s="185">
        <f t="shared" ca="1" si="31"/>
        <v>0.21735744300834917</v>
      </c>
      <c r="AC79" s="185">
        <f t="shared" ca="1" si="31"/>
        <v>0.22270852302151659</v>
      </c>
      <c r="AD79" s="185">
        <f t="shared" ca="1" si="31"/>
        <v>0.22865619219974154</v>
      </c>
      <c r="AE79" s="185">
        <f t="shared" ca="1" si="31"/>
        <v>0.234658619092045</v>
      </c>
      <c r="AF79" s="185">
        <f t="shared" ca="1" si="31"/>
        <v>0.24075095251687767</v>
      </c>
      <c r="AG79" s="185">
        <f t="shared" ca="1" si="31"/>
        <v>0.24823800438672394</v>
      </c>
      <c r="AH79" s="185">
        <f t="shared" ca="1" si="31"/>
        <v>0.25500282442840061</v>
      </c>
      <c r="AI79" s="185">
        <f t="shared" ca="1" si="31"/>
        <v>0.26186516079959177</v>
      </c>
      <c r="AJ79" s="185">
        <f t="shared" ca="1" si="31"/>
        <v>0.26850744636937091</v>
      </c>
      <c r="AK79" s="185">
        <f t="shared" ca="1" si="31"/>
        <v>0.27530123728901251</v>
      </c>
      <c r="AL79" s="185">
        <f t="shared" ca="1" si="31"/>
        <v>0.28242530230317725</v>
      </c>
      <c r="AM79" s="185">
        <f t="shared" ca="1" si="31"/>
        <v>0.31954565675232294</v>
      </c>
      <c r="AN79" s="185">
        <f t="shared" ca="1" si="31"/>
        <v>0.35976966100328278</v>
      </c>
      <c r="AO79" s="185">
        <f t="shared" ca="1" si="31"/>
        <v>0.43659674473641791</v>
      </c>
      <c r="AP79" s="185">
        <f t="shared" ca="1" si="31"/>
        <v>0.51394110343652344</v>
      </c>
    </row>
    <row r="80" spans="1:48">
      <c r="A80" s="57" t="str">
        <f>'[4]TS BYDem'!A19</f>
        <v>*</v>
      </c>
      <c r="B80" s="185" t="s">
        <v>288</v>
      </c>
      <c r="C80" s="185" t="s">
        <v>137</v>
      </c>
      <c r="D80" s="185">
        <f>'[4]TS BYDem'!D19</f>
        <v>0</v>
      </c>
      <c r="E80" s="185" t="s">
        <v>137</v>
      </c>
      <c r="F80" s="185" t="s">
        <v>137</v>
      </c>
      <c r="G80" s="185" t="s">
        <v>137</v>
      </c>
      <c r="H80" s="185" t="s">
        <v>137</v>
      </c>
      <c r="I80" s="185">
        <v>0</v>
      </c>
      <c r="J80" s="185" t="str">
        <f>INDEX('[4]TS BYDem'!$J$10:$J$203,MATCH(D80,'[4]TS BYDem'!$D$10:$D$203,0))</f>
        <v/>
      </c>
      <c r="K80" s="185" t="e">
        <f t="shared" ca="1" si="30"/>
        <v>#VALUE!</v>
      </c>
      <c r="L80" s="185" t="e">
        <f t="shared" ca="1" si="30"/>
        <v>#VALUE!</v>
      </c>
      <c r="M80" s="185" t="e">
        <f t="shared" ca="1" si="30"/>
        <v>#VALUE!</v>
      </c>
      <c r="N80" s="185" t="e">
        <f t="shared" ca="1" si="30"/>
        <v>#VALUE!</v>
      </c>
      <c r="O80" s="185" t="e">
        <f t="shared" ca="1" si="30"/>
        <v>#VALUE!</v>
      </c>
      <c r="P80" s="185" t="e">
        <f t="shared" ca="1" si="30"/>
        <v>#VALUE!</v>
      </c>
      <c r="Q80" s="185" t="e">
        <f t="shared" ca="1" si="30"/>
        <v>#VALUE!</v>
      </c>
      <c r="R80" s="185" t="e">
        <f t="shared" ca="1" si="30"/>
        <v>#VALUE!</v>
      </c>
      <c r="S80" s="185" t="e">
        <f t="shared" ca="1" si="30"/>
        <v>#VALUE!</v>
      </c>
      <c r="T80" s="185" t="e">
        <f t="shared" ca="1" si="30"/>
        <v>#VALUE!</v>
      </c>
      <c r="U80" s="185" t="e">
        <f t="shared" ca="1" si="30"/>
        <v>#VALUE!</v>
      </c>
      <c r="V80" s="185" t="e">
        <f t="shared" ca="1" si="30"/>
        <v>#VALUE!</v>
      </c>
      <c r="W80" s="185" t="e">
        <f t="shared" ca="1" si="30"/>
        <v>#VALUE!</v>
      </c>
      <c r="X80" s="185" t="e">
        <f t="shared" ca="1" si="30"/>
        <v>#VALUE!</v>
      </c>
      <c r="Y80" s="185" t="e">
        <f t="shared" ca="1" si="30"/>
        <v>#VALUE!</v>
      </c>
      <c r="Z80" s="185" t="e">
        <f t="shared" ca="1" si="30"/>
        <v>#VALUE!</v>
      </c>
      <c r="AA80" s="185" t="e">
        <f t="shared" ca="1" si="31"/>
        <v>#VALUE!</v>
      </c>
      <c r="AB80" s="185" t="e">
        <f t="shared" ca="1" si="31"/>
        <v>#VALUE!</v>
      </c>
      <c r="AC80" s="185" t="e">
        <f t="shared" ca="1" si="31"/>
        <v>#VALUE!</v>
      </c>
      <c r="AD80" s="185" t="e">
        <f t="shared" ca="1" si="31"/>
        <v>#VALUE!</v>
      </c>
      <c r="AE80" s="185" t="e">
        <f t="shared" ca="1" si="31"/>
        <v>#VALUE!</v>
      </c>
      <c r="AF80" s="185" t="e">
        <f t="shared" ca="1" si="31"/>
        <v>#VALUE!</v>
      </c>
      <c r="AG80" s="185" t="e">
        <f t="shared" ca="1" si="31"/>
        <v>#VALUE!</v>
      </c>
      <c r="AH80" s="185" t="e">
        <f t="shared" ca="1" si="31"/>
        <v>#VALUE!</v>
      </c>
      <c r="AI80" s="185" t="e">
        <f t="shared" ca="1" si="31"/>
        <v>#VALUE!</v>
      </c>
      <c r="AJ80" s="185" t="e">
        <f t="shared" ca="1" si="31"/>
        <v>#VALUE!</v>
      </c>
      <c r="AK80" s="185" t="e">
        <f t="shared" ca="1" si="31"/>
        <v>#VALUE!</v>
      </c>
      <c r="AL80" s="185" t="e">
        <f t="shared" ca="1" si="31"/>
        <v>#VALUE!</v>
      </c>
      <c r="AM80" s="185" t="e">
        <f t="shared" ca="1" si="31"/>
        <v>#VALUE!</v>
      </c>
      <c r="AN80" s="185" t="e">
        <f t="shared" ca="1" si="31"/>
        <v>#VALUE!</v>
      </c>
      <c r="AO80" s="185" t="e">
        <f t="shared" ca="1" si="31"/>
        <v>#VALUE!</v>
      </c>
      <c r="AP80" s="185" t="e">
        <f t="shared" ca="1" si="31"/>
        <v>#VALUE!</v>
      </c>
    </row>
    <row r="81" spans="1:42">
      <c r="A81" s="57" t="str">
        <f>'[4]TS BYDem'!A20</f>
        <v/>
      </c>
      <c r="B81" s="185" t="s">
        <v>288</v>
      </c>
      <c r="C81" s="185" t="s">
        <v>137</v>
      </c>
      <c r="D81" s="185" t="str">
        <f>'[4]TS BYDem'!D20</f>
        <v>IMIS</v>
      </c>
      <c r="E81" s="185" t="s">
        <v>137</v>
      </c>
      <c r="F81" s="185" t="s">
        <v>137</v>
      </c>
      <c r="G81" s="185" t="s">
        <v>137</v>
      </c>
      <c r="H81" s="185" t="s">
        <v>137</v>
      </c>
      <c r="I81" s="185">
        <v>0</v>
      </c>
      <c r="J81" s="185">
        <f>INDEX('[4]TS BYDem'!$J$10:$J$203,MATCH(D81,'[4]TS BYDem'!$D$10:$D$203,0))</f>
        <v>20.275122960000004</v>
      </c>
      <c r="K81" s="185">
        <f t="shared" ca="1" si="30"/>
        <v>20.841985766703509</v>
      </c>
      <c r="L81" s="185">
        <f t="shared" ca="1" si="30"/>
        <v>21.007561983390151</v>
      </c>
      <c r="M81" s="192">
        <f t="shared" ref="M81" si="34">O81</f>
        <v>0.90805719120000006</v>
      </c>
      <c r="N81" s="192">
        <f t="shared" si="33"/>
        <v>0.90805719120000006</v>
      </c>
      <c r="O81" s="192">
        <f>INDEX('[4]TS BYDem'!$O$10:$O$203,MATCH(D81,'[4]TS BYDem'!$D$10:$D$203,0))</f>
        <v>0.90805719120000006</v>
      </c>
      <c r="P81" s="185">
        <f t="shared" ca="1" si="30"/>
        <v>0.90530010124606763</v>
      </c>
      <c r="Q81" s="185">
        <f t="shared" ca="1" si="30"/>
        <v>0.89609044694783724</v>
      </c>
      <c r="R81" s="185">
        <f t="shared" ca="1" si="30"/>
        <v>0.82532195130051311</v>
      </c>
      <c r="S81" s="185">
        <f t="shared" ca="1" si="30"/>
        <v>0.89295856495389025</v>
      </c>
      <c r="T81" s="185">
        <f t="shared" ca="1" si="30"/>
        <v>0.90089393313695609</v>
      </c>
      <c r="U81" s="185">
        <f t="shared" ca="1" si="30"/>
        <v>0.91003828223485783</v>
      </c>
      <c r="V81" s="185">
        <f t="shared" ca="1" si="30"/>
        <v>0.9207542548913199</v>
      </c>
      <c r="W81" s="185">
        <f t="shared" ca="1" si="30"/>
        <v>0.93117936790593736</v>
      </c>
      <c r="X81" s="185">
        <f t="shared" ca="1" si="30"/>
        <v>0.94817595783906661</v>
      </c>
      <c r="Y81" s="185">
        <f t="shared" ca="1" si="30"/>
        <v>0.96521524112897827</v>
      </c>
      <c r="Z81" s="185">
        <f t="shared" ca="1" si="30"/>
        <v>0.98417658858516011</v>
      </c>
      <c r="AA81" s="185">
        <f t="shared" ca="1" si="31"/>
        <v>1.0063796341724438</v>
      </c>
      <c r="AB81" s="185">
        <f t="shared" ca="1" si="31"/>
        <v>1.0258159147951071</v>
      </c>
      <c r="AC81" s="185">
        <f t="shared" ca="1" si="31"/>
        <v>1.0510702744474625</v>
      </c>
      <c r="AD81" s="185">
        <f t="shared" ca="1" si="31"/>
        <v>1.079140229699582</v>
      </c>
      <c r="AE81" s="185">
        <f t="shared" ca="1" si="31"/>
        <v>1.1074686133440406</v>
      </c>
      <c r="AF81" s="185">
        <f t="shared" ca="1" si="31"/>
        <v>1.1362213098191802</v>
      </c>
      <c r="AG81" s="185">
        <f t="shared" ca="1" si="31"/>
        <v>1.1715563637132849</v>
      </c>
      <c r="AH81" s="185">
        <f t="shared" ca="1" si="31"/>
        <v>1.2034828529258501</v>
      </c>
      <c r="AI81" s="185">
        <f t="shared" ca="1" si="31"/>
        <v>1.23586956931713</v>
      </c>
      <c r="AJ81" s="185">
        <f t="shared" ca="1" si="31"/>
        <v>1.2672177585200717</v>
      </c>
      <c r="AK81" s="185">
        <f t="shared" ca="1" si="31"/>
        <v>1.2992809754529795</v>
      </c>
      <c r="AL81" s="185">
        <f t="shared" ca="1" si="31"/>
        <v>1.3329029171192905</v>
      </c>
      <c r="AM81" s="185">
        <f t="shared" ca="1" si="31"/>
        <v>1.5080919965901343</v>
      </c>
      <c r="AN81" s="185">
        <f t="shared" ca="1" si="31"/>
        <v>1.6979287150678894</v>
      </c>
      <c r="AO81" s="185">
        <f t="shared" ca="1" si="31"/>
        <v>2.060513239848663</v>
      </c>
      <c r="AP81" s="185">
        <f t="shared" ca="1" si="31"/>
        <v>2.4255390377972619</v>
      </c>
    </row>
    <row r="82" spans="1:42">
      <c r="A82" s="57" t="str">
        <f>'[4]TS BYDem'!A21</f>
        <v>*</v>
      </c>
      <c r="B82" s="185" t="s">
        <v>288</v>
      </c>
      <c r="C82" s="185" t="s">
        <v>137</v>
      </c>
      <c r="D82" s="185" t="str">
        <f>'[4]TS BYDem'!D21</f>
        <v>IMIS</v>
      </c>
      <c r="E82" s="185" t="s">
        <v>137</v>
      </c>
      <c r="F82" s="185" t="s">
        <v>137</v>
      </c>
      <c r="G82" s="185" t="s">
        <v>137</v>
      </c>
      <c r="H82" s="185" t="s">
        <v>137</v>
      </c>
      <c r="I82" s="185">
        <v>0</v>
      </c>
      <c r="J82" s="185">
        <f>INDEX('[4]TS BYDem'!$J$10:$J$203,MATCH(D82,'[4]TS BYDem'!$D$10:$D$203,0))</f>
        <v>20.275122960000004</v>
      </c>
      <c r="K82" s="185">
        <f t="shared" ca="1" si="30"/>
        <v>20.841985766703509</v>
      </c>
      <c r="L82" s="185">
        <f t="shared" ca="1" si="30"/>
        <v>21.007561983390151</v>
      </c>
      <c r="M82" s="185">
        <f t="shared" ca="1" si="30"/>
        <v>21.741001029177628</v>
      </c>
      <c r="N82" s="185">
        <f t="shared" ca="1" si="30"/>
        <v>21.50233177144678</v>
      </c>
      <c r="O82" s="185">
        <f t="shared" ca="1" si="30"/>
        <v>22.237901459013095</v>
      </c>
      <c r="P82" s="185">
        <f t="shared" ca="1" si="30"/>
        <v>22.170381598696633</v>
      </c>
      <c r="Q82" s="185">
        <f t="shared" ca="1" si="30"/>
        <v>21.944841416051336</v>
      </c>
      <c r="R82" s="185">
        <f t="shared" ca="1" si="30"/>
        <v>20.211753623939821</v>
      </c>
      <c r="S82" s="185">
        <f t="shared" ca="1" si="30"/>
        <v>21.86814307167656</v>
      </c>
      <c r="T82" s="185">
        <f t="shared" ca="1" si="30"/>
        <v>22.062476575563913</v>
      </c>
      <c r="U82" s="185">
        <f t="shared" ca="1" si="30"/>
        <v>22.28641746399763</v>
      </c>
      <c r="V82" s="185">
        <f t="shared" ca="1" si="30"/>
        <v>22.548846687928965</v>
      </c>
      <c r="W82" s="185">
        <f t="shared" ca="1" si="30"/>
        <v>22.8041528934905</v>
      </c>
      <c r="X82" s="185">
        <f t="shared" ca="1" si="30"/>
        <v>23.220391535434072</v>
      </c>
      <c r="Y82" s="185">
        <f t="shared" ca="1" si="30"/>
        <v>23.637675717978258</v>
      </c>
      <c r="Z82" s="185">
        <f t="shared" ca="1" si="30"/>
        <v>24.102030364741701</v>
      </c>
      <c r="AA82" s="185">
        <f t="shared" ca="1" si="31"/>
        <v>24.64577270238841</v>
      </c>
      <c r="AB82" s="185">
        <f t="shared" ca="1" si="31"/>
        <v>25.121758243172827</v>
      </c>
      <c r="AC82" s="185">
        <f t="shared" ca="1" si="31"/>
        <v>25.7402258538058</v>
      </c>
      <c r="AD82" s="185">
        <f t="shared" ca="1" si="31"/>
        <v>26.427646101015821</v>
      </c>
      <c r="AE82" s="185">
        <f t="shared" ca="1" si="31"/>
        <v>27.121395140265307</v>
      </c>
      <c r="AF82" s="185">
        <f t="shared" ca="1" si="31"/>
        <v>27.825535404878046</v>
      </c>
      <c r="AG82" s="185">
        <f t="shared" ca="1" si="31"/>
        <v>28.690874564306547</v>
      </c>
      <c r="AH82" s="185">
        <f t="shared" ca="1" si="31"/>
        <v>29.472739548056119</v>
      </c>
      <c r="AI82" s="185">
        <f t="shared" ca="1" si="31"/>
        <v>30.265875282974449</v>
      </c>
      <c r="AJ82" s="185">
        <f t="shared" ca="1" si="31"/>
        <v>31.03357796642798</v>
      </c>
      <c r="AK82" s="185">
        <f t="shared" ca="1" si="31"/>
        <v>31.818791348936088</v>
      </c>
      <c r="AL82" s="185">
        <f t="shared" ca="1" si="31"/>
        <v>32.64217718066773</v>
      </c>
      <c r="AM82" s="185">
        <f t="shared" ca="1" si="31"/>
        <v>36.932476870734028</v>
      </c>
      <c r="AN82" s="185">
        <f t="shared" ca="1" si="31"/>
        <v>41.581490478821763</v>
      </c>
      <c r="AO82" s="185">
        <f t="shared" ca="1" si="31"/>
        <v>50.46101812397206</v>
      </c>
      <c r="AP82" s="185">
        <f t="shared" ca="1" si="31"/>
        <v>59.400331422126094</v>
      </c>
    </row>
    <row r="83" spans="1:42">
      <c r="A83" s="57" t="str">
        <f>'[4]TS BYDem'!A22</f>
        <v>*</v>
      </c>
      <c r="B83" s="185" t="s">
        <v>288</v>
      </c>
      <c r="C83" s="185" t="s">
        <v>137</v>
      </c>
      <c r="D83" s="185" t="str">
        <f>'[4]TS BYDem'!D22</f>
        <v>IMIS</v>
      </c>
      <c r="E83" s="185" t="s">
        <v>137</v>
      </c>
      <c r="F83" s="185" t="s">
        <v>137</v>
      </c>
      <c r="G83" s="185" t="s">
        <v>137</v>
      </c>
      <c r="H83" s="185" t="s">
        <v>137</v>
      </c>
      <c r="I83" s="185">
        <v>0</v>
      </c>
      <c r="J83" s="185">
        <f>INDEX('[4]TS BYDem'!$J$10:$J$203,MATCH(D83,'[4]TS BYDem'!$D$10:$D$203,0))</f>
        <v>20.275122960000004</v>
      </c>
      <c r="K83" s="185">
        <f t="shared" ca="1" si="30"/>
        <v>20.841985766703509</v>
      </c>
      <c r="L83" s="185">
        <f t="shared" ca="1" si="30"/>
        <v>21.007561983390151</v>
      </c>
      <c r="M83" s="185">
        <f t="shared" ca="1" si="30"/>
        <v>21.741001029177628</v>
      </c>
      <c r="N83" s="185">
        <f t="shared" ca="1" si="30"/>
        <v>21.50233177144678</v>
      </c>
      <c r="O83" s="185">
        <f t="shared" ca="1" si="30"/>
        <v>22.237901459013095</v>
      </c>
      <c r="P83" s="185">
        <f t="shared" ca="1" si="30"/>
        <v>22.170381598696633</v>
      </c>
      <c r="Q83" s="185">
        <f t="shared" ca="1" si="30"/>
        <v>21.944841416051336</v>
      </c>
      <c r="R83" s="185">
        <f t="shared" ca="1" si="30"/>
        <v>20.211753623939821</v>
      </c>
      <c r="S83" s="185">
        <f t="shared" ca="1" si="30"/>
        <v>21.86814307167656</v>
      </c>
      <c r="T83" s="185">
        <f t="shared" ca="1" si="30"/>
        <v>22.062476575563913</v>
      </c>
      <c r="U83" s="185">
        <f t="shared" ca="1" si="30"/>
        <v>22.28641746399763</v>
      </c>
      <c r="V83" s="185">
        <f t="shared" ca="1" si="30"/>
        <v>22.548846687928965</v>
      </c>
      <c r="W83" s="185">
        <f t="shared" ca="1" si="30"/>
        <v>22.8041528934905</v>
      </c>
      <c r="X83" s="185">
        <f t="shared" ca="1" si="30"/>
        <v>23.220391535434072</v>
      </c>
      <c r="Y83" s="185">
        <f t="shared" ca="1" si="30"/>
        <v>23.637675717978258</v>
      </c>
      <c r="Z83" s="185">
        <f t="shared" ca="1" si="30"/>
        <v>24.102030364741701</v>
      </c>
      <c r="AA83" s="185">
        <f t="shared" ca="1" si="31"/>
        <v>24.64577270238841</v>
      </c>
      <c r="AB83" s="185">
        <f t="shared" ca="1" si="31"/>
        <v>25.121758243172827</v>
      </c>
      <c r="AC83" s="185">
        <f t="shared" ca="1" si="31"/>
        <v>25.7402258538058</v>
      </c>
      <c r="AD83" s="185">
        <f t="shared" ca="1" si="31"/>
        <v>26.427646101015821</v>
      </c>
      <c r="AE83" s="185">
        <f t="shared" ca="1" si="31"/>
        <v>27.121395140265307</v>
      </c>
      <c r="AF83" s="185">
        <f t="shared" ca="1" si="31"/>
        <v>27.825535404878046</v>
      </c>
      <c r="AG83" s="185">
        <f t="shared" ca="1" si="31"/>
        <v>28.690874564306547</v>
      </c>
      <c r="AH83" s="185">
        <f t="shared" ca="1" si="31"/>
        <v>29.472739548056119</v>
      </c>
      <c r="AI83" s="185">
        <f t="shared" ca="1" si="31"/>
        <v>30.265875282974449</v>
      </c>
      <c r="AJ83" s="185">
        <f t="shared" ca="1" si="31"/>
        <v>31.03357796642798</v>
      </c>
      <c r="AK83" s="185">
        <f t="shared" ca="1" si="31"/>
        <v>31.818791348936088</v>
      </c>
      <c r="AL83" s="185">
        <f t="shared" ca="1" si="31"/>
        <v>32.64217718066773</v>
      </c>
      <c r="AM83" s="185">
        <f t="shared" ca="1" si="31"/>
        <v>36.932476870734028</v>
      </c>
      <c r="AN83" s="185">
        <f t="shared" ca="1" si="31"/>
        <v>41.581490478821763</v>
      </c>
      <c r="AO83" s="185">
        <f t="shared" ca="1" si="31"/>
        <v>50.46101812397206</v>
      </c>
      <c r="AP83" s="185">
        <f t="shared" ca="1" si="31"/>
        <v>59.400331422126094</v>
      </c>
    </row>
    <row r="84" spans="1:42">
      <c r="A84" s="57" t="str">
        <f>'[4]TS BYDem'!A23</f>
        <v>*</v>
      </c>
      <c r="B84" s="185" t="s">
        <v>288</v>
      </c>
      <c r="C84" s="185" t="s">
        <v>137</v>
      </c>
      <c r="D84" s="185" t="str">
        <f>'[4]TS BYDem'!D23</f>
        <v>IMIS</v>
      </c>
      <c r="E84" s="185" t="s">
        <v>137</v>
      </c>
      <c r="F84" s="185" t="s">
        <v>137</v>
      </c>
      <c r="G84" s="185" t="s">
        <v>137</v>
      </c>
      <c r="H84" s="185" t="s">
        <v>137</v>
      </c>
      <c r="I84" s="185">
        <v>0</v>
      </c>
      <c r="J84" s="185">
        <f>INDEX('[4]TS BYDem'!$J$10:$J$203,MATCH(D84,'[4]TS BYDem'!$D$10:$D$203,0))</f>
        <v>20.275122960000004</v>
      </c>
      <c r="K84" s="185">
        <f t="shared" ca="1" si="30"/>
        <v>20.841985766703509</v>
      </c>
      <c r="L84" s="185">
        <f t="shared" ca="1" si="30"/>
        <v>21.007561983390151</v>
      </c>
      <c r="M84" s="185">
        <f t="shared" ca="1" si="30"/>
        <v>21.741001029177628</v>
      </c>
      <c r="N84" s="185">
        <f t="shared" ca="1" si="30"/>
        <v>21.50233177144678</v>
      </c>
      <c r="O84" s="185">
        <f t="shared" ca="1" si="30"/>
        <v>22.237901459013095</v>
      </c>
      <c r="P84" s="185">
        <f t="shared" ca="1" si="30"/>
        <v>22.170381598696633</v>
      </c>
      <c r="Q84" s="185">
        <f t="shared" ca="1" si="30"/>
        <v>21.944841416051336</v>
      </c>
      <c r="R84" s="185">
        <f t="shared" ca="1" si="30"/>
        <v>20.211753623939821</v>
      </c>
      <c r="S84" s="185">
        <f t="shared" ca="1" si="30"/>
        <v>21.86814307167656</v>
      </c>
      <c r="T84" s="185">
        <f t="shared" ca="1" si="30"/>
        <v>22.062476575563913</v>
      </c>
      <c r="U84" s="185">
        <f t="shared" ca="1" si="30"/>
        <v>22.28641746399763</v>
      </c>
      <c r="V84" s="185">
        <f t="shared" ca="1" si="30"/>
        <v>22.548846687928965</v>
      </c>
      <c r="W84" s="185">
        <f t="shared" ca="1" si="30"/>
        <v>22.8041528934905</v>
      </c>
      <c r="X84" s="185">
        <f t="shared" ca="1" si="30"/>
        <v>23.220391535434072</v>
      </c>
      <c r="Y84" s="185">
        <f t="shared" ca="1" si="30"/>
        <v>23.637675717978258</v>
      </c>
      <c r="Z84" s="185">
        <f t="shared" ca="1" si="30"/>
        <v>24.102030364741701</v>
      </c>
      <c r="AA84" s="185">
        <f t="shared" ca="1" si="31"/>
        <v>24.64577270238841</v>
      </c>
      <c r="AB84" s="185">
        <f t="shared" ca="1" si="31"/>
        <v>25.121758243172827</v>
      </c>
      <c r="AC84" s="185">
        <f t="shared" ca="1" si="31"/>
        <v>25.7402258538058</v>
      </c>
      <c r="AD84" s="185">
        <f t="shared" ca="1" si="31"/>
        <v>26.427646101015821</v>
      </c>
      <c r="AE84" s="185">
        <f t="shared" ca="1" si="31"/>
        <v>27.121395140265307</v>
      </c>
      <c r="AF84" s="185">
        <f t="shared" ca="1" si="31"/>
        <v>27.825535404878046</v>
      </c>
      <c r="AG84" s="185">
        <f t="shared" ca="1" si="31"/>
        <v>28.690874564306547</v>
      </c>
      <c r="AH84" s="185">
        <f t="shared" ca="1" si="31"/>
        <v>29.472739548056119</v>
      </c>
      <c r="AI84" s="185">
        <f t="shared" ca="1" si="31"/>
        <v>30.265875282974449</v>
      </c>
      <c r="AJ84" s="185">
        <f t="shared" ca="1" si="31"/>
        <v>31.03357796642798</v>
      </c>
      <c r="AK84" s="185">
        <f t="shared" ca="1" si="31"/>
        <v>31.818791348936088</v>
      </c>
      <c r="AL84" s="185">
        <f t="shared" ca="1" si="31"/>
        <v>32.64217718066773</v>
      </c>
      <c r="AM84" s="185">
        <f t="shared" ca="1" si="31"/>
        <v>36.932476870734028</v>
      </c>
      <c r="AN84" s="185">
        <f t="shared" ca="1" si="31"/>
        <v>41.581490478821763</v>
      </c>
      <c r="AO84" s="185">
        <f t="shared" ca="1" si="31"/>
        <v>50.46101812397206</v>
      </c>
      <c r="AP84" s="185">
        <f t="shared" ca="1" si="31"/>
        <v>59.400331422126094</v>
      </c>
    </row>
    <row r="85" spans="1:42">
      <c r="A85" s="57" t="str">
        <f>'[4]TS BYDem'!A24</f>
        <v>*</v>
      </c>
      <c r="B85" s="185" t="s">
        <v>288</v>
      </c>
      <c r="C85" s="185" t="s">
        <v>137</v>
      </c>
      <c r="D85" s="185" t="str">
        <f>'[4]TS BYDem'!D24</f>
        <v>IMIS</v>
      </c>
      <c r="E85" s="185" t="s">
        <v>137</v>
      </c>
      <c r="F85" s="185" t="s">
        <v>137</v>
      </c>
      <c r="G85" s="185" t="s">
        <v>137</v>
      </c>
      <c r="H85" s="185" t="s">
        <v>137</v>
      </c>
      <c r="I85" s="185">
        <v>0</v>
      </c>
      <c r="J85" s="185">
        <f>INDEX('[4]TS BYDem'!$J$10:$J$203,MATCH(D85,'[4]TS BYDem'!$D$10:$D$203,0))</f>
        <v>20.275122960000004</v>
      </c>
      <c r="K85" s="185">
        <f t="shared" ca="1" si="30"/>
        <v>20.841985766703509</v>
      </c>
      <c r="L85" s="185">
        <f t="shared" ca="1" si="30"/>
        <v>21.007561983390151</v>
      </c>
      <c r="M85" s="185">
        <f t="shared" ca="1" si="30"/>
        <v>21.741001029177628</v>
      </c>
      <c r="N85" s="185">
        <f t="shared" ca="1" si="30"/>
        <v>21.50233177144678</v>
      </c>
      <c r="O85" s="185">
        <f t="shared" ca="1" si="30"/>
        <v>22.237901459013095</v>
      </c>
      <c r="P85" s="185">
        <f t="shared" ca="1" si="30"/>
        <v>22.170381598696633</v>
      </c>
      <c r="Q85" s="185">
        <f t="shared" ca="1" si="30"/>
        <v>21.944841416051336</v>
      </c>
      <c r="R85" s="185">
        <f t="shared" ca="1" si="30"/>
        <v>20.211753623939821</v>
      </c>
      <c r="S85" s="185">
        <f t="shared" ca="1" si="30"/>
        <v>21.86814307167656</v>
      </c>
      <c r="T85" s="185">
        <f t="shared" ca="1" si="30"/>
        <v>22.062476575563913</v>
      </c>
      <c r="U85" s="185">
        <f t="shared" ca="1" si="30"/>
        <v>22.28641746399763</v>
      </c>
      <c r="V85" s="185">
        <f t="shared" ca="1" si="30"/>
        <v>22.548846687928965</v>
      </c>
      <c r="W85" s="185">
        <f t="shared" ca="1" si="30"/>
        <v>22.8041528934905</v>
      </c>
      <c r="X85" s="185">
        <f t="shared" ca="1" si="30"/>
        <v>23.220391535434072</v>
      </c>
      <c r="Y85" s="185">
        <f t="shared" ca="1" si="30"/>
        <v>23.637675717978258</v>
      </c>
      <c r="Z85" s="185">
        <f t="shared" ca="1" si="30"/>
        <v>24.102030364741701</v>
      </c>
      <c r="AA85" s="185">
        <f t="shared" ca="1" si="31"/>
        <v>24.64577270238841</v>
      </c>
      <c r="AB85" s="185">
        <f t="shared" ca="1" si="31"/>
        <v>25.121758243172827</v>
      </c>
      <c r="AC85" s="185">
        <f t="shared" ca="1" si="31"/>
        <v>25.7402258538058</v>
      </c>
      <c r="AD85" s="185">
        <f t="shared" ca="1" si="31"/>
        <v>26.427646101015821</v>
      </c>
      <c r="AE85" s="185">
        <f t="shared" ca="1" si="31"/>
        <v>27.121395140265307</v>
      </c>
      <c r="AF85" s="185">
        <f t="shared" ca="1" si="31"/>
        <v>27.825535404878046</v>
      </c>
      <c r="AG85" s="185">
        <f t="shared" ca="1" si="31"/>
        <v>28.690874564306547</v>
      </c>
      <c r="AH85" s="185">
        <f t="shared" ca="1" si="31"/>
        <v>29.472739548056119</v>
      </c>
      <c r="AI85" s="185">
        <f t="shared" ca="1" si="31"/>
        <v>30.265875282974449</v>
      </c>
      <c r="AJ85" s="185">
        <f t="shared" ca="1" si="31"/>
        <v>31.03357796642798</v>
      </c>
      <c r="AK85" s="185">
        <f t="shared" ca="1" si="31"/>
        <v>31.818791348936088</v>
      </c>
      <c r="AL85" s="185">
        <f t="shared" ca="1" si="31"/>
        <v>32.64217718066773</v>
      </c>
      <c r="AM85" s="185">
        <f t="shared" ca="1" si="31"/>
        <v>36.932476870734028</v>
      </c>
      <c r="AN85" s="185">
        <f t="shared" ca="1" si="31"/>
        <v>41.581490478821763</v>
      </c>
      <c r="AO85" s="185">
        <f t="shared" ca="1" si="31"/>
        <v>50.46101812397206</v>
      </c>
      <c r="AP85" s="185">
        <f t="shared" ca="1" si="31"/>
        <v>59.400331422126094</v>
      </c>
    </row>
    <row r="86" spans="1:42">
      <c r="A86" s="57" t="str">
        <f>'[4]TS BYDem'!A25</f>
        <v>*</v>
      </c>
      <c r="B86" s="185" t="s">
        <v>288</v>
      </c>
      <c r="C86" s="185" t="s">
        <v>137</v>
      </c>
      <c r="D86" s="185" t="str">
        <f>'[4]TS BYDem'!D25</f>
        <v>IMIS</v>
      </c>
      <c r="E86" s="185" t="s">
        <v>137</v>
      </c>
      <c r="F86" s="185" t="s">
        <v>137</v>
      </c>
      <c r="G86" s="185" t="s">
        <v>137</v>
      </c>
      <c r="H86" s="185" t="s">
        <v>137</v>
      </c>
      <c r="I86" s="185">
        <v>0</v>
      </c>
      <c r="J86" s="185">
        <f>INDEX('[4]TS BYDem'!$J$10:$J$203,MATCH(D86,'[4]TS BYDem'!$D$10:$D$203,0))</f>
        <v>20.275122960000004</v>
      </c>
      <c r="K86" s="185">
        <f t="shared" ca="1" si="30"/>
        <v>20.841985766703509</v>
      </c>
      <c r="L86" s="185">
        <f t="shared" ca="1" si="30"/>
        <v>21.007561983390151</v>
      </c>
      <c r="M86" s="185">
        <f t="shared" ca="1" si="30"/>
        <v>21.741001029177628</v>
      </c>
      <c r="N86" s="185">
        <f t="shared" ca="1" si="30"/>
        <v>21.50233177144678</v>
      </c>
      <c r="O86" s="185">
        <f t="shared" ca="1" si="30"/>
        <v>22.237901459013095</v>
      </c>
      <c r="P86" s="185">
        <f t="shared" ca="1" si="30"/>
        <v>22.170381598696633</v>
      </c>
      <c r="Q86" s="185">
        <f t="shared" ca="1" si="30"/>
        <v>21.944841416051336</v>
      </c>
      <c r="R86" s="185">
        <f t="shared" ca="1" si="30"/>
        <v>20.211753623939821</v>
      </c>
      <c r="S86" s="185">
        <f t="shared" ca="1" si="30"/>
        <v>21.86814307167656</v>
      </c>
      <c r="T86" s="185">
        <f t="shared" ca="1" si="30"/>
        <v>22.062476575563913</v>
      </c>
      <c r="U86" s="185">
        <f t="shared" ca="1" si="30"/>
        <v>22.28641746399763</v>
      </c>
      <c r="V86" s="185">
        <f t="shared" ca="1" si="30"/>
        <v>22.548846687928965</v>
      </c>
      <c r="W86" s="185">
        <f t="shared" ca="1" si="30"/>
        <v>22.8041528934905</v>
      </c>
      <c r="X86" s="185">
        <f t="shared" ca="1" si="30"/>
        <v>23.220391535434072</v>
      </c>
      <c r="Y86" s="185">
        <f t="shared" ca="1" si="30"/>
        <v>23.637675717978258</v>
      </c>
      <c r="Z86" s="185">
        <f t="shared" ca="1" si="30"/>
        <v>24.102030364741701</v>
      </c>
      <c r="AA86" s="185">
        <f t="shared" ca="1" si="31"/>
        <v>24.64577270238841</v>
      </c>
      <c r="AB86" s="185">
        <f t="shared" ca="1" si="31"/>
        <v>25.121758243172827</v>
      </c>
      <c r="AC86" s="185">
        <f t="shared" ca="1" si="31"/>
        <v>25.7402258538058</v>
      </c>
      <c r="AD86" s="185">
        <f t="shared" ca="1" si="31"/>
        <v>26.427646101015821</v>
      </c>
      <c r="AE86" s="185">
        <f t="shared" ca="1" si="31"/>
        <v>27.121395140265307</v>
      </c>
      <c r="AF86" s="185">
        <f t="shared" ca="1" si="31"/>
        <v>27.825535404878046</v>
      </c>
      <c r="AG86" s="185">
        <f t="shared" ca="1" si="31"/>
        <v>28.690874564306547</v>
      </c>
      <c r="AH86" s="185">
        <f t="shared" ca="1" si="31"/>
        <v>29.472739548056119</v>
      </c>
      <c r="AI86" s="185">
        <f t="shared" ca="1" si="31"/>
        <v>30.265875282974449</v>
      </c>
      <c r="AJ86" s="185">
        <f t="shared" ca="1" si="31"/>
        <v>31.03357796642798</v>
      </c>
      <c r="AK86" s="185">
        <f t="shared" ca="1" si="31"/>
        <v>31.818791348936088</v>
      </c>
      <c r="AL86" s="185">
        <f t="shared" ca="1" si="31"/>
        <v>32.64217718066773</v>
      </c>
      <c r="AM86" s="185">
        <f t="shared" ca="1" si="31"/>
        <v>36.932476870734028</v>
      </c>
      <c r="AN86" s="185">
        <f t="shared" ca="1" si="31"/>
        <v>41.581490478821763</v>
      </c>
      <c r="AO86" s="185">
        <f t="shared" ca="1" si="31"/>
        <v>50.46101812397206</v>
      </c>
      <c r="AP86" s="185">
        <f t="shared" ref="AP86:AP90" ca="1" si="35">AP$70/AO$70*AO86</f>
        <v>59.400331422126094</v>
      </c>
    </row>
    <row r="87" spans="1:42">
      <c r="A87" s="57" t="str">
        <f>'[4]TS BYDem'!A26</f>
        <v>*</v>
      </c>
      <c r="B87" s="185" t="s">
        <v>288</v>
      </c>
      <c r="C87" s="185" t="s">
        <v>137</v>
      </c>
      <c r="D87" s="185">
        <f>'[4]TS BYDem'!D26</f>
        <v>0</v>
      </c>
      <c r="E87" s="185" t="s">
        <v>137</v>
      </c>
      <c r="F87" s="185" t="s">
        <v>137</v>
      </c>
      <c r="G87" s="185" t="s">
        <v>137</v>
      </c>
      <c r="H87" s="185" t="s">
        <v>137</v>
      </c>
      <c r="I87" s="185">
        <v>0</v>
      </c>
      <c r="J87" s="185" t="str">
        <f>INDEX('[4]TS BYDem'!$J$10:$J$203,MATCH(D87,'[4]TS BYDem'!$D$10:$D$203,0))</f>
        <v/>
      </c>
      <c r="K87" s="185" t="e">
        <f t="shared" ref="K87:Z90" ca="1" si="36">K$70/J$70*J87</f>
        <v>#VALUE!</v>
      </c>
      <c r="L87" s="185" t="e">
        <f t="shared" ca="1" si="36"/>
        <v>#VALUE!</v>
      </c>
      <c r="M87" s="185" t="e">
        <f t="shared" ca="1" si="36"/>
        <v>#VALUE!</v>
      </c>
      <c r="N87" s="185" t="e">
        <f t="shared" ca="1" si="36"/>
        <v>#VALUE!</v>
      </c>
      <c r="O87" s="185" t="e">
        <f t="shared" ca="1" si="36"/>
        <v>#VALUE!</v>
      </c>
      <c r="P87" s="185" t="e">
        <f t="shared" ca="1" si="36"/>
        <v>#VALUE!</v>
      </c>
      <c r="Q87" s="185" t="e">
        <f t="shared" ca="1" si="36"/>
        <v>#VALUE!</v>
      </c>
      <c r="R87" s="185" t="e">
        <f t="shared" ca="1" si="36"/>
        <v>#VALUE!</v>
      </c>
      <c r="S87" s="185" t="e">
        <f t="shared" ca="1" si="36"/>
        <v>#VALUE!</v>
      </c>
      <c r="T87" s="185" t="e">
        <f t="shared" ca="1" si="36"/>
        <v>#VALUE!</v>
      </c>
      <c r="U87" s="185" t="e">
        <f t="shared" ca="1" si="36"/>
        <v>#VALUE!</v>
      </c>
      <c r="V87" s="185" t="e">
        <f t="shared" ca="1" si="36"/>
        <v>#VALUE!</v>
      </c>
      <c r="W87" s="185" t="e">
        <f t="shared" ca="1" si="36"/>
        <v>#VALUE!</v>
      </c>
      <c r="X87" s="185" t="e">
        <f t="shared" ca="1" si="36"/>
        <v>#VALUE!</v>
      </c>
      <c r="Y87" s="185" t="e">
        <f t="shared" ca="1" si="36"/>
        <v>#VALUE!</v>
      </c>
      <c r="Z87" s="185" t="e">
        <f t="shared" ca="1" si="36"/>
        <v>#VALUE!</v>
      </c>
      <c r="AA87" s="185" t="e">
        <f t="shared" ref="AA87:AO90" ca="1" si="37">AA$70/Z$70*Z87</f>
        <v>#VALUE!</v>
      </c>
      <c r="AB87" s="185" t="e">
        <f t="shared" ca="1" si="37"/>
        <v>#VALUE!</v>
      </c>
      <c r="AC87" s="185" t="e">
        <f t="shared" ca="1" si="37"/>
        <v>#VALUE!</v>
      </c>
      <c r="AD87" s="185" t="e">
        <f t="shared" ca="1" si="37"/>
        <v>#VALUE!</v>
      </c>
      <c r="AE87" s="185" t="e">
        <f t="shared" ca="1" si="37"/>
        <v>#VALUE!</v>
      </c>
      <c r="AF87" s="185" t="e">
        <f t="shared" ca="1" si="37"/>
        <v>#VALUE!</v>
      </c>
      <c r="AG87" s="185" t="e">
        <f t="shared" ca="1" si="37"/>
        <v>#VALUE!</v>
      </c>
      <c r="AH87" s="185" t="e">
        <f t="shared" ca="1" si="37"/>
        <v>#VALUE!</v>
      </c>
      <c r="AI87" s="185" t="e">
        <f t="shared" ca="1" si="37"/>
        <v>#VALUE!</v>
      </c>
      <c r="AJ87" s="185" t="e">
        <f t="shared" ca="1" si="37"/>
        <v>#VALUE!</v>
      </c>
      <c r="AK87" s="185" t="e">
        <f t="shared" ca="1" si="37"/>
        <v>#VALUE!</v>
      </c>
      <c r="AL87" s="185" t="e">
        <f t="shared" ca="1" si="37"/>
        <v>#VALUE!</v>
      </c>
      <c r="AM87" s="185" t="e">
        <f t="shared" ca="1" si="37"/>
        <v>#VALUE!</v>
      </c>
      <c r="AN87" s="185" t="e">
        <f t="shared" ca="1" si="37"/>
        <v>#VALUE!</v>
      </c>
      <c r="AO87" s="185" t="e">
        <f t="shared" ca="1" si="37"/>
        <v>#VALUE!</v>
      </c>
      <c r="AP87" s="185" t="e">
        <f t="shared" ca="1" si="35"/>
        <v>#VALUE!</v>
      </c>
    </row>
    <row r="88" spans="1:42">
      <c r="A88" s="57" t="str">
        <f>'[4]TS BYDem'!A27</f>
        <v/>
      </c>
      <c r="B88" s="185" t="s">
        <v>288</v>
      </c>
      <c r="C88" s="185" t="s">
        <v>137</v>
      </c>
      <c r="D88" s="185" t="str">
        <f>'[4]TS BYDem'!D27</f>
        <v>IMIR</v>
      </c>
      <c r="E88" s="185" t="s">
        <v>137</v>
      </c>
      <c r="F88" s="185" t="s">
        <v>137</v>
      </c>
      <c r="G88" s="185" t="s">
        <v>137</v>
      </c>
      <c r="H88" s="185" t="s">
        <v>137</v>
      </c>
      <c r="I88" s="185">
        <v>0</v>
      </c>
      <c r="J88" s="185">
        <f>INDEX('[4]TS BYDem'!$J$10:$J$203,MATCH(D88,'[4]TS BYDem'!$D$10:$D$203,0))</f>
        <v>51.488523217763458</v>
      </c>
      <c r="K88" s="185">
        <f t="shared" ca="1" si="36"/>
        <v>52.928067078573662</v>
      </c>
      <c r="L88" s="185">
        <f t="shared" ca="1" si="36"/>
        <v>53.348546643309163</v>
      </c>
      <c r="M88" s="192">
        <f t="shared" ref="M88" si="38">O88</f>
        <v>46.045999999999999</v>
      </c>
      <c r="N88" s="192">
        <f t="shared" ref="N88" si="39">O88</f>
        <v>46.045999999999999</v>
      </c>
      <c r="O88" s="192">
        <f>INDEX('[4]TS BYDem'!$O$10:$O$203,MATCH(D88,'[4]TS BYDem'!$D$10:$D$203,0))</f>
        <v>46.045999999999999</v>
      </c>
      <c r="P88" s="185">
        <f t="shared" ca="1" si="36"/>
        <v>45.906192766216627</v>
      </c>
      <c r="Q88" s="185">
        <f t="shared" ca="1" si="36"/>
        <v>45.439187223035027</v>
      </c>
      <c r="R88" s="185">
        <f t="shared" ca="1" si="36"/>
        <v>41.850639957338657</v>
      </c>
      <c r="S88" s="185">
        <f t="shared" ca="1" si="36"/>
        <v>45.28037493710103</v>
      </c>
      <c r="T88" s="185">
        <f t="shared" ca="1" si="36"/>
        <v>45.682763648845693</v>
      </c>
      <c r="U88" s="185">
        <f t="shared" ca="1" si="36"/>
        <v>46.146457678960196</v>
      </c>
      <c r="V88" s="185">
        <f t="shared" ca="1" si="36"/>
        <v>46.689846004851198</v>
      </c>
      <c r="W88" s="185">
        <f t="shared" ca="1" si="36"/>
        <v>47.218485344446876</v>
      </c>
      <c r="X88" s="185">
        <f t="shared" ca="1" si="36"/>
        <v>48.080352843152141</v>
      </c>
      <c r="Y88" s="185">
        <f t="shared" ca="1" si="36"/>
        <v>48.944385247686519</v>
      </c>
      <c r="Z88" s="185">
        <f t="shared" ca="1" si="36"/>
        <v>49.90588218139127</v>
      </c>
      <c r="AA88" s="185">
        <f t="shared" ca="1" si="37"/>
        <v>51.031759986247387</v>
      </c>
      <c r="AB88" s="185">
        <f t="shared" ca="1" si="37"/>
        <v>52.017339954364218</v>
      </c>
      <c r="AC88" s="185">
        <f t="shared" ca="1" si="37"/>
        <v>53.297944585682238</v>
      </c>
      <c r="AD88" s="185">
        <f t="shared" ca="1" si="37"/>
        <v>54.721323170274516</v>
      </c>
      <c r="AE88" s="185">
        <f t="shared" ca="1" si="37"/>
        <v>56.157806208935277</v>
      </c>
      <c r="AF88" s="185">
        <f t="shared" ca="1" si="37"/>
        <v>57.615805412867225</v>
      </c>
      <c r="AG88" s="185">
        <f t="shared" ca="1" si="37"/>
        <v>59.407584507152905</v>
      </c>
      <c r="AH88" s="185">
        <f t="shared" ca="1" si="37"/>
        <v>61.026521217889211</v>
      </c>
      <c r="AI88" s="185">
        <f t="shared" ca="1" si="37"/>
        <v>62.668795247988733</v>
      </c>
      <c r="AJ88" s="185">
        <f t="shared" ca="1" si="37"/>
        <v>64.258407371572176</v>
      </c>
      <c r="AK88" s="185">
        <f t="shared" ca="1" si="37"/>
        <v>65.884277307078804</v>
      </c>
      <c r="AL88" s="185">
        <f t="shared" ca="1" si="37"/>
        <v>67.589187461384242</v>
      </c>
      <c r="AM88" s="185">
        <f t="shared" ca="1" si="37"/>
        <v>76.472720824138875</v>
      </c>
      <c r="AN88" s="185">
        <f t="shared" ca="1" si="37"/>
        <v>86.099010471683172</v>
      </c>
      <c r="AO88" s="185">
        <f t="shared" ca="1" si="37"/>
        <v>104.48504076785015</v>
      </c>
      <c r="AP88" s="185">
        <f t="shared" ca="1" si="35"/>
        <v>122.99486377814908</v>
      </c>
    </row>
    <row r="89" spans="1:42">
      <c r="A89" s="57" t="str">
        <f>'[4]TS BYDem'!A28</f>
        <v>*</v>
      </c>
      <c r="B89" s="185" t="s">
        <v>288</v>
      </c>
      <c r="C89" s="185" t="s">
        <v>137</v>
      </c>
      <c r="D89" s="185" t="str">
        <f>'[4]TS BYDem'!D28</f>
        <v>Useful Energy Service</v>
      </c>
      <c r="E89" s="185" t="s">
        <v>137</v>
      </c>
      <c r="F89" s="185" t="s">
        <v>137</v>
      </c>
      <c r="G89" s="185" t="s">
        <v>137</v>
      </c>
      <c r="H89" s="185" t="s">
        <v>137</v>
      </c>
      <c r="I89" s="185">
        <v>0</v>
      </c>
      <c r="J89" s="185" t="str">
        <f>INDEX('[4]TS BYDem'!$J$10:$J$203,MATCH(D89,'[4]TS BYDem'!$D$10:$D$203,0))</f>
        <v/>
      </c>
      <c r="K89" s="185" t="e">
        <f t="shared" ca="1" si="36"/>
        <v>#VALUE!</v>
      </c>
      <c r="L89" s="185" t="e">
        <f t="shared" ca="1" si="36"/>
        <v>#VALUE!</v>
      </c>
      <c r="M89" s="185" t="e">
        <f t="shared" ca="1" si="36"/>
        <v>#VALUE!</v>
      </c>
      <c r="N89" s="185" t="e">
        <f t="shared" ca="1" si="36"/>
        <v>#VALUE!</v>
      </c>
      <c r="O89" s="185" t="e">
        <f t="shared" ca="1" si="36"/>
        <v>#VALUE!</v>
      </c>
      <c r="P89" s="185" t="e">
        <f t="shared" ca="1" si="36"/>
        <v>#VALUE!</v>
      </c>
      <c r="Q89" s="185" t="e">
        <f t="shared" ca="1" si="36"/>
        <v>#VALUE!</v>
      </c>
      <c r="R89" s="185" t="e">
        <f t="shared" ca="1" si="36"/>
        <v>#VALUE!</v>
      </c>
      <c r="S89" s="185" t="e">
        <f t="shared" ca="1" si="36"/>
        <v>#VALUE!</v>
      </c>
      <c r="T89" s="185" t="e">
        <f t="shared" ca="1" si="36"/>
        <v>#VALUE!</v>
      </c>
      <c r="U89" s="185" t="e">
        <f t="shared" ca="1" si="36"/>
        <v>#VALUE!</v>
      </c>
      <c r="V89" s="185" t="e">
        <f t="shared" ca="1" si="36"/>
        <v>#VALUE!</v>
      </c>
      <c r="W89" s="185" t="e">
        <f t="shared" ca="1" si="36"/>
        <v>#VALUE!</v>
      </c>
      <c r="X89" s="185" t="e">
        <f t="shared" ca="1" si="36"/>
        <v>#VALUE!</v>
      </c>
      <c r="Y89" s="185" t="e">
        <f t="shared" ca="1" si="36"/>
        <v>#VALUE!</v>
      </c>
      <c r="Z89" s="185" t="e">
        <f t="shared" ca="1" si="36"/>
        <v>#VALUE!</v>
      </c>
      <c r="AA89" s="185" t="e">
        <f t="shared" ca="1" si="37"/>
        <v>#VALUE!</v>
      </c>
      <c r="AB89" s="185" t="e">
        <f t="shared" ca="1" si="37"/>
        <v>#VALUE!</v>
      </c>
      <c r="AC89" s="185" t="e">
        <f t="shared" ca="1" si="37"/>
        <v>#VALUE!</v>
      </c>
      <c r="AD89" s="185" t="e">
        <f t="shared" ca="1" si="37"/>
        <v>#VALUE!</v>
      </c>
      <c r="AE89" s="185" t="e">
        <f t="shared" ca="1" si="37"/>
        <v>#VALUE!</v>
      </c>
      <c r="AF89" s="185" t="e">
        <f t="shared" ca="1" si="37"/>
        <v>#VALUE!</v>
      </c>
      <c r="AG89" s="185" t="e">
        <f t="shared" ca="1" si="37"/>
        <v>#VALUE!</v>
      </c>
      <c r="AH89" s="185" t="e">
        <f t="shared" ca="1" si="37"/>
        <v>#VALUE!</v>
      </c>
      <c r="AI89" s="185" t="e">
        <f t="shared" ca="1" si="37"/>
        <v>#VALUE!</v>
      </c>
      <c r="AJ89" s="185" t="e">
        <f t="shared" ca="1" si="37"/>
        <v>#VALUE!</v>
      </c>
      <c r="AK89" s="185" t="e">
        <f t="shared" ca="1" si="37"/>
        <v>#VALUE!</v>
      </c>
      <c r="AL89" s="185" t="e">
        <f t="shared" ca="1" si="37"/>
        <v>#VALUE!</v>
      </c>
      <c r="AM89" s="185" t="e">
        <f t="shared" ca="1" si="37"/>
        <v>#VALUE!</v>
      </c>
      <c r="AN89" s="185" t="e">
        <f t="shared" ca="1" si="37"/>
        <v>#VALUE!</v>
      </c>
      <c r="AO89" s="185" t="e">
        <f t="shared" ca="1" si="37"/>
        <v>#VALUE!</v>
      </c>
      <c r="AP89" s="185" t="e">
        <f t="shared" ca="1" si="35"/>
        <v>#VALUE!</v>
      </c>
    </row>
    <row r="90" spans="1:42">
      <c r="A90" s="57" t="str">
        <f>'[4]TS BYDem'!A29</f>
        <v>*</v>
      </c>
      <c r="B90" s="185" t="s">
        <v>288</v>
      </c>
      <c r="C90" s="185" t="s">
        <v>137</v>
      </c>
      <c r="D90" s="185">
        <f>'[4]TS BYDem'!D29</f>
        <v>0</v>
      </c>
      <c r="E90" s="185" t="s">
        <v>137</v>
      </c>
      <c r="F90" s="185" t="s">
        <v>137</v>
      </c>
      <c r="G90" s="185" t="s">
        <v>137</v>
      </c>
      <c r="H90" s="185" t="s">
        <v>137</v>
      </c>
      <c r="I90" s="185">
        <v>0</v>
      </c>
      <c r="J90" s="185" t="str">
        <f>INDEX('[4]TS BYDem'!$J$10:$J$203,MATCH(D90,'[4]TS BYDem'!$D$10:$D$203,0))</f>
        <v/>
      </c>
      <c r="K90" s="185" t="e">
        <f t="shared" ca="1" si="36"/>
        <v>#VALUE!</v>
      </c>
      <c r="L90" s="185" t="e">
        <f t="shared" ca="1" si="36"/>
        <v>#VALUE!</v>
      </c>
      <c r="M90" s="185" t="e">
        <f t="shared" ca="1" si="36"/>
        <v>#VALUE!</v>
      </c>
      <c r="N90" s="185" t="e">
        <f t="shared" ca="1" si="36"/>
        <v>#VALUE!</v>
      </c>
      <c r="O90" s="185" t="e">
        <f t="shared" ca="1" si="36"/>
        <v>#VALUE!</v>
      </c>
      <c r="P90" s="185" t="e">
        <f t="shared" ca="1" si="36"/>
        <v>#VALUE!</v>
      </c>
      <c r="Q90" s="185" t="e">
        <f t="shared" ca="1" si="36"/>
        <v>#VALUE!</v>
      </c>
      <c r="R90" s="185" t="e">
        <f t="shared" ca="1" si="36"/>
        <v>#VALUE!</v>
      </c>
      <c r="S90" s="185" t="e">
        <f t="shared" ca="1" si="36"/>
        <v>#VALUE!</v>
      </c>
      <c r="T90" s="185" t="e">
        <f t="shared" ca="1" si="36"/>
        <v>#VALUE!</v>
      </c>
      <c r="U90" s="185" t="e">
        <f t="shared" ca="1" si="36"/>
        <v>#VALUE!</v>
      </c>
      <c r="V90" s="185" t="e">
        <f t="shared" ca="1" si="36"/>
        <v>#VALUE!</v>
      </c>
      <c r="W90" s="185" t="e">
        <f t="shared" ca="1" si="36"/>
        <v>#VALUE!</v>
      </c>
      <c r="X90" s="185" t="e">
        <f t="shared" ca="1" si="36"/>
        <v>#VALUE!</v>
      </c>
      <c r="Y90" s="185" t="e">
        <f t="shared" ca="1" si="36"/>
        <v>#VALUE!</v>
      </c>
      <c r="Z90" s="185" t="e">
        <f t="shared" ca="1" si="36"/>
        <v>#VALUE!</v>
      </c>
      <c r="AA90" s="185" t="e">
        <f t="shared" ca="1" si="37"/>
        <v>#VALUE!</v>
      </c>
      <c r="AB90" s="185" t="e">
        <f t="shared" ca="1" si="37"/>
        <v>#VALUE!</v>
      </c>
      <c r="AC90" s="185" t="e">
        <f t="shared" ca="1" si="37"/>
        <v>#VALUE!</v>
      </c>
      <c r="AD90" s="185" t="e">
        <f t="shared" ca="1" si="37"/>
        <v>#VALUE!</v>
      </c>
      <c r="AE90" s="185" t="e">
        <f t="shared" ca="1" si="37"/>
        <v>#VALUE!</v>
      </c>
      <c r="AF90" s="185" t="e">
        <f t="shared" ca="1" si="37"/>
        <v>#VALUE!</v>
      </c>
      <c r="AG90" s="185" t="e">
        <f t="shared" ca="1" si="37"/>
        <v>#VALUE!</v>
      </c>
      <c r="AH90" s="185" t="e">
        <f t="shared" ca="1" si="37"/>
        <v>#VALUE!</v>
      </c>
      <c r="AI90" s="185" t="e">
        <f t="shared" ca="1" si="37"/>
        <v>#VALUE!</v>
      </c>
      <c r="AJ90" s="185" t="e">
        <f t="shared" ca="1" si="37"/>
        <v>#VALUE!</v>
      </c>
      <c r="AK90" s="185" t="e">
        <f t="shared" ca="1" si="37"/>
        <v>#VALUE!</v>
      </c>
      <c r="AL90" s="185" t="e">
        <f t="shared" ca="1" si="37"/>
        <v>#VALUE!</v>
      </c>
      <c r="AM90" s="185" t="e">
        <f t="shared" ca="1" si="37"/>
        <v>#VALUE!</v>
      </c>
      <c r="AN90" s="185" t="e">
        <f t="shared" ca="1" si="37"/>
        <v>#VALUE!</v>
      </c>
      <c r="AO90" s="185" t="e">
        <f t="shared" ca="1" si="37"/>
        <v>#VALUE!</v>
      </c>
      <c r="AP90" s="185" t="e">
        <f t="shared" ca="1" si="35"/>
        <v>#VALUE!</v>
      </c>
    </row>
    <row r="91" spans="1:42" s="5" customFormat="1">
      <c r="A91" s="57" t="str">
        <f>'[4]TS BYDem'!A30</f>
        <v>*</v>
      </c>
      <c r="B91" s="5">
        <f>B70+1</f>
        <v>2</v>
      </c>
      <c r="C91" s="3" t="str">
        <f ca="1">OFFSET($C$9,$B91,0)</f>
        <v>Ferro Alloys</v>
      </c>
      <c r="D91" s="3" t="str">
        <f ca="1">OFFSET($B$9,$B91,0)</f>
        <v>FA</v>
      </c>
      <c r="J91" s="5">
        <f ca="1">SUMIF($B$10:$B$22,$D91,J$10:J$22)*SUMIF($B$10:$B$22,$D91,J$41:J$53)</f>
        <v>205.448728044604</v>
      </c>
      <c r="K91" s="5">
        <f t="shared" ref="K91:AP91" ca="1" si="40">SUMIF($B$10:$B$22,$D91,K$10:K$22)*SUMIF($B$10:$B$22,$D91,K$41:K$53)</f>
        <v>210.61199999999999</v>
      </c>
      <c r="L91" s="5">
        <f t="shared" ca="1" si="40"/>
        <v>211.703</v>
      </c>
      <c r="M91" s="5">
        <f t="shared" ca="1" si="40"/>
        <v>218.495</v>
      </c>
      <c r="N91" s="5">
        <f t="shared" ca="1" si="40"/>
        <v>215.50700000000001</v>
      </c>
      <c r="O91" s="5">
        <f t="shared" ca="1" si="40"/>
        <v>222.273</v>
      </c>
      <c r="P91" s="5">
        <f t="shared" ca="1" si="40"/>
        <v>220.99700000000001</v>
      </c>
      <c r="Q91" s="5">
        <f t="shared" ca="1" si="40"/>
        <v>218.15700000000001</v>
      </c>
      <c r="R91" s="5">
        <f t="shared" ca="1" si="40"/>
        <v>200.386</v>
      </c>
      <c r="S91" s="5">
        <f t="shared" ca="1" si="40"/>
        <v>217.52498454493437</v>
      </c>
      <c r="T91" s="5">
        <f t="shared" ca="1" si="40"/>
        <v>216.94089358423207</v>
      </c>
      <c r="U91" s="5">
        <f t="shared" ca="1" si="40"/>
        <v>216.57482825677272</v>
      </c>
      <c r="V91" s="5">
        <f t="shared" ca="1" si="40"/>
        <v>216.50067164862725</v>
      </c>
      <c r="W91" s="5">
        <f t="shared" ca="1" si="40"/>
        <v>216.27110432504307</v>
      </c>
      <c r="X91" s="5">
        <f t="shared" ca="1" si="40"/>
        <v>220.21864805430781</v>
      </c>
      <c r="Y91" s="5">
        <f t="shared" ca="1" si="40"/>
        <v>224.1761075309966</v>
      </c>
      <c r="Z91" s="5">
        <f t="shared" ca="1" si="40"/>
        <v>228.57997610366618</v>
      </c>
      <c r="AA91" s="5">
        <f t="shared" ca="1" si="40"/>
        <v>233.73674541583398</v>
      </c>
      <c r="AB91" s="5">
        <f ca="1">SUMIF($B$10:$B$22,$D91,AB$10:AB$22)*SUMIF($B$10:$B$22,$D91,AB$40:AB$53)</f>
        <v>254.5599002031355</v>
      </c>
      <c r="AC91" s="5">
        <f t="shared" ca="1" si="40"/>
        <v>244.11637200378888</v>
      </c>
      <c r="AD91" s="5">
        <f t="shared" ca="1" si="40"/>
        <v>250.63576067364573</v>
      </c>
      <c r="AE91" s="5">
        <f t="shared" ca="1" si="40"/>
        <v>257.21517064093081</v>
      </c>
      <c r="AF91" s="5">
        <f t="shared" ca="1" si="40"/>
        <v>263.89312940303836</v>
      </c>
      <c r="AG91" s="5">
        <f t="shared" ca="1" si="40"/>
        <v>272.09987387188147</v>
      </c>
      <c r="AH91" s="5">
        <f t="shared" ca="1" si="40"/>
        <v>279.51496200334503</v>
      </c>
      <c r="AI91" s="5">
        <f t="shared" ca="1" si="40"/>
        <v>287.03694021808531</v>
      </c>
      <c r="AJ91" s="5">
        <f t="shared" ca="1" si="40"/>
        <v>294.31771525582803</v>
      </c>
      <c r="AK91" s="5">
        <f t="shared" ca="1" si="40"/>
        <v>301.76455908988714</v>
      </c>
      <c r="AL91" s="5">
        <f t="shared" ca="1" si="40"/>
        <v>309.57342460424826</v>
      </c>
      <c r="AM91" s="5">
        <f t="shared" ca="1" si="40"/>
        <v>350.26197182587691</v>
      </c>
      <c r="AN91" s="5">
        <f t="shared" ca="1" si="40"/>
        <v>394.35250707791403</v>
      </c>
      <c r="AO91" s="5">
        <f t="shared" ca="1" si="40"/>
        <v>478.5645915465102</v>
      </c>
      <c r="AP91" s="5">
        <f t="shared" ca="1" si="40"/>
        <v>563.34367402017597</v>
      </c>
    </row>
    <row r="92" spans="1:42">
      <c r="A92" s="57" t="str">
        <f>'[4]TS BYDem'!A31</f>
        <v>*</v>
      </c>
      <c r="B92" s="185" t="s">
        <v>288</v>
      </c>
      <c r="C92" s="185" t="s">
        <v>137</v>
      </c>
      <c r="D92" s="185" t="str">
        <f>'[4]TS BYDem'!D31</f>
        <v>IFAK</v>
      </c>
      <c r="E92" s="185" t="s">
        <v>137</v>
      </c>
      <c r="F92" s="185" t="s">
        <v>137</v>
      </c>
      <c r="G92" s="185" t="s">
        <v>137</v>
      </c>
      <c r="H92" s="185" t="s">
        <v>137</v>
      </c>
      <c r="I92" s="185">
        <v>0</v>
      </c>
      <c r="J92" s="185" t="str">
        <f>INDEX('[4]TS BYDem'!$J$10:$J$203,MATCH(D92,'[4]TS BYDem'!$D$10:$D$203,0))</f>
        <v/>
      </c>
      <c r="K92" s="185" t="e">
        <f ca="1">K$91/J$91*J92</f>
        <v>#VALUE!</v>
      </c>
      <c r="L92" s="185" t="e">
        <f t="shared" ref="L92:AP107" ca="1" si="41">L$91/K$91*K92</f>
        <v>#VALUE!</v>
      </c>
      <c r="M92" s="185" t="e">
        <f t="shared" ca="1" si="41"/>
        <v>#VALUE!</v>
      </c>
      <c r="N92" s="185" t="e">
        <f t="shared" ca="1" si="41"/>
        <v>#VALUE!</v>
      </c>
      <c r="O92" s="185" t="e">
        <f t="shared" ca="1" si="41"/>
        <v>#VALUE!</v>
      </c>
      <c r="P92" s="185" t="e">
        <f t="shared" ca="1" si="41"/>
        <v>#VALUE!</v>
      </c>
      <c r="Q92" s="185" t="e">
        <f t="shared" ca="1" si="41"/>
        <v>#VALUE!</v>
      </c>
      <c r="R92" s="185" t="e">
        <f t="shared" ca="1" si="41"/>
        <v>#VALUE!</v>
      </c>
      <c r="S92" s="185" t="e">
        <f t="shared" ca="1" si="41"/>
        <v>#VALUE!</v>
      </c>
      <c r="T92" s="185" t="e">
        <f t="shared" ca="1" si="41"/>
        <v>#VALUE!</v>
      </c>
      <c r="U92" s="185" t="e">
        <f t="shared" ca="1" si="41"/>
        <v>#VALUE!</v>
      </c>
      <c r="V92" s="185" t="e">
        <f t="shared" ca="1" si="41"/>
        <v>#VALUE!</v>
      </c>
      <c r="W92" s="185" t="e">
        <f t="shared" ca="1" si="41"/>
        <v>#VALUE!</v>
      </c>
      <c r="X92" s="185" t="e">
        <f t="shared" ca="1" si="41"/>
        <v>#VALUE!</v>
      </c>
      <c r="Y92" s="185" t="e">
        <f t="shared" ca="1" si="41"/>
        <v>#VALUE!</v>
      </c>
      <c r="Z92" s="185" t="e">
        <f t="shared" ca="1" si="41"/>
        <v>#VALUE!</v>
      </c>
      <c r="AA92" s="185" t="e">
        <f t="shared" ca="1" si="41"/>
        <v>#VALUE!</v>
      </c>
      <c r="AB92" s="185" t="e">
        <f t="shared" ca="1" si="41"/>
        <v>#VALUE!</v>
      </c>
      <c r="AC92" s="185" t="e">
        <f t="shared" ca="1" si="41"/>
        <v>#VALUE!</v>
      </c>
      <c r="AD92" s="185" t="e">
        <f t="shared" ca="1" si="41"/>
        <v>#VALUE!</v>
      </c>
      <c r="AE92" s="185" t="e">
        <f t="shared" ca="1" si="41"/>
        <v>#VALUE!</v>
      </c>
      <c r="AF92" s="185" t="e">
        <f t="shared" ca="1" si="41"/>
        <v>#VALUE!</v>
      </c>
      <c r="AG92" s="185" t="e">
        <f t="shared" ca="1" si="41"/>
        <v>#VALUE!</v>
      </c>
      <c r="AH92" s="185" t="e">
        <f t="shared" ca="1" si="41"/>
        <v>#VALUE!</v>
      </c>
      <c r="AI92" s="185" t="e">
        <f t="shared" ca="1" si="41"/>
        <v>#VALUE!</v>
      </c>
      <c r="AJ92" s="185" t="e">
        <f t="shared" ca="1" si="41"/>
        <v>#VALUE!</v>
      </c>
      <c r="AK92" s="185" t="e">
        <f t="shared" ca="1" si="41"/>
        <v>#VALUE!</v>
      </c>
      <c r="AL92" s="185" t="e">
        <f t="shared" ca="1" si="41"/>
        <v>#VALUE!</v>
      </c>
      <c r="AM92" s="185" t="e">
        <f t="shared" ca="1" si="41"/>
        <v>#VALUE!</v>
      </c>
      <c r="AN92" s="185" t="e">
        <f t="shared" ca="1" si="41"/>
        <v>#VALUE!</v>
      </c>
      <c r="AO92" s="185" t="e">
        <f t="shared" ca="1" si="41"/>
        <v>#VALUE!</v>
      </c>
      <c r="AP92" s="185" t="e">
        <f t="shared" ca="1" si="41"/>
        <v>#VALUE!</v>
      </c>
    </row>
    <row r="93" spans="1:42">
      <c r="A93" s="57" t="str">
        <f>'[4]TS BYDem'!A32</f>
        <v>*</v>
      </c>
      <c r="B93" s="185" t="s">
        <v>288</v>
      </c>
      <c r="C93" s="185" t="s">
        <v>137</v>
      </c>
      <c r="D93" s="185" t="str">
        <f>'[4]TS BYDem'!D32</f>
        <v>IFAA</v>
      </c>
      <c r="E93" s="185" t="s">
        <v>137</v>
      </c>
      <c r="F93" s="185" t="s">
        <v>137</v>
      </c>
      <c r="G93" s="185" t="s">
        <v>137</v>
      </c>
      <c r="H93" s="185" t="s">
        <v>137</v>
      </c>
      <c r="I93" s="185">
        <v>0</v>
      </c>
      <c r="J93" s="185" t="str">
        <f>INDEX('[4]TS BYDem'!$J$10:$J$203,MATCH(D93,'[4]TS BYDem'!$D$10:$D$203,0))</f>
        <v/>
      </c>
      <c r="K93" s="185" t="e">
        <f t="shared" ref="K93:AH103" ca="1" si="42">K$91/J$91*J93</f>
        <v>#VALUE!</v>
      </c>
      <c r="L93" s="185" t="e">
        <f t="shared" ca="1" si="42"/>
        <v>#VALUE!</v>
      </c>
      <c r="M93" s="185" t="e">
        <f t="shared" ca="1" si="42"/>
        <v>#VALUE!</v>
      </c>
      <c r="N93" s="185" t="e">
        <f t="shared" ca="1" si="42"/>
        <v>#VALUE!</v>
      </c>
      <c r="O93" s="185" t="e">
        <f t="shared" ca="1" si="42"/>
        <v>#VALUE!</v>
      </c>
      <c r="P93" s="185" t="e">
        <f t="shared" ca="1" si="42"/>
        <v>#VALUE!</v>
      </c>
      <c r="Q93" s="185" t="e">
        <f t="shared" ca="1" si="42"/>
        <v>#VALUE!</v>
      </c>
      <c r="R93" s="185" t="e">
        <f t="shared" ca="1" si="42"/>
        <v>#VALUE!</v>
      </c>
      <c r="S93" s="185" t="e">
        <f t="shared" ca="1" si="42"/>
        <v>#VALUE!</v>
      </c>
      <c r="T93" s="185" t="e">
        <f t="shared" ca="1" si="42"/>
        <v>#VALUE!</v>
      </c>
      <c r="U93" s="185" t="e">
        <f t="shared" ca="1" si="42"/>
        <v>#VALUE!</v>
      </c>
      <c r="V93" s="185" t="e">
        <f t="shared" ca="1" si="42"/>
        <v>#VALUE!</v>
      </c>
      <c r="W93" s="185" t="e">
        <f t="shared" ca="1" si="42"/>
        <v>#VALUE!</v>
      </c>
      <c r="X93" s="185" t="e">
        <f t="shared" ca="1" si="42"/>
        <v>#VALUE!</v>
      </c>
      <c r="Y93" s="185" t="e">
        <f t="shared" ca="1" si="42"/>
        <v>#VALUE!</v>
      </c>
      <c r="Z93" s="185" t="e">
        <f t="shared" ca="1" si="42"/>
        <v>#VALUE!</v>
      </c>
      <c r="AA93" s="185" t="e">
        <f t="shared" ca="1" si="42"/>
        <v>#VALUE!</v>
      </c>
      <c r="AB93" s="185" t="e">
        <f t="shared" ca="1" si="42"/>
        <v>#VALUE!</v>
      </c>
      <c r="AC93" s="185" t="e">
        <f t="shared" ca="1" si="42"/>
        <v>#VALUE!</v>
      </c>
      <c r="AD93" s="185" t="e">
        <f t="shared" ca="1" si="42"/>
        <v>#VALUE!</v>
      </c>
      <c r="AE93" s="185" t="e">
        <f t="shared" ca="1" si="42"/>
        <v>#VALUE!</v>
      </c>
      <c r="AF93" s="185" t="e">
        <f t="shared" ca="1" si="42"/>
        <v>#VALUE!</v>
      </c>
      <c r="AG93" s="185" t="e">
        <f t="shared" ca="1" si="42"/>
        <v>#VALUE!</v>
      </c>
      <c r="AH93" s="185" t="e">
        <f t="shared" ca="1" si="42"/>
        <v>#VALUE!</v>
      </c>
      <c r="AI93" s="185" t="e">
        <f t="shared" ca="1" si="41"/>
        <v>#VALUE!</v>
      </c>
      <c r="AJ93" s="185" t="e">
        <f t="shared" ca="1" si="41"/>
        <v>#VALUE!</v>
      </c>
      <c r="AK93" s="185" t="e">
        <f t="shared" ca="1" si="41"/>
        <v>#VALUE!</v>
      </c>
      <c r="AL93" s="185" t="e">
        <f t="shared" ca="1" si="41"/>
        <v>#VALUE!</v>
      </c>
      <c r="AM93" s="185" t="e">
        <f t="shared" ca="1" si="41"/>
        <v>#VALUE!</v>
      </c>
      <c r="AN93" s="185" t="e">
        <f t="shared" ca="1" si="41"/>
        <v>#VALUE!</v>
      </c>
      <c r="AO93" s="185" t="e">
        <f t="shared" ca="1" si="41"/>
        <v>#VALUE!</v>
      </c>
      <c r="AP93" s="185" t="e">
        <f t="shared" ca="1" si="41"/>
        <v>#VALUE!</v>
      </c>
    </row>
    <row r="94" spans="1:42">
      <c r="A94" s="57" t="str">
        <f>'[4]TS BYDem'!A33</f>
        <v>*</v>
      </c>
      <c r="B94" s="185" t="s">
        <v>288</v>
      </c>
      <c r="C94" s="185" t="s">
        <v>137</v>
      </c>
      <c r="D94" s="185" t="str">
        <f>'[4]TS BYDem'!D33</f>
        <v>IFAL</v>
      </c>
      <c r="E94" s="185" t="s">
        <v>137</v>
      </c>
      <c r="F94" s="185" t="s">
        <v>137</v>
      </c>
      <c r="G94" s="185" t="s">
        <v>137</v>
      </c>
      <c r="H94" s="185" t="s">
        <v>137</v>
      </c>
      <c r="I94" s="185">
        <v>0</v>
      </c>
      <c r="J94" s="185" t="str">
        <f>INDEX('[4]TS BYDem'!$J$10:$J$203,MATCH(D94,'[4]TS BYDem'!$D$10:$D$203,0))</f>
        <v/>
      </c>
      <c r="K94" s="185" t="e">
        <f t="shared" ca="1" si="42"/>
        <v>#VALUE!</v>
      </c>
      <c r="L94" s="185" t="e">
        <f t="shared" ca="1" si="42"/>
        <v>#VALUE!</v>
      </c>
      <c r="M94" s="185" t="e">
        <f t="shared" ca="1" si="42"/>
        <v>#VALUE!</v>
      </c>
      <c r="N94" s="185" t="e">
        <f t="shared" ca="1" si="42"/>
        <v>#VALUE!</v>
      </c>
      <c r="O94" s="185" t="e">
        <f t="shared" ca="1" si="42"/>
        <v>#VALUE!</v>
      </c>
      <c r="P94" s="185" t="e">
        <f t="shared" ca="1" si="42"/>
        <v>#VALUE!</v>
      </c>
      <c r="Q94" s="185" t="e">
        <f t="shared" ca="1" si="42"/>
        <v>#VALUE!</v>
      </c>
      <c r="R94" s="185" t="e">
        <f t="shared" ca="1" si="42"/>
        <v>#VALUE!</v>
      </c>
      <c r="S94" s="185" t="e">
        <f t="shared" ca="1" si="42"/>
        <v>#VALUE!</v>
      </c>
      <c r="T94" s="185" t="e">
        <f t="shared" ca="1" si="42"/>
        <v>#VALUE!</v>
      </c>
      <c r="U94" s="185" t="e">
        <f t="shared" ca="1" si="42"/>
        <v>#VALUE!</v>
      </c>
      <c r="V94" s="185" t="e">
        <f t="shared" ca="1" si="42"/>
        <v>#VALUE!</v>
      </c>
      <c r="W94" s="185" t="e">
        <f t="shared" ca="1" si="42"/>
        <v>#VALUE!</v>
      </c>
      <c r="X94" s="185" t="e">
        <f t="shared" ca="1" si="42"/>
        <v>#VALUE!</v>
      </c>
      <c r="Y94" s="185" t="e">
        <f t="shared" ca="1" si="42"/>
        <v>#VALUE!</v>
      </c>
      <c r="Z94" s="185" t="e">
        <f t="shared" ca="1" si="42"/>
        <v>#VALUE!</v>
      </c>
      <c r="AA94" s="185" t="e">
        <f t="shared" ca="1" si="42"/>
        <v>#VALUE!</v>
      </c>
      <c r="AB94" s="185" t="e">
        <f t="shared" ca="1" si="42"/>
        <v>#VALUE!</v>
      </c>
      <c r="AC94" s="185" t="e">
        <f t="shared" ca="1" si="42"/>
        <v>#VALUE!</v>
      </c>
      <c r="AD94" s="185" t="e">
        <f t="shared" ca="1" si="42"/>
        <v>#VALUE!</v>
      </c>
      <c r="AE94" s="185" t="e">
        <f t="shared" ca="1" si="42"/>
        <v>#VALUE!</v>
      </c>
      <c r="AF94" s="185" t="e">
        <f t="shared" ca="1" si="42"/>
        <v>#VALUE!</v>
      </c>
      <c r="AG94" s="185" t="e">
        <f t="shared" ca="1" si="42"/>
        <v>#VALUE!</v>
      </c>
      <c r="AH94" s="185" t="e">
        <f t="shared" ca="1" si="42"/>
        <v>#VALUE!</v>
      </c>
      <c r="AI94" s="185" t="e">
        <f t="shared" ca="1" si="41"/>
        <v>#VALUE!</v>
      </c>
      <c r="AJ94" s="185" t="e">
        <f t="shared" ca="1" si="41"/>
        <v>#VALUE!</v>
      </c>
      <c r="AK94" s="185" t="e">
        <f t="shared" ca="1" si="41"/>
        <v>#VALUE!</v>
      </c>
      <c r="AL94" s="185" t="e">
        <f t="shared" ca="1" si="41"/>
        <v>#VALUE!</v>
      </c>
      <c r="AM94" s="185" t="e">
        <f t="shared" ca="1" si="41"/>
        <v>#VALUE!</v>
      </c>
      <c r="AN94" s="185" t="e">
        <f t="shared" ca="1" si="41"/>
        <v>#VALUE!</v>
      </c>
      <c r="AO94" s="185" t="e">
        <f t="shared" ca="1" si="41"/>
        <v>#VALUE!</v>
      </c>
      <c r="AP94" s="185" t="e">
        <f t="shared" ca="1" si="41"/>
        <v>#VALUE!</v>
      </c>
    </row>
    <row r="95" spans="1:42">
      <c r="A95" s="57" t="str">
        <f>'[4]TS BYDem'!A34</f>
        <v>*</v>
      </c>
      <c r="B95" s="185" t="s">
        <v>288</v>
      </c>
      <c r="C95" s="185" t="s">
        <v>137</v>
      </c>
      <c r="D95" s="185" t="str">
        <f>'[4]TS BYDem'!D34</f>
        <v>IFAC</v>
      </c>
      <c r="E95" s="185" t="s">
        <v>137</v>
      </c>
      <c r="F95" s="185" t="s">
        <v>137</v>
      </c>
      <c r="G95" s="185" t="s">
        <v>137</v>
      </c>
      <c r="H95" s="185" t="s">
        <v>137</v>
      </c>
      <c r="I95" s="185">
        <v>0</v>
      </c>
      <c r="J95" s="185" t="str">
        <f>INDEX('[4]TS BYDem'!$J$10:$J$203,MATCH(D95,'[4]TS BYDem'!$D$10:$D$203,0))</f>
        <v/>
      </c>
      <c r="K95" s="185" t="e">
        <f t="shared" ca="1" si="42"/>
        <v>#VALUE!</v>
      </c>
      <c r="L95" s="185" t="e">
        <f t="shared" ca="1" si="42"/>
        <v>#VALUE!</v>
      </c>
      <c r="M95" s="185" t="e">
        <f t="shared" ca="1" si="42"/>
        <v>#VALUE!</v>
      </c>
      <c r="N95" s="185" t="e">
        <f t="shared" ca="1" si="42"/>
        <v>#VALUE!</v>
      </c>
      <c r="O95" s="185" t="e">
        <f t="shared" ca="1" si="42"/>
        <v>#VALUE!</v>
      </c>
      <c r="P95" s="185" t="e">
        <f t="shared" ca="1" si="42"/>
        <v>#VALUE!</v>
      </c>
      <c r="Q95" s="185" t="e">
        <f t="shared" ca="1" si="42"/>
        <v>#VALUE!</v>
      </c>
      <c r="R95" s="185" t="e">
        <f t="shared" ca="1" si="42"/>
        <v>#VALUE!</v>
      </c>
      <c r="S95" s="185" t="e">
        <f t="shared" ca="1" si="42"/>
        <v>#VALUE!</v>
      </c>
      <c r="T95" s="185" t="e">
        <f t="shared" ca="1" si="42"/>
        <v>#VALUE!</v>
      </c>
      <c r="U95" s="185" t="e">
        <f t="shared" ca="1" si="42"/>
        <v>#VALUE!</v>
      </c>
      <c r="V95" s="185" t="e">
        <f t="shared" ca="1" si="42"/>
        <v>#VALUE!</v>
      </c>
      <c r="W95" s="185" t="e">
        <f t="shared" ca="1" si="42"/>
        <v>#VALUE!</v>
      </c>
      <c r="X95" s="185" t="e">
        <f t="shared" ca="1" si="42"/>
        <v>#VALUE!</v>
      </c>
      <c r="Y95" s="185" t="e">
        <f t="shared" ca="1" si="42"/>
        <v>#VALUE!</v>
      </c>
      <c r="Z95" s="185" t="e">
        <f t="shared" ca="1" si="42"/>
        <v>#VALUE!</v>
      </c>
      <c r="AA95" s="185" t="e">
        <f t="shared" ca="1" si="42"/>
        <v>#VALUE!</v>
      </c>
      <c r="AB95" s="185" t="e">
        <f t="shared" ca="1" si="42"/>
        <v>#VALUE!</v>
      </c>
      <c r="AC95" s="185" t="e">
        <f t="shared" ca="1" si="42"/>
        <v>#VALUE!</v>
      </c>
      <c r="AD95" s="185" t="e">
        <f t="shared" ca="1" si="42"/>
        <v>#VALUE!</v>
      </c>
      <c r="AE95" s="185" t="e">
        <f t="shared" ca="1" si="42"/>
        <v>#VALUE!</v>
      </c>
      <c r="AF95" s="185" t="e">
        <f t="shared" ca="1" si="42"/>
        <v>#VALUE!</v>
      </c>
      <c r="AG95" s="185" t="e">
        <f t="shared" ca="1" si="42"/>
        <v>#VALUE!</v>
      </c>
      <c r="AH95" s="185" t="e">
        <f t="shared" ca="1" si="42"/>
        <v>#VALUE!</v>
      </c>
      <c r="AI95" s="185" t="e">
        <f t="shared" ca="1" si="41"/>
        <v>#VALUE!</v>
      </c>
      <c r="AJ95" s="185" t="e">
        <f t="shared" ca="1" si="41"/>
        <v>#VALUE!</v>
      </c>
      <c r="AK95" s="185" t="e">
        <f t="shared" ca="1" si="41"/>
        <v>#VALUE!</v>
      </c>
      <c r="AL95" s="185" t="e">
        <f t="shared" ca="1" si="41"/>
        <v>#VALUE!</v>
      </c>
      <c r="AM95" s="185" t="e">
        <f t="shared" ca="1" si="41"/>
        <v>#VALUE!</v>
      </c>
      <c r="AN95" s="185" t="e">
        <f t="shared" ca="1" si="41"/>
        <v>#VALUE!</v>
      </c>
      <c r="AO95" s="185" t="e">
        <f t="shared" ca="1" si="41"/>
        <v>#VALUE!</v>
      </c>
      <c r="AP95" s="185" t="e">
        <f t="shared" ca="1" si="41"/>
        <v>#VALUE!</v>
      </c>
    </row>
    <row r="96" spans="1:42">
      <c r="A96" s="57" t="str">
        <f>'[4]TS BYDem'!A35</f>
        <v>*</v>
      </c>
      <c r="B96" s="185" t="s">
        <v>288</v>
      </c>
      <c r="C96" s="185" t="s">
        <v>137</v>
      </c>
      <c r="D96" s="185" t="str">
        <f>'[4]TS BYDem'!D35</f>
        <v>IFAH</v>
      </c>
      <c r="E96" s="185" t="s">
        <v>137</v>
      </c>
      <c r="F96" s="185" t="s">
        <v>137</v>
      </c>
      <c r="G96" s="185" t="s">
        <v>137</v>
      </c>
      <c r="H96" s="185" t="s">
        <v>137</v>
      </c>
      <c r="I96" s="185">
        <v>0</v>
      </c>
      <c r="J96" s="185" t="str">
        <f>INDEX('[4]TS BYDem'!$J$10:$J$203,MATCH(D96,'[4]TS BYDem'!$D$10:$D$203,0))</f>
        <v/>
      </c>
      <c r="K96" s="185" t="e">
        <f t="shared" ca="1" si="42"/>
        <v>#VALUE!</v>
      </c>
      <c r="L96" s="185" t="e">
        <f t="shared" ca="1" si="42"/>
        <v>#VALUE!</v>
      </c>
      <c r="M96" s="185" t="e">
        <f t="shared" ca="1" si="42"/>
        <v>#VALUE!</v>
      </c>
      <c r="N96" s="185" t="e">
        <f t="shared" ca="1" si="42"/>
        <v>#VALUE!</v>
      </c>
      <c r="O96" s="185" t="e">
        <f t="shared" ca="1" si="42"/>
        <v>#VALUE!</v>
      </c>
      <c r="P96" s="185" t="e">
        <f t="shared" ca="1" si="42"/>
        <v>#VALUE!</v>
      </c>
      <c r="Q96" s="185" t="e">
        <f t="shared" ca="1" si="42"/>
        <v>#VALUE!</v>
      </c>
      <c r="R96" s="185" t="e">
        <f t="shared" ca="1" si="42"/>
        <v>#VALUE!</v>
      </c>
      <c r="S96" s="185" t="e">
        <f t="shared" ca="1" si="42"/>
        <v>#VALUE!</v>
      </c>
      <c r="T96" s="185" t="e">
        <f t="shared" ca="1" si="42"/>
        <v>#VALUE!</v>
      </c>
      <c r="U96" s="185" t="e">
        <f t="shared" ca="1" si="42"/>
        <v>#VALUE!</v>
      </c>
      <c r="V96" s="185" t="e">
        <f t="shared" ca="1" si="42"/>
        <v>#VALUE!</v>
      </c>
      <c r="W96" s="185" t="e">
        <f t="shared" ca="1" si="42"/>
        <v>#VALUE!</v>
      </c>
      <c r="X96" s="185" t="e">
        <f t="shared" ca="1" si="42"/>
        <v>#VALUE!</v>
      </c>
      <c r="Y96" s="185" t="e">
        <f t="shared" ca="1" si="42"/>
        <v>#VALUE!</v>
      </c>
      <c r="Z96" s="185" t="e">
        <f t="shared" ca="1" si="42"/>
        <v>#VALUE!</v>
      </c>
      <c r="AA96" s="185" t="e">
        <f t="shared" ca="1" si="42"/>
        <v>#VALUE!</v>
      </c>
      <c r="AB96" s="185" t="e">
        <f t="shared" ca="1" si="42"/>
        <v>#VALUE!</v>
      </c>
      <c r="AC96" s="185" t="e">
        <f t="shared" ca="1" si="42"/>
        <v>#VALUE!</v>
      </c>
      <c r="AD96" s="185" t="e">
        <f t="shared" ca="1" si="42"/>
        <v>#VALUE!</v>
      </c>
      <c r="AE96" s="185" t="e">
        <f t="shared" ca="1" si="42"/>
        <v>#VALUE!</v>
      </c>
      <c r="AF96" s="185" t="e">
        <f t="shared" ca="1" si="42"/>
        <v>#VALUE!</v>
      </c>
      <c r="AG96" s="185" t="e">
        <f t="shared" ca="1" si="42"/>
        <v>#VALUE!</v>
      </c>
      <c r="AH96" s="185" t="e">
        <f t="shared" ca="1" si="42"/>
        <v>#VALUE!</v>
      </c>
      <c r="AI96" s="185" t="e">
        <f t="shared" ca="1" si="41"/>
        <v>#VALUE!</v>
      </c>
      <c r="AJ96" s="185" t="e">
        <f t="shared" ca="1" si="41"/>
        <v>#VALUE!</v>
      </c>
      <c r="AK96" s="185" t="e">
        <f t="shared" ca="1" si="41"/>
        <v>#VALUE!</v>
      </c>
      <c r="AL96" s="185" t="e">
        <f t="shared" ca="1" si="41"/>
        <v>#VALUE!</v>
      </c>
      <c r="AM96" s="185" t="e">
        <f t="shared" ca="1" si="41"/>
        <v>#VALUE!</v>
      </c>
      <c r="AN96" s="185" t="e">
        <f t="shared" ca="1" si="41"/>
        <v>#VALUE!</v>
      </c>
      <c r="AO96" s="185" t="e">
        <f t="shared" ca="1" si="41"/>
        <v>#VALUE!</v>
      </c>
      <c r="AP96" s="185" t="e">
        <f t="shared" ca="1" si="41"/>
        <v>#VALUE!</v>
      </c>
    </row>
    <row r="97" spans="1:42">
      <c r="A97" s="57" t="str">
        <f>'[4]TS BYDem'!A36</f>
        <v>*</v>
      </c>
      <c r="B97" s="185" t="s">
        <v>288</v>
      </c>
      <c r="C97" s="185" t="s">
        <v>137</v>
      </c>
      <c r="D97" s="185" t="str">
        <f>'[4]TS BYDem'!D36</f>
        <v>IFAP</v>
      </c>
      <c r="E97" s="185" t="s">
        <v>137</v>
      </c>
      <c r="F97" s="185" t="s">
        <v>137</v>
      </c>
      <c r="G97" s="185" t="s">
        <v>137</v>
      </c>
      <c r="H97" s="185" t="s">
        <v>137</v>
      </c>
      <c r="I97" s="185">
        <v>0</v>
      </c>
      <c r="J97" s="185" t="str">
        <f>INDEX('[4]TS BYDem'!$J$10:$J$203,MATCH(D97,'[4]TS BYDem'!$D$10:$D$203,0))</f>
        <v/>
      </c>
      <c r="K97" s="185" t="e">
        <f t="shared" ca="1" si="42"/>
        <v>#VALUE!</v>
      </c>
      <c r="L97" s="185" t="e">
        <f t="shared" ca="1" si="42"/>
        <v>#VALUE!</v>
      </c>
      <c r="M97" s="185" t="e">
        <f t="shared" ca="1" si="42"/>
        <v>#VALUE!</v>
      </c>
      <c r="N97" s="185" t="e">
        <f t="shared" ca="1" si="42"/>
        <v>#VALUE!</v>
      </c>
      <c r="O97" s="185" t="e">
        <f t="shared" ca="1" si="42"/>
        <v>#VALUE!</v>
      </c>
      <c r="P97" s="185" t="e">
        <f t="shared" ca="1" si="42"/>
        <v>#VALUE!</v>
      </c>
      <c r="Q97" s="185" t="e">
        <f t="shared" ca="1" si="42"/>
        <v>#VALUE!</v>
      </c>
      <c r="R97" s="185" t="e">
        <f t="shared" ca="1" si="42"/>
        <v>#VALUE!</v>
      </c>
      <c r="S97" s="185" t="e">
        <f t="shared" ca="1" si="42"/>
        <v>#VALUE!</v>
      </c>
      <c r="T97" s="185" t="e">
        <f t="shared" ca="1" si="42"/>
        <v>#VALUE!</v>
      </c>
      <c r="U97" s="185" t="e">
        <f t="shared" ca="1" si="42"/>
        <v>#VALUE!</v>
      </c>
      <c r="V97" s="185" t="e">
        <f t="shared" ca="1" si="42"/>
        <v>#VALUE!</v>
      </c>
      <c r="W97" s="185" t="e">
        <f t="shared" ca="1" si="42"/>
        <v>#VALUE!</v>
      </c>
      <c r="X97" s="185" t="e">
        <f t="shared" ca="1" si="42"/>
        <v>#VALUE!</v>
      </c>
      <c r="Y97" s="185" t="e">
        <f t="shared" ca="1" si="42"/>
        <v>#VALUE!</v>
      </c>
      <c r="Z97" s="185" t="e">
        <f t="shared" ca="1" si="42"/>
        <v>#VALUE!</v>
      </c>
      <c r="AA97" s="185" t="e">
        <f t="shared" ca="1" si="42"/>
        <v>#VALUE!</v>
      </c>
      <c r="AB97" s="185" t="e">
        <f t="shared" ca="1" si="42"/>
        <v>#VALUE!</v>
      </c>
      <c r="AC97" s="185" t="e">
        <f t="shared" ca="1" si="42"/>
        <v>#VALUE!</v>
      </c>
      <c r="AD97" s="185" t="e">
        <f t="shared" ca="1" si="42"/>
        <v>#VALUE!</v>
      </c>
      <c r="AE97" s="185" t="e">
        <f t="shared" ca="1" si="42"/>
        <v>#VALUE!</v>
      </c>
      <c r="AF97" s="185" t="e">
        <f t="shared" ca="1" si="42"/>
        <v>#VALUE!</v>
      </c>
      <c r="AG97" s="185" t="e">
        <f t="shared" ca="1" si="42"/>
        <v>#VALUE!</v>
      </c>
      <c r="AH97" s="185" t="e">
        <f t="shared" ca="1" si="42"/>
        <v>#VALUE!</v>
      </c>
      <c r="AI97" s="185" t="e">
        <f t="shared" ca="1" si="41"/>
        <v>#VALUE!</v>
      </c>
      <c r="AJ97" s="185" t="e">
        <f t="shared" ca="1" si="41"/>
        <v>#VALUE!</v>
      </c>
      <c r="AK97" s="185" t="e">
        <f t="shared" ca="1" si="41"/>
        <v>#VALUE!</v>
      </c>
      <c r="AL97" s="185" t="e">
        <f t="shared" ca="1" si="41"/>
        <v>#VALUE!</v>
      </c>
      <c r="AM97" s="185" t="e">
        <f t="shared" ca="1" si="41"/>
        <v>#VALUE!</v>
      </c>
      <c r="AN97" s="185" t="e">
        <f t="shared" ca="1" si="41"/>
        <v>#VALUE!</v>
      </c>
      <c r="AO97" s="185" t="e">
        <f t="shared" ca="1" si="41"/>
        <v>#VALUE!</v>
      </c>
      <c r="AP97" s="185" t="e">
        <f t="shared" ca="1" si="41"/>
        <v>#VALUE!</v>
      </c>
    </row>
    <row r="98" spans="1:42">
      <c r="A98" s="57" t="str">
        <f>'[4]TS BYDem'!A37</f>
        <v>*</v>
      </c>
      <c r="B98" s="185" t="s">
        <v>288</v>
      </c>
      <c r="C98" s="185" t="s">
        <v>137</v>
      </c>
      <c r="D98" s="185" t="str">
        <f>'[4]TS BYDem'!D37</f>
        <v>IFAF</v>
      </c>
      <c r="E98" s="185" t="s">
        <v>137</v>
      </c>
      <c r="F98" s="185" t="s">
        <v>137</v>
      </c>
      <c r="G98" s="185" t="s">
        <v>137</v>
      </c>
      <c r="H98" s="185" t="s">
        <v>137</v>
      </c>
      <c r="I98" s="185">
        <v>0</v>
      </c>
      <c r="J98" s="185" t="str">
        <f>INDEX('[4]TS BYDem'!$J$10:$J$203,MATCH(D98,'[4]TS BYDem'!$D$10:$D$203,0))</f>
        <v/>
      </c>
      <c r="K98" s="185" t="e">
        <f t="shared" ca="1" si="42"/>
        <v>#VALUE!</v>
      </c>
      <c r="L98" s="185" t="e">
        <f t="shared" ca="1" si="42"/>
        <v>#VALUE!</v>
      </c>
      <c r="M98" s="185" t="e">
        <f t="shared" ca="1" si="42"/>
        <v>#VALUE!</v>
      </c>
      <c r="N98" s="185" t="e">
        <f t="shared" ca="1" si="42"/>
        <v>#VALUE!</v>
      </c>
      <c r="O98" s="185" t="e">
        <f t="shared" ca="1" si="42"/>
        <v>#VALUE!</v>
      </c>
      <c r="P98" s="185" t="e">
        <f t="shared" ca="1" si="42"/>
        <v>#VALUE!</v>
      </c>
      <c r="Q98" s="185" t="e">
        <f t="shared" ca="1" si="42"/>
        <v>#VALUE!</v>
      </c>
      <c r="R98" s="185" t="e">
        <f t="shared" ca="1" si="42"/>
        <v>#VALUE!</v>
      </c>
      <c r="S98" s="185" t="e">
        <f t="shared" ca="1" si="42"/>
        <v>#VALUE!</v>
      </c>
      <c r="T98" s="185" t="e">
        <f t="shared" ca="1" si="42"/>
        <v>#VALUE!</v>
      </c>
      <c r="U98" s="185" t="e">
        <f t="shared" ca="1" si="42"/>
        <v>#VALUE!</v>
      </c>
      <c r="V98" s="185" t="e">
        <f t="shared" ca="1" si="42"/>
        <v>#VALUE!</v>
      </c>
      <c r="W98" s="185" t="e">
        <f t="shared" ca="1" si="42"/>
        <v>#VALUE!</v>
      </c>
      <c r="X98" s="185" t="e">
        <f t="shared" ca="1" si="42"/>
        <v>#VALUE!</v>
      </c>
      <c r="Y98" s="185" t="e">
        <f t="shared" ca="1" si="42"/>
        <v>#VALUE!</v>
      </c>
      <c r="Z98" s="185" t="e">
        <f t="shared" ca="1" si="42"/>
        <v>#VALUE!</v>
      </c>
      <c r="AA98" s="185" t="e">
        <f t="shared" ca="1" si="42"/>
        <v>#VALUE!</v>
      </c>
      <c r="AB98" s="185" t="e">
        <f t="shared" ca="1" si="42"/>
        <v>#VALUE!</v>
      </c>
      <c r="AC98" s="185" t="e">
        <f t="shared" ca="1" si="42"/>
        <v>#VALUE!</v>
      </c>
      <c r="AD98" s="185" t="e">
        <f t="shared" ca="1" si="42"/>
        <v>#VALUE!</v>
      </c>
      <c r="AE98" s="185" t="e">
        <f t="shared" ca="1" si="42"/>
        <v>#VALUE!</v>
      </c>
      <c r="AF98" s="185" t="e">
        <f t="shared" ca="1" si="42"/>
        <v>#VALUE!</v>
      </c>
      <c r="AG98" s="185" t="e">
        <f t="shared" ca="1" si="42"/>
        <v>#VALUE!</v>
      </c>
      <c r="AH98" s="185" t="e">
        <f t="shared" ca="1" si="42"/>
        <v>#VALUE!</v>
      </c>
      <c r="AI98" s="185" t="e">
        <f t="shared" ca="1" si="41"/>
        <v>#VALUE!</v>
      </c>
      <c r="AJ98" s="185" t="e">
        <f t="shared" ca="1" si="41"/>
        <v>#VALUE!</v>
      </c>
      <c r="AK98" s="185" t="e">
        <f t="shared" ca="1" si="41"/>
        <v>#VALUE!</v>
      </c>
      <c r="AL98" s="185" t="e">
        <f t="shared" ca="1" si="41"/>
        <v>#VALUE!</v>
      </c>
      <c r="AM98" s="185" t="e">
        <f t="shared" ca="1" si="41"/>
        <v>#VALUE!</v>
      </c>
      <c r="AN98" s="185" t="e">
        <f t="shared" ca="1" si="41"/>
        <v>#VALUE!</v>
      </c>
      <c r="AO98" s="185" t="e">
        <f t="shared" ca="1" si="41"/>
        <v>#VALUE!</v>
      </c>
      <c r="AP98" s="185" t="e">
        <f t="shared" ca="1" si="41"/>
        <v>#VALUE!</v>
      </c>
    </row>
    <row r="99" spans="1:42">
      <c r="A99" s="57" t="str">
        <f>'[4]TS BYDem'!A38</f>
        <v>*</v>
      </c>
      <c r="B99" s="185" t="s">
        <v>288</v>
      </c>
      <c r="C99" s="185" t="s">
        <v>137</v>
      </c>
      <c r="D99" s="185" t="str">
        <f>'[4]TS BYDem'!D38</f>
        <v>IFAO</v>
      </c>
      <c r="E99" s="185" t="s">
        <v>137</v>
      </c>
      <c r="F99" s="185" t="s">
        <v>137</v>
      </c>
      <c r="G99" s="185" t="s">
        <v>137</v>
      </c>
      <c r="H99" s="185" t="s">
        <v>137</v>
      </c>
      <c r="I99" s="185">
        <v>0</v>
      </c>
      <c r="J99" s="185" t="str">
        <f>INDEX('[4]TS BYDem'!$J$10:$J$203,MATCH(D99,'[4]TS BYDem'!$D$10:$D$203,0))</f>
        <v/>
      </c>
      <c r="K99" s="185" t="e">
        <f t="shared" ca="1" si="42"/>
        <v>#VALUE!</v>
      </c>
      <c r="L99" s="185" t="e">
        <f t="shared" ca="1" si="42"/>
        <v>#VALUE!</v>
      </c>
      <c r="M99" s="185" t="e">
        <f t="shared" ca="1" si="42"/>
        <v>#VALUE!</v>
      </c>
      <c r="N99" s="185" t="e">
        <f t="shared" ca="1" si="42"/>
        <v>#VALUE!</v>
      </c>
      <c r="O99" s="185" t="e">
        <f t="shared" ca="1" si="42"/>
        <v>#VALUE!</v>
      </c>
      <c r="P99" s="185" t="e">
        <f t="shared" ca="1" si="42"/>
        <v>#VALUE!</v>
      </c>
      <c r="Q99" s="185" t="e">
        <f t="shared" ca="1" si="42"/>
        <v>#VALUE!</v>
      </c>
      <c r="R99" s="185" t="e">
        <f t="shared" ca="1" si="42"/>
        <v>#VALUE!</v>
      </c>
      <c r="S99" s="185" t="e">
        <f t="shared" ca="1" si="42"/>
        <v>#VALUE!</v>
      </c>
      <c r="T99" s="185" t="e">
        <f t="shared" ca="1" si="42"/>
        <v>#VALUE!</v>
      </c>
      <c r="U99" s="185" t="e">
        <f t="shared" ca="1" si="42"/>
        <v>#VALUE!</v>
      </c>
      <c r="V99" s="185" t="e">
        <f t="shared" ca="1" si="42"/>
        <v>#VALUE!</v>
      </c>
      <c r="W99" s="185" t="e">
        <f t="shared" ca="1" si="42"/>
        <v>#VALUE!</v>
      </c>
      <c r="X99" s="185" t="e">
        <f t="shared" ca="1" si="42"/>
        <v>#VALUE!</v>
      </c>
      <c r="Y99" s="185" t="e">
        <f t="shared" ca="1" si="42"/>
        <v>#VALUE!</v>
      </c>
      <c r="Z99" s="185" t="e">
        <f t="shared" ca="1" si="42"/>
        <v>#VALUE!</v>
      </c>
      <c r="AA99" s="185" t="e">
        <f t="shared" ca="1" si="42"/>
        <v>#VALUE!</v>
      </c>
      <c r="AB99" s="185" t="e">
        <f t="shared" ca="1" si="42"/>
        <v>#VALUE!</v>
      </c>
      <c r="AC99" s="185" t="e">
        <f t="shared" ca="1" si="42"/>
        <v>#VALUE!</v>
      </c>
      <c r="AD99" s="185" t="e">
        <f t="shared" ca="1" si="42"/>
        <v>#VALUE!</v>
      </c>
      <c r="AE99" s="185" t="e">
        <f t="shared" ca="1" si="42"/>
        <v>#VALUE!</v>
      </c>
      <c r="AF99" s="185" t="e">
        <f t="shared" ca="1" si="42"/>
        <v>#VALUE!</v>
      </c>
      <c r="AG99" s="185" t="e">
        <f t="shared" ca="1" si="42"/>
        <v>#VALUE!</v>
      </c>
      <c r="AH99" s="185" t="e">
        <f t="shared" ca="1" si="42"/>
        <v>#VALUE!</v>
      </c>
      <c r="AI99" s="185" t="e">
        <f t="shared" ca="1" si="41"/>
        <v>#VALUE!</v>
      </c>
      <c r="AJ99" s="185" t="e">
        <f t="shared" ca="1" si="41"/>
        <v>#VALUE!</v>
      </c>
      <c r="AK99" s="185" t="e">
        <f t="shared" ca="1" si="41"/>
        <v>#VALUE!</v>
      </c>
      <c r="AL99" s="185" t="e">
        <f t="shared" ca="1" si="41"/>
        <v>#VALUE!</v>
      </c>
      <c r="AM99" s="185" t="e">
        <f t="shared" ca="1" si="41"/>
        <v>#VALUE!</v>
      </c>
      <c r="AN99" s="185" t="e">
        <f t="shared" ca="1" si="41"/>
        <v>#VALUE!</v>
      </c>
      <c r="AO99" s="185" t="e">
        <f t="shared" ca="1" si="41"/>
        <v>#VALUE!</v>
      </c>
      <c r="AP99" s="185" t="e">
        <f t="shared" ca="1" si="41"/>
        <v>#VALUE!</v>
      </c>
    </row>
    <row r="100" spans="1:42">
      <c r="A100" s="57" t="str">
        <f>'[4]TS BYDem'!A39</f>
        <v>*</v>
      </c>
      <c r="B100" s="185" t="s">
        <v>288</v>
      </c>
      <c r="C100" s="185" t="s">
        <v>137</v>
      </c>
      <c r="D100" s="185" t="str">
        <f>'[4]TS BYDem'!D39</f>
        <v>IFAE</v>
      </c>
      <c r="E100" s="185" t="s">
        <v>137</v>
      </c>
      <c r="F100" s="185" t="s">
        <v>137</v>
      </c>
      <c r="G100" s="185" t="s">
        <v>137</v>
      </c>
      <c r="H100" s="185" t="s">
        <v>137</v>
      </c>
      <c r="I100" s="185">
        <v>0</v>
      </c>
      <c r="J100" s="185" t="str">
        <f>INDEX('[4]TS BYDem'!$J$10:$J$203,MATCH(D100,'[4]TS BYDem'!$D$10:$D$203,0))</f>
        <v/>
      </c>
      <c r="K100" s="185" t="e">
        <f t="shared" ca="1" si="42"/>
        <v>#VALUE!</v>
      </c>
      <c r="L100" s="185" t="e">
        <f t="shared" ca="1" si="42"/>
        <v>#VALUE!</v>
      </c>
      <c r="M100" s="185" t="e">
        <f t="shared" ca="1" si="42"/>
        <v>#VALUE!</v>
      </c>
      <c r="N100" s="185" t="e">
        <f t="shared" ca="1" si="42"/>
        <v>#VALUE!</v>
      </c>
      <c r="O100" s="185" t="e">
        <f t="shared" ca="1" si="42"/>
        <v>#VALUE!</v>
      </c>
      <c r="P100" s="185" t="e">
        <f t="shared" ca="1" si="42"/>
        <v>#VALUE!</v>
      </c>
      <c r="Q100" s="185" t="e">
        <f t="shared" ca="1" si="42"/>
        <v>#VALUE!</v>
      </c>
      <c r="R100" s="185" t="e">
        <f t="shared" ca="1" si="42"/>
        <v>#VALUE!</v>
      </c>
      <c r="S100" s="185" t="e">
        <f t="shared" ca="1" si="42"/>
        <v>#VALUE!</v>
      </c>
      <c r="T100" s="185" t="e">
        <f t="shared" ca="1" si="42"/>
        <v>#VALUE!</v>
      </c>
      <c r="U100" s="185" t="e">
        <f t="shared" ca="1" si="42"/>
        <v>#VALUE!</v>
      </c>
      <c r="V100" s="185" t="e">
        <f t="shared" ca="1" si="42"/>
        <v>#VALUE!</v>
      </c>
      <c r="W100" s="185" t="e">
        <f t="shared" ca="1" si="42"/>
        <v>#VALUE!</v>
      </c>
      <c r="X100" s="185" t="e">
        <f t="shared" ca="1" si="42"/>
        <v>#VALUE!</v>
      </c>
      <c r="Y100" s="185" t="e">
        <f t="shared" ca="1" si="42"/>
        <v>#VALUE!</v>
      </c>
      <c r="Z100" s="185" t="e">
        <f t="shared" ca="1" si="42"/>
        <v>#VALUE!</v>
      </c>
      <c r="AA100" s="185" t="e">
        <f t="shared" ca="1" si="42"/>
        <v>#VALUE!</v>
      </c>
      <c r="AB100" s="185" t="e">
        <f t="shared" ca="1" si="42"/>
        <v>#VALUE!</v>
      </c>
      <c r="AC100" s="185" t="e">
        <f t="shared" ca="1" si="42"/>
        <v>#VALUE!</v>
      </c>
      <c r="AD100" s="185" t="e">
        <f t="shared" ca="1" si="42"/>
        <v>#VALUE!</v>
      </c>
      <c r="AE100" s="185" t="e">
        <f t="shared" ca="1" si="42"/>
        <v>#VALUE!</v>
      </c>
      <c r="AF100" s="185" t="e">
        <f t="shared" ca="1" si="42"/>
        <v>#VALUE!</v>
      </c>
      <c r="AG100" s="185" t="e">
        <f t="shared" ca="1" si="42"/>
        <v>#VALUE!</v>
      </c>
      <c r="AH100" s="185" t="e">
        <f t="shared" ca="1" si="42"/>
        <v>#VALUE!</v>
      </c>
      <c r="AI100" s="185" t="e">
        <f t="shared" ca="1" si="41"/>
        <v>#VALUE!</v>
      </c>
      <c r="AJ100" s="185" t="e">
        <f t="shared" ca="1" si="41"/>
        <v>#VALUE!</v>
      </c>
      <c r="AK100" s="185" t="e">
        <f t="shared" ca="1" si="41"/>
        <v>#VALUE!</v>
      </c>
      <c r="AL100" s="185" t="e">
        <f t="shared" ca="1" si="41"/>
        <v>#VALUE!</v>
      </c>
      <c r="AM100" s="185" t="e">
        <f t="shared" ca="1" si="41"/>
        <v>#VALUE!</v>
      </c>
      <c r="AN100" s="185" t="e">
        <f t="shared" ca="1" si="41"/>
        <v>#VALUE!</v>
      </c>
      <c r="AO100" s="185" t="e">
        <f t="shared" ca="1" si="41"/>
        <v>#VALUE!</v>
      </c>
      <c r="AP100" s="185" t="e">
        <f t="shared" ca="1" si="41"/>
        <v>#VALUE!</v>
      </c>
    </row>
    <row r="101" spans="1:42">
      <c r="A101" s="57" t="str">
        <f>'[4]TS BYDem'!A40</f>
        <v>*</v>
      </c>
      <c r="B101" s="185" t="s">
        <v>288</v>
      </c>
      <c r="C101" s="185" t="s">
        <v>137</v>
      </c>
      <c r="D101" s="185">
        <f>'[4]TS BYDem'!D40</f>
        <v>0</v>
      </c>
      <c r="E101" s="185" t="s">
        <v>137</v>
      </c>
      <c r="F101" s="185" t="s">
        <v>137</v>
      </c>
      <c r="G101" s="185" t="s">
        <v>137</v>
      </c>
      <c r="H101" s="185" t="s">
        <v>137</v>
      </c>
      <c r="I101" s="185">
        <v>0</v>
      </c>
      <c r="J101" s="185" t="str">
        <f>INDEX('[4]TS BYDem'!$J$10:$J$203,MATCH(D101,'[4]TS BYDem'!$D$10:$D$203,0))</f>
        <v/>
      </c>
      <c r="K101" s="185" t="e">
        <f t="shared" ca="1" si="42"/>
        <v>#VALUE!</v>
      </c>
      <c r="L101" s="185" t="e">
        <f t="shared" ca="1" si="42"/>
        <v>#VALUE!</v>
      </c>
      <c r="M101" s="185" t="e">
        <f t="shared" ca="1" si="42"/>
        <v>#VALUE!</v>
      </c>
      <c r="N101" s="185" t="e">
        <f t="shared" ca="1" si="42"/>
        <v>#VALUE!</v>
      </c>
      <c r="O101" s="185" t="e">
        <f t="shared" ca="1" si="42"/>
        <v>#VALUE!</v>
      </c>
      <c r="P101" s="185" t="e">
        <f t="shared" ca="1" si="42"/>
        <v>#VALUE!</v>
      </c>
      <c r="Q101" s="185" t="e">
        <f t="shared" ca="1" si="42"/>
        <v>#VALUE!</v>
      </c>
      <c r="R101" s="185" t="e">
        <f t="shared" ca="1" si="42"/>
        <v>#VALUE!</v>
      </c>
      <c r="S101" s="185" t="e">
        <f t="shared" ca="1" si="42"/>
        <v>#VALUE!</v>
      </c>
      <c r="T101" s="185" t="e">
        <f t="shared" ca="1" si="42"/>
        <v>#VALUE!</v>
      </c>
      <c r="U101" s="185" t="e">
        <f t="shared" ca="1" si="42"/>
        <v>#VALUE!</v>
      </c>
      <c r="V101" s="185" t="e">
        <f t="shared" ca="1" si="42"/>
        <v>#VALUE!</v>
      </c>
      <c r="W101" s="185" t="e">
        <f t="shared" ca="1" si="42"/>
        <v>#VALUE!</v>
      </c>
      <c r="X101" s="185" t="e">
        <f t="shared" ca="1" si="42"/>
        <v>#VALUE!</v>
      </c>
      <c r="Y101" s="185" t="e">
        <f t="shared" ca="1" si="42"/>
        <v>#VALUE!</v>
      </c>
      <c r="Z101" s="185" t="e">
        <f t="shared" ca="1" si="42"/>
        <v>#VALUE!</v>
      </c>
      <c r="AA101" s="185" t="e">
        <f t="shared" ca="1" si="42"/>
        <v>#VALUE!</v>
      </c>
      <c r="AB101" s="185" t="e">
        <f t="shared" ca="1" si="42"/>
        <v>#VALUE!</v>
      </c>
      <c r="AC101" s="185" t="e">
        <f t="shared" ca="1" si="42"/>
        <v>#VALUE!</v>
      </c>
      <c r="AD101" s="185" t="e">
        <f t="shared" ca="1" si="42"/>
        <v>#VALUE!</v>
      </c>
      <c r="AE101" s="185" t="e">
        <f t="shared" ca="1" si="42"/>
        <v>#VALUE!</v>
      </c>
      <c r="AF101" s="185" t="e">
        <f t="shared" ca="1" si="42"/>
        <v>#VALUE!</v>
      </c>
      <c r="AG101" s="185" t="e">
        <f t="shared" ca="1" si="42"/>
        <v>#VALUE!</v>
      </c>
      <c r="AH101" s="185" t="e">
        <f t="shared" ca="1" si="42"/>
        <v>#VALUE!</v>
      </c>
      <c r="AI101" s="185" t="e">
        <f t="shared" ca="1" si="41"/>
        <v>#VALUE!</v>
      </c>
      <c r="AJ101" s="185" t="e">
        <f t="shared" ca="1" si="41"/>
        <v>#VALUE!</v>
      </c>
      <c r="AK101" s="185" t="e">
        <f t="shared" ca="1" si="41"/>
        <v>#VALUE!</v>
      </c>
      <c r="AL101" s="185" t="e">
        <f t="shared" ca="1" si="41"/>
        <v>#VALUE!</v>
      </c>
      <c r="AM101" s="185" t="e">
        <f t="shared" ca="1" si="41"/>
        <v>#VALUE!</v>
      </c>
      <c r="AN101" s="185" t="e">
        <f t="shared" ca="1" si="41"/>
        <v>#VALUE!</v>
      </c>
      <c r="AO101" s="185" t="e">
        <f t="shared" ca="1" si="41"/>
        <v>#VALUE!</v>
      </c>
      <c r="AP101" s="185" t="e">
        <f t="shared" ca="1" si="41"/>
        <v>#VALUE!</v>
      </c>
    </row>
    <row r="102" spans="1:42">
      <c r="A102" s="57" t="str">
        <f>'[4]TS BYDem'!A41</f>
        <v>*</v>
      </c>
      <c r="B102" s="185" t="s">
        <v>288</v>
      </c>
      <c r="C102" s="185" t="s">
        <v>137</v>
      </c>
      <c r="D102" s="185" t="str">
        <f>'[4]TS BYDem'!D41</f>
        <v>IFAS</v>
      </c>
      <c r="E102" s="185" t="s">
        <v>137</v>
      </c>
      <c r="F102" s="185" t="s">
        <v>137</v>
      </c>
      <c r="G102" s="185" t="s">
        <v>137</v>
      </c>
      <c r="H102" s="185" t="s">
        <v>137</v>
      </c>
      <c r="I102" s="185">
        <v>0</v>
      </c>
      <c r="J102" s="185" t="str">
        <f>INDEX('[4]TS BYDem'!$J$10:$J$203,MATCH(D102,'[4]TS BYDem'!$D$10:$D$203,0))</f>
        <v/>
      </c>
      <c r="K102" s="185" t="e">
        <f t="shared" ca="1" si="42"/>
        <v>#VALUE!</v>
      </c>
      <c r="L102" s="185" t="e">
        <f t="shared" ca="1" si="42"/>
        <v>#VALUE!</v>
      </c>
      <c r="M102" s="185" t="e">
        <f t="shared" ca="1" si="42"/>
        <v>#VALUE!</v>
      </c>
      <c r="N102" s="185" t="e">
        <f t="shared" ca="1" si="42"/>
        <v>#VALUE!</v>
      </c>
      <c r="O102" s="185" t="e">
        <f t="shared" ca="1" si="42"/>
        <v>#VALUE!</v>
      </c>
      <c r="P102" s="185" t="e">
        <f t="shared" ca="1" si="42"/>
        <v>#VALUE!</v>
      </c>
      <c r="Q102" s="185" t="e">
        <f t="shared" ca="1" si="42"/>
        <v>#VALUE!</v>
      </c>
      <c r="R102" s="185" t="e">
        <f t="shared" ca="1" si="42"/>
        <v>#VALUE!</v>
      </c>
      <c r="S102" s="185" t="e">
        <f t="shared" ca="1" si="42"/>
        <v>#VALUE!</v>
      </c>
      <c r="T102" s="185" t="e">
        <f t="shared" ca="1" si="42"/>
        <v>#VALUE!</v>
      </c>
      <c r="U102" s="185" t="e">
        <f t="shared" ca="1" si="42"/>
        <v>#VALUE!</v>
      </c>
      <c r="V102" s="185" t="e">
        <f t="shared" ca="1" si="42"/>
        <v>#VALUE!</v>
      </c>
      <c r="W102" s="185" t="e">
        <f t="shared" ca="1" si="42"/>
        <v>#VALUE!</v>
      </c>
      <c r="X102" s="185" t="e">
        <f t="shared" ca="1" si="42"/>
        <v>#VALUE!</v>
      </c>
      <c r="Y102" s="185" t="e">
        <f t="shared" ca="1" si="42"/>
        <v>#VALUE!</v>
      </c>
      <c r="Z102" s="185" t="e">
        <f t="shared" ca="1" si="42"/>
        <v>#VALUE!</v>
      </c>
      <c r="AA102" s="185" t="e">
        <f t="shared" ca="1" si="42"/>
        <v>#VALUE!</v>
      </c>
      <c r="AB102" s="185" t="e">
        <f t="shared" ca="1" si="42"/>
        <v>#VALUE!</v>
      </c>
      <c r="AC102" s="185" t="e">
        <f t="shared" ca="1" si="42"/>
        <v>#VALUE!</v>
      </c>
      <c r="AD102" s="185" t="e">
        <f t="shared" ca="1" si="42"/>
        <v>#VALUE!</v>
      </c>
      <c r="AE102" s="185" t="e">
        <f t="shared" ca="1" si="42"/>
        <v>#VALUE!</v>
      </c>
      <c r="AF102" s="185" t="e">
        <f t="shared" ca="1" si="42"/>
        <v>#VALUE!</v>
      </c>
      <c r="AG102" s="185" t="e">
        <f t="shared" ca="1" si="42"/>
        <v>#VALUE!</v>
      </c>
      <c r="AH102" s="185" t="e">
        <f t="shared" ca="1" si="42"/>
        <v>#VALUE!</v>
      </c>
      <c r="AI102" s="185" t="e">
        <f t="shared" ca="1" si="41"/>
        <v>#VALUE!</v>
      </c>
      <c r="AJ102" s="185" t="e">
        <f t="shared" ca="1" si="41"/>
        <v>#VALUE!</v>
      </c>
      <c r="AK102" s="185" t="e">
        <f t="shared" ca="1" si="41"/>
        <v>#VALUE!</v>
      </c>
      <c r="AL102" s="185" t="e">
        <f t="shared" ca="1" si="41"/>
        <v>#VALUE!</v>
      </c>
      <c r="AM102" s="185" t="e">
        <f t="shared" ca="1" si="41"/>
        <v>#VALUE!</v>
      </c>
      <c r="AN102" s="185" t="e">
        <f t="shared" ca="1" si="41"/>
        <v>#VALUE!</v>
      </c>
      <c r="AO102" s="185" t="e">
        <f t="shared" ca="1" si="41"/>
        <v>#VALUE!</v>
      </c>
      <c r="AP102" s="185" t="e">
        <f t="shared" ca="1" si="41"/>
        <v>#VALUE!</v>
      </c>
    </row>
    <row r="103" spans="1:42">
      <c r="A103" s="57" t="str">
        <f>'[4]TS BYDem'!A42</f>
        <v>*</v>
      </c>
      <c r="B103" s="185" t="s">
        <v>288</v>
      </c>
      <c r="C103" s="185" t="s">
        <v>137</v>
      </c>
      <c r="D103" s="185" t="str">
        <f>'[4]TS BYDem'!D42</f>
        <v>IFAS</v>
      </c>
      <c r="E103" s="185" t="s">
        <v>137</v>
      </c>
      <c r="F103" s="185" t="s">
        <v>137</v>
      </c>
      <c r="G103" s="185" t="s">
        <v>137</v>
      </c>
      <c r="H103" s="185" t="s">
        <v>137</v>
      </c>
      <c r="I103" s="185">
        <v>0</v>
      </c>
      <c r="J103" s="185" t="str">
        <f>INDEX('[4]TS BYDem'!$J$10:$J$203,MATCH(D103,'[4]TS BYDem'!$D$10:$D$203,0))</f>
        <v/>
      </c>
      <c r="K103" s="185" t="e">
        <f t="shared" ca="1" si="42"/>
        <v>#VALUE!</v>
      </c>
      <c r="L103" s="185" t="e">
        <f t="shared" ca="1" si="42"/>
        <v>#VALUE!</v>
      </c>
      <c r="M103" s="185" t="e">
        <f t="shared" ca="1" si="42"/>
        <v>#VALUE!</v>
      </c>
      <c r="N103" s="185" t="e">
        <f t="shared" ca="1" si="42"/>
        <v>#VALUE!</v>
      </c>
      <c r="O103" s="185" t="e">
        <f t="shared" ca="1" si="42"/>
        <v>#VALUE!</v>
      </c>
      <c r="P103" s="185" t="e">
        <f t="shared" ca="1" si="42"/>
        <v>#VALUE!</v>
      </c>
      <c r="Q103" s="185" t="e">
        <f t="shared" ca="1" si="42"/>
        <v>#VALUE!</v>
      </c>
      <c r="R103" s="185" t="e">
        <f t="shared" ca="1" si="42"/>
        <v>#VALUE!</v>
      </c>
      <c r="S103" s="185" t="e">
        <f t="shared" ca="1" si="42"/>
        <v>#VALUE!</v>
      </c>
      <c r="T103" s="185" t="e">
        <f t="shared" ca="1" si="42"/>
        <v>#VALUE!</v>
      </c>
      <c r="U103" s="185" t="e">
        <f t="shared" ca="1" si="42"/>
        <v>#VALUE!</v>
      </c>
      <c r="V103" s="185" t="e">
        <f t="shared" ca="1" si="42"/>
        <v>#VALUE!</v>
      </c>
      <c r="W103" s="185" t="e">
        <f t="shared" ca="1" si="42"/>
        <v>#VALUE!</v>
      </c>
      <c r="X103" s="185" t="e">
        <f t="shared" ca="1" si="42"/>
        <v>#VALUE!</v>
      </c>
      <c r="Y103" s="185" t="e">
        <f t="shared" ca="1" si="42"/>
        <v>#VALUE!</v>
      </c>
      <c r="Z103" s="185" t="e">
        <f t="shared" ref="Z103:AO111" ca="1" si="43">Z$91/Y$91*Y103</f>
        <v>#VALUE!</v>
      </c>
      <c r="AA103" s="185" t="e">
        <f t="shared" ca="1" si="43"/>
        <v>#VALUE!</v>
      </c>
      <c r="AB103" s="185" t="e">
        <f t="shared" ca="1" si="43"/>
        <v>#VALUE!</v>
      </c>
      <c r="AC103" s="185" t="e">
        <f t="shared" ca="1" si="43"/>
        <v>#VALUE!</v>
      </c>
      <c r="AD103" s="185" t="e">
        <f t="shared" ca="1" si="43"/>
        <v>#VALUE!</v>
      </c>
      <c r="AE103" s="185" t="e">
        <f t="shared" ca="1" si="43"/>
        <v>#VALUE!</v>
      </c>
      <c r="AF103" s="185" t="e">
        <f t="shared" ca="1" si="43"/>
        <v>#VALUE!</v>
      </c>
      <c r="AG103" s="185" t="e">
        <f t="shared" ca="1" si="43"/>
        <v>#VALUE!</v>
      </c>
      <c r="AH103" s="185" t="e">
        <f t="shared" ca="1" si="43"/>
        <v>#VALUE!</v>
      </c>
      <c r="AI103" s="185" t="e">
        <f t="shared" ca="1" si="41"/>
        <v>#VALUE!</v>
      </c>
      <c r="AJ103" s="185" t="e">
        <f t="shared" ca="1" si="41"/>
        <v>#VALUE!</v>
      </c>
      <c r="AK103" s="185" t="e">
        <f t="shared" ca="1" si="41"/>
        <v>#VALUE!</v>
      </c>
      <c r="AL103" s="185" t="e">
        <f t="shared" ca="1" si="41"/>
        <v>#VALUE!</v>
      </c>
      <c r="AM103" s="185" t="e">
        <f t="shared" ca="1" si="41"/>
        <v>#VALUE!</v>
      </c>
      <c r="AN103" s="185" t="e">
        <f t="shared" ca="1" si="41"/>
        <v>#VALUE!</v>
      </c>
      <c r="AO103" s="185" t="e">
        <f t="shared" ca="1" si="41"/>
        <v>#VALUE!</v>
      </c>
      <c r="AP103" s="185" t="e">
        <f t="shared" ca="1" si="41"/>
        <v>#VALUE!</v>
      </c>
    </row>
    <row r="104" spans="1:42">
      <c r="A104" s="57" t="str">
        <f>'[4]TS BYDem'!A43</f>
        <v>*</v>
      </c>
      <c r="B104" s="185" t="s">
        <v>288</v>
      </c>
      <c r="C104" s="185" t="s">
        <v>137</v>
      </c>
      <c r="D104" s="185" t="str">
        <f>'[4]TS BYDem'!D43</f>
        <v>IFAS</v>
      </c>
      <c r="E104" s="185" t="s">
        <v>137</v>
      </c>
      <c r="F104" s="185" t="s">
        <v>137</v>
      </c>
      <c r="G104" s="185" t="s">
        <v>137</v>
      </c>
      <c r="H104" s="185" t="s">
        <v>137</v>
      </c>
      <c r="I104" s="185">
        <v>0</v>
      </c>
      <c r="J104" s="185" t="str">
        <f>INDEX('[4]TS BYDem'!$J$10:$J$203,MATCH(D104,'[4]TS BYDem'!$D$10:$D$203,0))</f>
        <v/>
      </c>
      <c r="K104" s="185" t="e">
        <f t="shared" ref="K104:Y111" ca="1" si="44">K$91/J$91*J104</f>
        <v>#VALUE!</v>
      </c>
      <c r="L104" s="185" t="e">
        <f t="shared" ca="1" si="44"/>
        <v>#VALUE!</v>
      </c>
      <c r="M104" s="185" t="e">
        <f t="shared" ca="1" si="44"/>
        <v>#VALUE!</v>
      </c>
      <c r="N104" s="185" t="e">
        <f t="shared" ca="1" si="44"/>
        <v>#VALUE!</v>
      </c>
      <c r="O104" s="185" t="e">
        <f t="shared" ca="1" si="44"/>
        <v>#VALUE!</v>
      </c>
      <c r="P104" s="185" t="e">
        <f t="shared" ca="1" si="44"/>
        <v>#VALUE!</v>
      </c>
      <c r="Q104" s="185" t="e">
        <f t="shared" ca="1" si="44"/>
        <v>#VALUE!</v>
      </c>
      <c r="R104" s="185" t="e">
        <f t="shared" ca="1" si="44"/>
        <v>#VALUE!</v>
      </c>
      <c r="S104" s="185" t="e">
        <f t="shared" ca="1" si="44"/>
        <v>#VALUE!</v>
      </c>
      <c r="T104" s="185" t="e">
        <f t="shared" ca="1" si="44"/>
        <v>#VALUE!</v>
      </c>
      <c r="U104" s="185" t="e">
        <f t="shared" ca="1" si="44"/>
        <v>#VALUE!</v>
      </c>
      <c r="V104" s="185" t="e">
        <f t="shared" ca="1" si="44"/>
        <v>#VALUE!</v>
      </c>
      <c r="W104" s="185" t="e">
        <f t="shared" ca="1" si="44"/>
        <v>#VALUE!</v>
      </c>
      <c r="X104" s="185" t="e">
        <f t="shared" ca="1" si="44"/>
        <v>#VALUE!</v>
      </c>
      <c r="Y104" s="185" t="e">
        <f t="shared" ca="1" si="44"/>
        <v>#VALUE!</v>
      </c>
      <c r="Z104" s="185" t="e">
        <f t="shared" ca="1" si="43"/>
        <v>#VALUE!</v>
      </c>
      <c r="AA104" s="185" t="e">
        <f t="shared" ca="1" si="43"/>
        <v>#VALUE!</v>
      </c>
      <c r="AB104" s="185" t="e">
        <f t="shared" ca="1" si="43"/>
        <v>#VALUE!</v>
      </c>
      <c r="AC104" s="185" t="e">
        <f t="shared" ca="1" si="43"/>
        <v>#VALUE!</v>
      </c>
      <c r="AD104" s="185" t="e">
        <f t="shared" ca="1" si="43"/>
        <v>#VALUE!</v>
      </c>
      <c r="AE104" s="185" t="e">
        <f t="shared" ca="1" si="43"/>
        <v>#VALUE!</v>
      </c>
      <c r="AF104" s="185" t="e">
        <f t="shared" ca="1" si="43"/>
        <v>#VALUE!</v>
      </c>
      <c r="AG104" s="185" t="e">
        <f t="shared" ca="1" si="43"/>
        <v>#VALUE!</v>
      </c>
      <c r="AH104" s="185" t="e">
        <f t="shared" ca="1" si="43"/>
        <v>#VALUE!</v>
      </c>
      <c r="AI104" s="185" t="e">
        <f t="shared" ca="1" si="41"/>
        <v>#VALUE!</v>
      </c>
      <c r="AJ104" s="185" t="e">
        <f t="shared" ca="1" si="41"/>
        <v>#VALUE!</v>
      </c>
      <c r="AK104" s="185" t="e">
        <f t="shared" ca="1" si="41"/>
        <v>#VALUE!</v>
      </c>
      <c r="AL104" s="185" t="e">
        <f t="shared" ca="1" si="41"/>
        <v>#VALUE!</v>
      </c>
      <c r="AM104" s="185" t="e">
        <f t="shared" ca="1" si="41"/>
        <v>#VALUE!</v>
      </c>
      <c r="AN104" s="185" t="e">
        <f t="shared" ca="1" si="41"/>
        <v>#VALUE!</v>
      </c>
      <c r="AO104" s="185" t="e">
        <f t="shared" ca="1" si="41"/>
        <v>#VALUE!</v>
      </c>
      <c r="AP104" s="185" t="e">
        <f t="shared" ca="1" si="41"/>
        <v>#VALUE!</v>
      </c>
    </row>
    <row r="105" spans="1:42">
      <c r="A105" s="57" t="str">
        <f>'[4]TS BYDem'!A44</f>
        <v>*</v>
      </c>
      <c r="B105" s="185" t="s">
        <v>288</v>
      </c>
      <c r="C105" s="185" t="s">
        <v>137</v>
      </c>
      <c r="D105" s="185" t="str">
        <f>'[4]TS BYDem'!D44</f>
        <v>IFAS</v>
      </c>
      <c r="E105" s="185" t="s">
        <v>137</v>
      </c>
      <c r="F105" s="185" t="s">
        <v>137</v>
      </c>
      <c r="G105" s="185" t="s">
        <v>137</v>
      </c>
      <c r="H105" s="185" t="s">
        <v>137</v>
      </c>
      <c r="I105" s="185">
        <v>0</v>
      </c>
      <c r="J105" s="185" t="str">
        <f>INDEX('[4]TS BYDem'!$J$10:$J$203,MATCH(D105,'[4]TS BYDem'!$D$10:$D$203,0))</f>
        <v/>
      </c>
      <c r="K105" s="185" t="e">
        <f t="shared" ca="1" si="44"/>
        <v>#VALUE!</v>
      </c>
      <c r="L105" s="185" t="e">
        <f t="shared" ca="1" si="44"/>
        <v>#VALUE!</v>
      </c>
      <c r="M105" s="185" t="e">
        <f t="shared" ca="1" si="44"/>
        <v>#VALUE!</v>
      </c>
      <c r="N105" s="185" t="e">
        <f t="shared" ca="1" si="44"/>
        <v>#VALUE!</v>
      </c>
      <c r="O105" s="185" t="e">
        <f t="shared" ca="1" si="44"/>
        <v>#VALUE!</v>
      </c>
      <c r="P105" s="185" t="e">
        <f t="shared" ca="1" si="44"/>
        <v>#VALUE!</v>
      </c>
      <c r="Q105" s="185" t="e">
        <f t="shared" ca="1" si="44"/>
        <v>#VALUE!</v>
      </c>
      <c r="R105" s="185" t="e">
        <f t="shared" ca="1" si="44"/>
        <v>#VALUE!</v>
      </c>
      <c r="S105" s="185" t="e">
        <f t="shared" ca="1" si="44"/>
        <v>#VALUE!</v>
      </c>
      <c r="T105" s="185" t="e">
        <f t="shared" ca="1" si="44"/>
        <v>#VALUE!</v>
      </c>
      <c r="U105" s="185" t="e">
        <f t="shared" ca="1" si="44"/>
        <v>#VALUE!</v>
      </c>
      <c r="V105" s="185" t="e">
        <f t="shared" ca="1" si="44"/>
        <v>#VALUE!</v>
      </c>
      <c r="W105" s="185" t="e">
        <f t="shared" ca="1" si="44"/>
        <v>#VALUE!</v>
      </c>
      <c r="X105" s="185" t="e">
        <f t="shared" ca="1" si="44"/>
        <v>#VALUE!</v>
      </c>
      <c r="Y105" s="185" t="e">
        <f t="shared" ca="1" si="44"/>
        <v>#VALUE!</v>
      </c>
      <c r="Z105" s="185" t="e">
        <f t="shared" ca="1" si="43"/>
        <v>#VALUE!</v>
      </c>
      <c r="AA105" s="185" t="e">
        <f t="shared" ca="1" si="43"/>
        <v>#VALUE!</v>
      </c>
      <c r="AB105" s="185" t="e">
        <f t="shared" ca="1" si="43"/>
        <v>#VALUE!</v>
      </c>
      <c r="AC105" s="185" t="e">
        <f t="shared" ca="1" si="43"/>
        <v>#VALUE!</v>
      </c>
      <c r="AD105" s="185" t="e">
        <f t="shared" ca="1" si="43"/>
        <v>#VALUE!</v>
      </c>
      <c r="AE105" s="185" t="e">
        <f t="shared" ca="1" si="43"/>
        <v>#VALUE!</v>
      </c>
      <c r="AF105" s="185" t="e">
        <f t="shared" ca="1" si="43"/>
        <v>#VALUE!</v>
      </c>
      <c r="AG105" s="185" t="e">
        <f t="shared" ca="1" si="43"/>
        <v>#VALUE!</v>
      </c>
      <c r="AH105" s="185" t="e">
        <f t="shared" ca="1" si="43"/>
        <v>#VALUE!</v>
      </c>
      <c r="AI105" s="185" t="e">
        <f t="shared" ca="1" si="41"/>
        <v>#VALUE!</v>
      </c>
      <c r="AJ105" s="185" t="e">
        <f t="shared" ca="1" si="41"/>
        <v>#VALUE!</v>
      </c>
      <c r="AK105" s="185" t="e">
        <f t="shared" ca="1" si="41"/>
        <v>#VALUE!</v>
      </c>
      <c r="AL105" s="185" t="e">
        <f t="shared" ca="1" si="41"/>
        <v>#VALUE!</v>
      </c>
      <c r="AM105" s="185" t="e">
        <f t="shared" ca="1" si="41"/>
        <v>#VALUE!</v>
      </c>
      <c r="AN105" s="185" t="e">
        <f t="shared" ca="1" si="41"/>
        <v>#VALUE!</v>
      </c>
      <c r="AO105" s="185" t="e">
        <f t="shared" ca="1" si="41"/>
        <v>#VALUE!</v>
      </c>
      <c r="AP105" s="185" t="e">
        <f t="shared" ca="1" si="41"/>
        <v>#VALUE!</v>
      </c>
    </row>
    <row r="106" spans="1:42">
      <c r="A106" s="57" t="str">
        <f>'[4]TS BYDem'!A45</f>
        <v>*</v>
      </c>
      <c r="B106" s="185" t="s">
        <v>288</v>
      </c>
      <c r="C106" s="185" t="s">
        <v>137</v>
      </c>
      <c r="D106" s="185" t="str">
        <f>'[4]TS BYDem'!D45</f>
        <v>IFAS</v>
      </c>
      <c r="E106" s="185" t="s">
        <v>137</v>
      </c>
      <c r="F106" s="185" t="s">
        <v>137</v>
      </c>
      <c r="G106" s="185" t="s">
        <v>137</v>
      </c>
      <c r="H106" s="185" t="s">
        <v>137</v>
      </c>
      <c r="I106" s="185">
        <v>0</v>
      </c>
      <c r="J106" s="185" t="str">
        <f>INDEX('[4]TS BYDem'!$J$10:$J$203,MATCH(D106,'[4]TS BYDem'!$D$10:$D$203,0))</f>
        <v/>
      </c>
      <c r="K106" s="185" t="e">
        <f t="shared" ca="1" si="44"/>
        <v>#VALUE!</v>
      </c>
      <c r="L106" s="185" t="e">
        <f t="shared" ca="1" si="44"/>
        <v>#VALUE!</v>
      </c>
      <c r="M106" s="185" t="e">
        <f t="shared" ca="1" si="44"/>
        <v>#VALUE!</v>
      </c>
      <c r="N106" s="185" t="e">
        <f t="shared" ca="1" si="44"/>
        <v>#VALUE!</v>
      </c>
      <c r="O106" s="185" t="e">
        <f t="shared" ca="1" si="44"/>
        <v>#VALUE!</v>
      </c>
      <c r="P106" s="185" t="e">
        <f t="shared" ca="1" si="44"/>
        <v>#VALUE!</v>
      </c>
      <c r="Q106" s="185" t="e">
        <f t="shared" ca="1" si="44"/>
        <v>#VALUE!</v>
      </c>
      <c r="R106" s="185" t="e">
        <f t="shared" ca="1" si="44"/>
        <v>#VALUE!</v>
      </c>
      <c r="S106" s="185" t="e">
        <f t="shared" ca="1" si="44"/>
        <v>#VALUE!</v>
      </c>
      <c r="T106" s="185" t="e">
        <f t="shared" ca="1" si="44"/>
        <v>#VALUE!</v>
      </c>
      <c r="U106" s="185" t="e">
        <f t="shared" ca="1" si="44"/>
        <v>#VALUE!</v>
      </c>
      <c r="V106" s="185" t="e">
        <f t="shared" ca="1" si="44"/>
        <v>#VALUE!</v>
      </c>
      <c r="W106" s="185" t="e">
        <f t="shared" ca="1" si="44"/>
        <v>#VALUE!</v>
      </c>
      <c r="X106" s="185" t="e">
        <f t="shared" ca="1" si="44"/>
        <v>#VALUE!</v>
      </c>
      <c r="Y106" s="185" t="e">
        <f t="shared" ca="1" si="44"/>
        <v>#VALUE!</v>
      </c>
      <c r="Z106" s="185" t="e">
        <f t="shared" ca="1" si="43"/>
        <v>#VALUE!</v>
      </c>
      <c r="AA106" s="185" t="e">
        <f t="shared" ca="1" si="43"/>
        <v>#VALUE!</v>
      </c>
      <c r="AB106" s="185" t="e">
        <f t="shared" ca="1" si="43"/>
        <v>#VALUE!</v>
      </c>
      <c r="AC106" s="185" t="e">
        <f t="shared" ca="1" si="43"/>
        <v>#VALUE!</v>
      </c>
      <c r="AD106" s="185" t="e">
        <f t="shared" ca="1" si="43"/>
        <v>#VALUE!</v>
      </c>
      <c r="AE106" s="185" t="e">
        <f t="shared" ca="1" si="43"/>
        <v>#VALUE!</v>
      </c>
      <c r="AF106" s="185" t="e">
        <f t="shared" ca="1" si="43"/>
        <v>#VALUE!</v>
      </c>
      <c r="AG106" s="185" t="e">
        <f t="shared" ca="1" si="43"/>
        <v>#VALUE!</v>
      </c>
      <c r="AH106" s="185" t="e">
        <f t="shared" ca="1" si="43"/>
        <v>#VALUE!</v>
      </c>
      <c r="AI106" s="185" t="e">
        <f t="shared" ca="1" si="41"/>
        <v>#VALUE!</v>
      </c>
      <c r="AJ106" s="185" t="e">
        <f t="shared" ca="1" si="41"/>
        <v>#VALUE!</v>
      </c>
      <c r="AK106" s="185" t="e">
        <f t="shared" ca="1" si="41"/>
        <v>#VALUE!</v>
      </c>
      <c r="AL106" s="185" t="e">
        <f t="shared" ca="1" si="41"/>
        <v>#VALUE!</v>
      </c>
      <c r="AM106" s="185" t="e">
        <f t="shared" ca="1" si="41"/>
        <v>#VALUE!</v>
      </c>
      <c r="AN106" s="185" t="e">
        <f t="shared" ca="1" si="41"/>
        <v>#VALUE!</v>
      </c>
      <c r="AO106" s="185" t="e">
        <f t="shared" ca="1" si="41"/>
        <v>#VALUE!</v>
      </c>
      <c r="AP106" s="185" t="e">
        <f t="shared" ca="1" si="41"/>
        <v>#VALUE!</v>
      </c>
    </row>
    <row r="107" spans="1:42">
      <c r="A107" s="57" t="str">
        <f>'[4]TS BYDem'!A46</f>
        <v>*</v>
      </c>
      <c r="B107" s="185" t="s">
        <v>288</v>
      </c>
      <c r="C107" s="185" t="s">
        <v>137</v>
      </c>
      <c r="D107" s="185" t="str">
        <f>'[4]TS BYDem'!D46</f>
        <v>IFAS</v>
      </c>
      <c r="E107" s="185" t="s">
        <v>137</v>
      </c>
      <c r="F107" s="185" t="s">
        <v>137</v>
      </c>
      <c r="G107" s="185" t="s">
        <v>137</v>
      </c>
      <c r="H107" s="185" t="s">
        <v>137</v>
      </c>
      <c r="I107" s="185">
        <v>0</v>
      </c>
      <c r="J107" s="185" t="str">
        <f>INDEX('[4]TS BYDem'!$J$10:$J$203,MATCH(D107,'[4]TS BYDem'!$D$10:$D$203,0))</f>
        <v/>
      </c>
      <c r="K107" s="185" t="e">
        <f t="shared" ca="1" si="44"/>
        <v>#VALUE!</v>
      </c>
      <c r="L107" s="185" t="e">
        <f t="shared" ca="1" si="44"/>
        <v>#VALUE!</v>
      </c>
      <c r="M107" s="185" t="e">
        <f t="shared" ca="1" si="44"/>
        <v>#VALUE!</v>
      </c>
      <c r="N107" s="185" t="e">
        <f t="shared" ca="1" si="44"/>
        <v>#VALUE!</v>
      </c>
      <c r="O107" s="185" t="e">
        <f t="shared" ca="1" si="44"/>
        <v>#VALUE!</v>
      </c>
      <c r="P107" s="185" t="e">
        <f t="shared" ca="1" si="44"/>
        <v>#VALUE!</v>
      </c>
      <c r="Q107" s="185" t="e">
        <f t="shared" ca="1" si="44"/>
        <v>#VALUE!</v>
      </c>
      <c r="R107" s="185" t="e">
        <f t="shared" ca="1" si="44"/>
        <v>#VALUE!</v>
      </c>
      <c r="S107" s="185" t="e">
        <f t="shared" ca="1" si="44"/>
        <v>#VALUE!</v>
      </c>
      <c r="T107" s="185" t="e">
        <f t="shared" ca="1" si="44"/>
        <v>#VALUE!</v>
      </c>
      <c r="U107" s="185" t="e">
        <f t="shared" ca="1" si="44"/>
        <v>#VALUE!</v>
      </c>
      <c r="V107" s="185" t="e">
        <f t="shared" ca="1" si="44"/>
        <v>#VALUE!</v>
      </c>
      <c r="W107" s="185" t="e">
        <f t="shared" ca="1" si="44"/>
        <v>#VALUE!</v>
      </c>
      <c r="X107" s="185" t="e">
        <f t="shared" ca="1" si="44"/>
        <v>#VALUE!</v>
      </c>
      <c r="Y107" s="185" t="e">
        <f t="shared" ca="1" si="44"/>
        <v>#VALUE!</v>
      </c>
      <c r="Z107" s="185" t="e">
        <f t="shared" ca="1" si="43"/>
        <v>#VALUE!</v>
      </c>
      <c r="AA107" s="185" t="e">
        <f t="shared" ca="1" si="43"/>
        <v>#VALUE!</v>
      </c>
      <c r="AB107" s="185" t="e">
        <f t="shared" ca="1" si="43"/>
        <v>#VALUE!</v>
      </c>
      <c r="AC107" s="185" t="e">
        <f t="shared" ca="1" si="43"/>
        <v>#VALUE!</v>
      </c>
      <c r="AD107" s="185" t="e">
        <f t="shared" ca="1" si="43"/>
        <v>#VALUE!</v>
      </c>
      <c r="AE107" s="185" t="e">
        <f t="shared" ca="1" si="43"/>
        <v>#VALUE!</v>
      </c>
      <c r="AF107" s="185" t="e">
        <f t="shared" ca="1" si="43"/>
        <v>#VALUE!</v>
      </c>
      <c r="AG107" s="185" t="e">
        <f t="shared" ca="1" si="43"/>
        <v>#VALUE!</v>
      </c>
      <c r="AH107" s="185" t="e">
        <f t="shared" ca="1" si="43"/>
        <v>#VALUE!</v>
      </c>
      <c r="AI107" s="185" t="e">
        <f t="shared" ca="1" si="41"/>
        <v>#VALUE!</v>
      </c>
      <c r="AJ107" s="185" t="e">
        <f t="shared" ca="1" si="41"/>
        <v>#VALUE!</v>
      </c>
      <c r="AK107" s="185" t="e">
        <f t="shared" ca="1" si="41"/>
        <v>#VALUE!</v>
      </c>
      <c r="AL107" s="185" t="e">
        <f t="shared" ca="1" si="41"/>
        <v>#VALUE!</v>
      </c>
      <c r="AM107" s="185" t="e">
        <f t="shared" ca="1" si="41"/>
        <v>#VALUE!</v>
      </c>
      <c r="AN107" s="185" t="e">
        <f t="shared" ca="1" si="41"/>
        <v>#VALUE!</v>
      </c>
      <c r="AO107" s="185" t="e">
        <f t="shared" ca="1" si="41"/>
        <v>#VALUE!</v>
      </c>
      <c r="AP107" s="185" t="e">
        <f t="shared" ca="1" si="41"/>
        <v>#VALUE!</v>
      </c>
    </row>
    <row r="108" spans="1:42">
      <c r="A108" s="57" t="str">
        <f>'[4]TS BYDem'!A47</f>
        <v>*</v>
      </c>
      <c r="B108" s="185" t="s">
        <v>288</v>
      </c>
      <c r="C108" s="185" t="s">
        <v>137</v>
      </c>
      <c r="D108" s="185">
        <f>'[4]TS BYDem'!D47</f>
        <v>0</v>
      </c>
      <c r="E108" s="185" t="s">
        <v>137</v>
      </c>
      <c r="F108" s="185" t="s">
        <v>137</v>
      </c>
      <c r="G108" s="185" t="s">
        <v>137</v>
      </c>
      <c r="H108" s="185" t="s">
        <v>137</v>
      </c>
      <c r="I108" s="185">
        <v>0</v>
      </c>
      <c r="J108" s="185" t="str">
        <f>INDEX('[4]TS BYDem'!$J$10:$J$203,MATCH(D108,'[4]TS BYDem'!$D$10:$D$203,0))</f>
        <v/>
      </c>
      <c r="K108" s="185" t="e">
        <f t="shared" ca="1" si="44"/>
        <v>#VALUE!</v>
      </c>
      <c r="L108" s="185" t="e">
        <f t="shared" ca="1" si="44"/>
        <v>#VALUE!</v>
      </c>
      <c r="M108" s="185" t="e">
        <f t="shared" ca="1" si="44"/>
        <v>#VALUE!</v>
      </c>
      <c r="N108" s="185" t="e">
        <f t="shared" ca="1" si="44"/>
        <v>#VALUE!</v>
      </c>
      <c r="O108" s="185" t="e">
        <f t="shared" ca="1" si="44"/>
        <v>#VALUE!</v>
      </c>
      <c r="P108" s="185" t="e">
        <f t="shared" ca="1" si="44"/>
        <v>#VALUE!</v>
      </c>
      <c r="Q108" s="185" t="e">
        <f t="shared" ca="1" si="44"/>
        <v>#VALUE!</v>
      </c>
      <c r="R108" s="185" t="e">
        <f t="shared" ca="1" si="44"/>
        <v>#VALUE!</v>
      </c>
      <c r="S108" s="185" t="e">
        <f t="shared" ca="1" si="44"/>
        <v>#VALUE!</v>
      </c>
      <c r="T108" s="185" t="e">
        <f t="shared" ca="1" si="44"/>
        <v>#VALUE!</v>
      </c>
      <c r="U108" s="185" t="e">
        <f t="shared" ca="1" si="44"/>
        <v>#VALUE!</v>
      </c>
      <c r="V108" s="185" t="e">
        <f t="shared" ca="1" si="44"/>
        <v>#VALUE!</v>
      </c>
      <c r="W108" s="185" t="e">
        <f t="shared" ca="1" si="44"/>
        <v>#VALUE!</v>
      </c>
      <c r="X108" s="185" t="e">
        <f t="shared" ca="1" si="44"/>
        <v>#VALUE!</v>
      </c>
      <c r="Y108" s="185" t="e">
        <f t="shared" ca="1" si="44"/>
        <v>#VALUE!</v>
      </c>
      <c r="Z108" s="185" t="e">
        <f t="shared" ca="1" si="43"/>
        <v>#VALUE!</v>
      </c>
      <c r="AA108" s="185" t="e">
        <f t="shared" ca="1" si="43"/>
        <v>#VALUE!</v>
      </c>
      <c r="AB108" s="185" t="e">
        <f t="shared" ca="1" si="43"/>
        <v>#VALUE!</v>
      </c>
      <c r="AC108" s="185" t="e">
        <f t="shared" ca="1" si="43"/>
        <v>#VALUE!</v>
      </c>
      <c r="AD108" s="185" t="e">
        <f t="shared" ca="1" si="43"/>
        <v>#VALUE!</v>
      </c>
      <c r="AE108" s="185" t="e">
        <f t="shared" ca="1" si="43"/>
        <v>#VALUE!</v>
      </c>
      <c r="AF108" s="185" t="e">
        <f t="shared" ca="1" si="43"/>
        <v>#VALUE!</v>
      </c>
      <c r="AG108" s="185" t="e">
        <f t="shared" ca="1" si="43"/>
        <v>#VALUE!</v>
      </c>
      <c r="AH108" s="185" t="e">
        <f t="shared" ca="1" si="43"/>
        <v>#VALUE!</v>
      </c>
      <c r="AI108" s="185" t="e">
        <f t="shared" ca="1" si="43"/>
        <v>#VALUE!</v>
      </c>
      <c r="AJ108" s="185" t="e">
        <f t="shared" ca="1" si="43"/>
        <v>#VALUE!</v>
      </c>
      <c r="AK108" s="185" t="e">
        <f t="shared" ca="1" si="43"/>
        <v>#VALUE!</v>
      </c>
      <c r="AL108" s="185" t="e">
        <f t="shared" ca="1" si="43"/>
        <v>#VALUE!</v>
      </c>
      <c r="AM108" s="185" t="e">
        <f t="shared" ca="1" si="43"/>
        <v>#VALUE!</v>
      </c>
      <c r="AN108" s="185" t="e">
        <f t="shared" ca="1" si="43"/>
        <v>#VALUE!</v>
      </c>
      <c r="AO108" s="185" t="e">
        <f t="shared" ca="1" si="43"/>
        <v>#VALUE!</v>
      </c>
      <c r="AP108" s="185" t="e">
        <f t="shared" ref="AP108:AP111" ca="1" si="45">AP$91/AO$91*AO108</f>
        <v>#VALUE!</v>
      </c>
    </row>
    <row r="109" spans="1:42">
      <c r="A109" s="57" t="str">
        <f>'[4]TS BYDem'!A48</f>
        <v>*</v>
      </c>
      <c r="B109" s="185" t="s">
        <v>288</v>
      </c>
      <c r="C109" s="185" t="s">
        <v>137</v>
      </c>
      <c r="D109" s="185" t="str">
        <f>'[4]TS BYDem'!D48</f>
        <v>IFAR</v>
      </c>
      <c r="E109" s="185" t="s">
        <v>137</v>
      </c>
      <c r="F109" s="185" t="s">
        <v>137</v>
      </c>
      <c r="G109" s="185" t="s">
        <v>137</v>
      </c>
      <c r="H109" s="185" t="s">
        <v>137</v>
      </c>
      <c r="I109" s="185">
        <v>0</v>
      </c>
      <c r="J109" s="185" t="str">
        <f>INDEX('[4]TS BYDem'!$J$10:$J$203,MATCH(D109,'[4]TS BYDem'!$D$10:$D$203,0))</f>
        <v/>
      </c>
      <c r="K109" s="185" t="e">
        <f t="shared" ca="1" si="44"/>
        <v>#VALUE!</v>
      </c>
      <c r="L109" s="185" t="e">
        <f t="shared" ca="1" si="44"/>
        <v>#VALUE!</v>
      </c>
      <c r="M109" s="185" t="e">
        <f t="shared" ca="1" si="44"/>
        <v>#VALUE!</v>
      </c>
      <c r="N109" s="185" t="e">
        <f t="shared" ca="1" si="44"/>
        <v>#VALUE!</v>
      </c>
      <c r="O109" s="185" t="e">
        <f t="shared" ca="1" si="44"/>
        <v>#VALUE!</v>
      </c>
      <c r="P109" s="185" t="e">
        <f t="shared" ca="1" si="44"/>
        <v>#VALUE!</v>
      </c>
      <c r="Q109" s="185" t="e">
        <f t="shared" ca="1" si="44"/>
        <v>#VALUE!</v>
      </c>
      <c r="R109" s="185" t="e">
        <f t="shared" ca="1" si="44"/>
        <v>#VALUE!</v>
      </c>
      <c r="S109" s="185" t="e">
        <f t="shared" ca="1" si="44"/>
        <v>#VALUE!</v>
      </c>
      <c r="T109" s="185" t="e">
        <f t="shared" ca="1" si="44"/>
        <v>#VALUE!</v>
      </c>
      <c r="U109" s="185" t="e">
        <f t="shared" ca="1" si="44"/>
        <v>#VALUE!</v>
      </c>
      <c r="V109" s="185" t="e">
        <f t="shared" ca="1" si="44"/>
        <v>#VALUE!</v>
      </c>
      <c r="W109" s="185" t="e">
        <f t="shared" ca="1" si="44"/>
        <v>#VALUE!</v>
      </c>
      <c r="X109" s="185" t="e">
        <f t="shared" ca="1" si="44"/>
        <v>#VALUE!</v>
      </c>
      <c r="Y109" s="185" t="e">
        <f t="shared" ca="1" si="44"/>
        <v>#VALUE!</v>
      </c>
      <c r="Z109" s="185" t="e">
        <f t="shared" ca="1" si="43"/>
        <v>#VALUE!</v>
      </c>
      <c r="AA109" s="185" t="e">
        <f t="shared" ca="1" si="43"/>
        <v>#VALUE!</v>
      </c>
      <c r="AB109" s="185" t="e">
        <f t="shared" ca="1" si="43"/>
        <v>#VALUE!</v>
      </c>
      <c r="AC109" s="185" t="e">
        <f t="shared" ca="1" si="43"/>
        <v>#VALUE!</v>
      </c>
      <c r="AD109" s="185" t="e">
        <f t="shared" ca="1" si="43"/>
        <v>#VALUE!</v>
      </c>
      <c r="AE109" s="185" t="e">
        <f t="shared" ca="1" si="43"/>
        <v>#VALUE!</v>
      </c>
      <c r="AF109" s="185" t="e">
        <f t="shared" ca="1" si="43"/>
        <v>#VALUE!</v>
      </c>
      <c r="AG109" s="185" t="e">
        <f t="shared" ca="1" si="43"/>
        <v>#VALUE!</v>
      </c>
      <c r="AH109" s="185" t="e">
        <f t="shared" ca="1" si="43"/>
        <v>#VALUE!</v>
      </c>
      <c r="AI109" s="185" t="e">
        <f t="shared" ca="1" si="43"/>
        <v>#VALUE!</v>
      </c>
      <c r="AJ109" s="185" t="e">
        <f t="shared" ca="1" si="43"/>
        <v>#VALUE!</v>
      </c>
      <c r="AK109" s="185" t="e">
        <f t="shared" ca="1" si="43"/>
        <v>#VALUE!</v>
      </c>
      <c r="AL109" s="185" t="e">
        <f t="shared" ca="1" si="43"/>
        <v>#VALUE!</v>
      </c>
      <c r="AM109" s="185" t="e">
        <f t="shared" ca="1" si="43"/>
        <v>#VALUE!</v>
      </c>
      <c r="AN109" s="185" t="e">
        <f t="shared" ca="1" si="43"/>
        <v>#VALUE!</v>
      </c>
      <c r="AO109" s="185" t="e">
        <f t="shared" ca="1" si="43"/>
        <v>#VALUE!</v>
      </c>
      <c r="AP109" s="185" t="e">
        <f t="shared" ca="1" si="45"/>
        <v>#VALUE!</v>
      </c>
    </row>
    <row r="110" spans="1:42">
      <c r="A110" s="57" t="str">
        <f>'[4]TS BYDem'!A49</f>
        <v>*</v>
      </c>
      <c r="B110" s="185" t="s">
        <v>288</v>
      </c>
      <c r="C110" s="185" t="s">
        <v>137</v>
      </c>
      <c r="D110" s="185" t="str">
        <f>'[4]TS BYDem'!D49</f>
        <v>Useful Energy Service</v>
      </c>
      <c r="E110" s="185" t="s">
        <v>137</v>
      </c>
      <c r="F110" s="185" t="s">
        <v>137</v>
      </c>
      <c r="G110" s="185" t="s">
        <v>137</v>
      </c>
      <c r="H110" s="185" t="s">
        <v>137</v>
      </c>
      <c r="I110" s="185">
        <v>0</v>
      </c>
      <c r="J110" s="185" t="str">
        <f>INDEX('[4]TS BYDem'!$J$10:$J$203,MATCH(D110,'[4]TS BYDem'!$D$10:$D$203,0))</f>
        <v/>
      </c>
      <c r="K110" s="185" t="e">
        <f t="shared" ca="1" si="44"/>
        <v>#VALUE!</v>
      </c>
      <c r="L110" s="185" t="e">
        <f t="shared" ca="1" si="44"/>
        <v>#VALUE!</v>
      </c>
      <c r="M110" s="185" t="e">
        <f t="shared" ca="1" si="44"/>
        <v>#VALUE!</v>
      </c>
      <c r="N110" s="185" t="e">
        <f t="shared" ca="1" si="44"/>
        <v>#VALUE!</v>
      </c>
      <c r="O110" s="185" t="e">
        <f t="shared" ca="1" si="44"/>
        <v>#VALUE!</v>
      </c>
      <c r="P110" s="185" t="e">
        <f t="shared" ca="1" si="44"/>
        <v>#VALUE!</v>
      </c>
      <c r="Q110" s="185" t="e">
        <f t="shared" ca="1" si="44"/>
        <v>#VALUE!</v>
      </c>
      <c r="R110" s="185" t="e">
        <f t="shared" ca="1" si="44"/>
        <v>#VALUE!</v>
      </c>
      <c r="S110" s="185" t="e">
        <f t="shared" ca="1" si="44"/>
        <v>#VALUE!</v>
      </c>
      <c r="T110" s="185" t="e">
        <f t="shared" ca="1" si="44"/>
        <v>#VALUE!</v>
      </c>
      <c r="U110" s="185" t="e">
        <f t="shared" ca="1" si="44"/>
        <v>#VALUE!</v>
      </c>
      <c r="V110" s="185" t="e">
        <f t="shared" ca="1" si="44"/>
        <v>#VALUE!</v>
      </c>
      <c r="W110" s="185" t="e">
        <f t="shared" ca="1" si="44"/>
        <v>#VALUE!</v>
      </c>
      <c r="X110" s="185" t="e">
        <f t="shared" ca="1" si="44"/>
        <v>#VALUE!</v>
      </c>
      <c r="Y110" s="185" t="e">
        <f t="shared" ca="1" si="44"/>
        <v>#VALUE!</v>
      </c>
      <c r="Z110" s="185" t="e">
        <f t="shared" ca="1" si="43"/>
        <v>#VALUE!</v>
      </c>
      <c r="AA110" s="185" t="e">
        <f t="shared" ca="1" si="43"/>
        <v>#VALUE!</v>
      </c>
      <c r="AB110" s="185" t="e">
        <f t="shared" ca="1" si="43"/>
        <v>#VALUE!</v>
      </c>
      <c r="AC110" s="185" t="e">
        <f t="shared" ca="1" si="43"/>
        <v>#VALUE!</v>
      </c>
      <c r="AD110" s="185" t="e">
        <f t="shared" ca="1" si="43"/>
        <v>#VALUE!</v>
      </c>
      <c r="AE110" s="185" t="e">
        <f t="shared" ca="1" si="43"/>
        <v>#VALUE!</v>
      </c>
      <c r="AF110" s="185" t="e">
        <f t="shared" ca="1" si="43"/>
        <v>#VALUE!</v>
      </c>
      <c r="AG110" s="185" t="e">
        <f t="shared" ca="1" si="43"/>
        <v>#VALUE!</v>
      </c>
      <c r="AH110" s="185" t="e">
        <f t="shared" ca="1" si="43"/>
        <v>#VALUE!</v>
      </c>
      <c r="AI110" s="185" t="e">
        <f t="shared" ca="1" si="43"/>
        <v>#VALUE!</v>
      </c>
      <c r="AJ110" s="185" t="e">
        <f t="shared" ca="1" si="43"/>
        <v>#VALUE!</v>
      </c>
      <c r="AK110" s="185" t="e">
        <f t="shared" ca="1" si="43"/>
        <v>#VALUE!</v>
      </c>
      <c r="AL110" s="185" t="e">
        <f t="shared" ca="1" si="43"/>
        <v>#VALUE!</v>
      </c>
      <c r="AM110" s="185" t="e">
        <f t="shared" ca="1" si="43"/>
        <v>#VALUE!</v>
      </c>
      <c r="AN110" s="185" t="e">
        <f t="shared" ca="1" si="43"/>
        <v>#VALUE!</v>
      </c>
      <c r="AO110" s="185" t="e">
        <f t="shared" ca="1" si="43"/>
        <v>#VALUE!</v>
      </c>
      <c r="AP110" s="185" t="e">
        <f t="shared" ca="1" si="45"/>
        <v>#VALUE!</v>
      </c>
    </row>
    <row r="111" spans="1:42">
      <c r="A111" s="57" t="str">
        <f>'[4]TS BYDem'!A50</f>
        <v>*</v>
      </c>
      <c r="B111" s="185" t="s">
        <v>288</v>
      </c>
      <c r="C111" s="185" t="s">
        <v>137</v>
      </c>
      <c r="D111" s="185">
        <f>'[4]TS BYDem'!D50</f>
        <v>0</v>
      </c>
      <c r="E111" s="185" t="s">
        <v>137</v>
      </c>
      <c r="F111" s="185" t="s">
        <v>137</v>
      </c>
      <c r="G111" s="185" t="s">
        <v>137</v>
      </c>
      <c r="H111" s="185" t="s">
        <v>137</v>
      </c>
      <c r="I111" s="185">
        <v>0</v>
      </c>
      <c r="J111" s="185" t="str">
        <f>INDEX('[4]TS BYDem'!$J$10:$J$203,MATCH(D111,'[4]TS BYDem'!$D$10:$D$203,0))</f>
        <v/>
      </c>
      <c r="K111" s="185" t="e">
        <f t="shared" ca="1" si="44"/>
        <v>#VALUE!</v>
      </c>
      <c r="L111" s="185" t="e">
        <f t="shared" ca="1" si="44"/>
        <v>#VALUE!</v>
      </c>
      <c r="M111" s="185" t="e">
        <f t="shared" ca="1" si="44"/>
        <v>#VALUE!</v>
      </c>
      <c r="N111" s="185" t="e">
        <f t="shared" ca="1" si="44"/>
        <v>#VALUE!</v>
      </c>
      <c r="O111" s="185" t="e">
        <f t="shared" ca="1" si="44"/>
        <v>#VALUE!</v>
      </c>
      <c r="P111" s="185" t="e">
        <f t="shared" ca="1" si="44"/>
        <v>#VALUE!</v>
      </c>
      <c r="Q111" s="185" t="e">
        <f t="shared" ca="1" si="44"/>
        <v>#VALUE!</v>
      </c>
      <c r="R111" s="185" t="e">
        <f t="shared" ca="1" si="44"/>
        <v>#VALUE!</v>
      </c>
      <c r="S111" s="185" t="e">
        <f t="shared" ca="1" si="44"/>
        <v>#VALUE!</v>
      </c>
      <c r="T111" s="185" t="e">
        <f t="shared" ca="1" si="44"/>
        <v>#VALUE!</v>
      </c>
      <c r="U111" s="185" t="e">
        <f t="shared" ca="1" si="44"/>
        <v>#VALUE!</v>
      </c>
      <c r="V111" s="185" t="e">
        <f t="shared" ca="1" si="44"/>
        <v>#VALUE!</v>
      </c>
      <c r="W111" s="185" t="e">
        <f t="shared" ca="1" si="44"/>
        <v>#VALUE!</v>
      </c>
      <c r="X111" s="185" t="e">
        <f t="shared" ca="1" si="44"/>
        <v>#VALUE!</v>
      </c>
      <c r="Y111" s="185" t="e">
        <f t="shared" ca="1" si="44"/>
        <v>#VALUE!</v>
      </c>
      <c r="Z111" s="185" t="e">
        <f t="shared" ca="1" si="43"/>
        <v>#VALUE!</v>
      </c>
      <c r="AA111" s="185" t="e">
        <f t="shared" ca="1" si="43"/>
        <v>#VALUE!</v>
      </c>
      <c r="AB111" s="185" t="e">
        <f t="shared" ca="1" si="43"/>
        <v>#VALUE!</v>
      </c>
      <c r="AC111" s="185" t="e">
        <f t="shared" ca="1" si="43"/>
        <v>#VALUE!</v>
      </c>
      <c r="AD111" s="185" t="e">
        <f t="shared" ca="1" si="43"/>
        <v>#VALUE!</v>
      </c>
      <c r="AE111" s="185" t="e">
        <f t="shared" ca="1" si="43"/>
        <v>#VALUE!</v>
      </c>
      <c r="AF111" s="185" t="e">
        <f t="shared" ca="1" si="43"/>
        <v>#VALUE!</v>
      </c>
      <c r="AG111" s="185" t="e">
        <f t="shared" ca="1" si="43"/>
        <v>#VALUE!</v>
      </c>
      <c r="AH111" s="185" t="e">
        <f t="shared" ca="1" si="43"/>
        <v>#VALUE!</v>
      </c>
      <c r="AI111" s="185" t="e">
        <f t="shared" ca="1" si="43"/>
        <v>#VALUE!</v>
      </c>
      <c r="AJ111" s="185" t="e">
        <f t="shared" ca="1" si="43"/>
        <v>#VALUE!</v>
      </c>
      <c r="AK111" s="185" t="e">
        <f t="shared" ca="1" si="43"/>
        <v>#VALUE!</v>
      </c>
      <c r="AL111" s="185" t="e">
        <f t="shared" ca="1" si="43"/>
        <v>#VALUE!</v>
      </c>
      <c r="AM111" s="185" t="e">
        <f t="shared" ca="1" si="43"/>
        <v>#VALUE!</v>
      </c>
      <c r="AN111" s="185" t="e">
        <f t="shared" ca="1" si="43"/>
        <v>#VALUE!</v>
      </c>
      <c r="AO111" s="185" t="e">
        <f t="shared" ca="1" si="43"/>
        <v>#VALUE!</v>
      </c>
      <c r="AP111" s="185" t="e">
        <f t="shared" ca="1" si="45"/>
        <v>#VALUE!</v>
      </c>
    </row>
    <row r="112" spans="1:42" s="5" customFormat="1">
      <c r="A112" s="57" t="str">
        <f>'[4]TS BYDem'!A51</f>
        <v>*</v>
      </c>
      <c r="B112" s="5">
        <f>B91+1</f>
        <v>3</v>
      </c>
      <c r="C112" s="3" t="str">
        <f ca="1">OFFSET($C$9,$B112,0)</f>
        <v>Iron &amp; Steel</v>
      </c>
      <c r="D112" s="3" t="str">
        <f ca="1">OFFSET($B$9,$B112,0)</f>
        <v>IS</v>
      </c>
      <c r="J112" s="5">
        <f ca="1">SUMIF($B$10:$B$22,$D112,J$10:J$22)*SUMIF($B$10:$B$22,$D112,J$41:J$53)</f>
        <v>13.345629432701433</v>
      </c>
      <c r="K112" s="5">
        <f t="shared" ref="K112:AP112" ca="1" si="46">SUMIF($B$10:$B$22,$D112,K$10:K$22)*SUMIF($B$10:$B$22,$D112,K$41:K$53)</f>
        <v>13.752000000000001</v>
      </c>
      <c r="L112" s="5">
        <f t="shared" ca="1" si="46"/>
        <v>14.013999999999999</v>
      </c>
      <c r="M112" s="5">
        <f t="shared" ca="1" si="46"/>
        <v>14.365</v>
      </c>
      <c r="N112" s="5">
        <f t="shared" ca="1" si="46"/>
        <v>14.41</v>
      </c>
      <c r="O112" s="5">
        <f t="shared" ca="1" si="46"/>
        <v>14.513</v>
      </c>
      <c r="P112" s="5">
        <f t="shared" ca="1" si="46"/>
        <v>14.522</v>
      </c>
      <c r="Q112" s="5">
        <f t="shared" ca="1" si="46"/>
        <v>14.384</v>
      </c>
      <c r="R112" s="5">
        <f t="shared" ca="1" si="46"/>
        <v>12.598000000000001</v>
      </c>
      <c r="S112" s="5">
        <f t="shared" ca="1" si="46"/>
        <v>12.934494714926089</v>
      </c>
      <c r="T112" s="5">
        <f t="shared" ca="1" si="46"/>
        <v>13.19829005616678</v>
      </c>
      <c r="U112" s="5">
        <f t="shared" ca="1" si="46"/>
        <v>13.496034208980783</v>
      </c>
      <c r="V112" s="5">
        <f t="shared" ca="1" si="46"/>
        <v>13.817323863833037</v>
      </c>
      <c r="W112" s="5">
        <f t="shared" ca="1" si="46"/>
        <v>14.157048666451152</v>
      </c>
      <c r="X112" s="5">
        <f t="shared" ca="1" si="46"/>
        <v>14.483318361750134</v>
      </c>
      <c r="Y112" s="5">
        <f t="shared" ca="1" si="46"/>
        <v>14.814030795204278</v>
      </c>
      <c r="Z112" s="5">
        <f t="shared" ca="1" si="46"/>
        <v>15.175435690212284</v>
      </c>
      <c r="AA112" s="5">
        <f t="shared" ca="1" si="46"/>
        <v>15.590387438308957</v>
      </c>
      <c r="AB112" s="5">
        <f ca="1">SUMIF($B$10:$B$22,$D112,AB$10:AB$22)*SUMIF($B$10:$B$22,$D112,AB$40:AB$53)</f>
        <v>15.914985935307293</v>
      </c>
      <c r="AC112" s="5">
        <f t="shared" ca="1" si="46"/>
        <v>16.354926916105637</v>
      </c>
      <c r="AD112" s="5">
        <f t="shared" ca="1" si="46"/>
        <v>16.839667125799188</v>
      </c>
      <c r="AE112" s="5">
        <f t="shared" ca="1" si="46"/>
        <v>17.28532194780065</v>
      </c>
      <c r="AF112" s="5">
        <f t="shared" ca="1" si="46"/>
        <v>17.751601914866445</v>
      </c>
      <c r="AG112" s="5">
        <f t="shared" ca="1" si="46"/>
        <v>18.319374412894163</v>
      </c>
      <c r="AH112" s="5">
        <f t="shared" ca="1" si="46"/>
        <v>18.746904782849999</v>
      </c>
      <c r="AI112" s="5">
        <f t="shared" ca="1" si="46"/>
        <v>19.188906790114647</v>
      </c>
      <c r="AJ112" s="5">
        <f t="shared" ca="1" si="46"/>
        <v>19.622434115965071</v>
      </c>
      <c r="AK112" s="5">
        <f t="shared" ca="1" si="46"/>
        <v>20.071312375696728</v>
      </c>
      <c r="AL112" s="5">
        <f t="shared" ca="1" si="46"/>
        <v>20.549589211641038</v>
      </c>
      <c r="AM112" s="5">
        <f t="shared" ca="1" si="46"/>
        <v>23.201478044191926</v>
      </c>
      <c r="AN112" s="5">
        <f t="shared" ca="1" si="46"/>
        <v>26.156893976631636</v>
      </c>
      <c r="AO112" s="5">
        <f t="shared" ca="1" si="46"/>
        <v>31.713610891640656</v>
      </c>
      <c r="AP112" s="5">
        <f t="shared" ca="1" si="46"/>
        <v>37.320915656631314</v>
      </c>
    </row>
    <row r="113" spans="1:42">
      <c r="A113" s="57" t="str">
        <f>'[4]TS BYDem'!A52</f>
        <v>*</v>
      </c>
      <c r="B113" s="185" t="s">
        <v>288</v>
      </c>
      <c r="C113" s="185" t="s">
        <v>137</v>
      </c>
      <c r="D113" s="185" t="str">
        <f>'[4]TS BYDem'!D52</f>
        <v>IISK</v>
      </c>
      <c r="E113" s="185" t="s">
        <v>137</v>
      </c>
      <c r="F113" s="185" t="s">
        <v>137</v>
      </c>
      <c r="G113" s="185" t="s">
        <v>137</v>
      </c>
      <c r="H113" s="185" t="s">
        <v>137</v>
      </c>
      <c r="I113" s="185">
        <v>0</v>
      </c>
      <c r="J113" s="185" t="str">
        <f>INDEX('[4]TS BYDem'!$J$10:$J$203,MATCH(D113,'[4]TS BYDem'!$D$10:$D$203,0))</f>
        <v/>
      </c>
      <c r="K113" s="185" t="e">
        <f t="shared" ref="K113:Z128" ca="1" si="47">K$112/J$112*J113</f>
        <v>#VALUE!</v>
      </c>
      <c r="L113" s="185" t="e">
        <f t="shared" ca="1" si="47"/>
        <v>#VALUE!</v>
      </c>
      <c r="M113" s="185" t="e">
        <f t="shared" ca="1" si="47"/>
        <v>#VALUE!</v>
      </c>
      <c r="N113" s="185" t="e">
        <f t="shared" ca="1" si="47"/>
        <v>#VALUE!</v>
      </c>
      <c r="O113" s="185" t="e">
        <f t="shared" ca="1" si="47"/>
        <v>#VALUE!</v>
      </c>
      <c r="P113" s="185" t="e">
        <f t="shared" ca="1" si="47"/>
        <v>#VALUE!</v>
      </c>
      <c r="Q113" s="185" t="e">
        <f t="shared" ca="1" si="47"/>
        <v>#VALUE!</v>
      </c>
      <c r="R113" s="185" t="e">
        <f t="shared" ca="1" si="47"/>
        <v>#VALUE!</v>
      </c>
      <c r="S113" s="185" t="e">
        <f t="shared" ca="1" si="47"/>
        <v>#VALUE!</v>
      </c>
      <c r="T113" s="185" t="e">
        <f t="shared" ca="1" si="47"/>
        <v>#VALUE!</v>
      </c>
      <c r="U113" s="185" t="e">
        <f t="shared" ca="1" si="47"/>
        <v>#VALUE!</v>
      </c>
      <c r="V113" s="185" t="e">
        <f t="shared" ca="1" si="47"/>
        <v>#VALUE!</v>
      </c>
      <c r="W113" s="185" t="e">
        <f t="shared" ca="1" si="47"/>
        <v>#VALUE!</v>
      </c>
      <c r="X113" s="185" t="e">
        <f t="shared" ca="1" si="47"/>
        <v>#VALUE!</v>
      </c>
      <c r="Y113" s="185" t="e">
        <f t="shared" ca="1" si="47"/>
        <v>#VALUE!</v>
      </c>
      <c r="Z113" s="185" t="e">
        <f t="shared" ca="1" si="47"/>
        <v>#VALUE!</v>
      </c>
      <c r="AA113" s="185" t="e">
        <f t="shared" ref="AA113:AP128" ca="1" si="48">AA$112/Z$112*Z113</f>
        <v>#VALUE!</v>
      </c>
      <c r="AB113" s="185" t="e">
        <f t="shared" ca="1" si="48"/>
        <v>#VALUE!</v>
      </c>
      <c r="AC113" s="185" t="e">
        <f t="shared" ca="1" si="48"/>
        <v>#VALUE!</v>
      </c>
      <c r="AD113" s="185" t="e">
        <f t="shared" ca="1" si="48"/>
        <v>#VALUE!</v>
      </c>
      <c r="AE113" s="185" t="e">
        <f t="shared" ca="1" si="48"/>
        <v>#VALUE!</v>
      </c>
      <c r="AF113" s="185" t="e">
        <f t="shared" ca="1" si="48"/>
        <v>#VALUE!</v>
      </c>
      <c r="AG113" s="185" t="e">
        <f t="shared" ca="1" si="48"/>
        <v>#VALUE!</v>
      </c>
      <c r="AH113" s="185" t="e">
        <f t="shared" ca="1" si="48"/>
        <v>#VALUE!</v>
      </c>
      <c r="AI113" s="185" t="e">
        <f t="shared" ca="1" si="48"/>
        <v>#VALUE!</v>
      </c>
      <c r="AJ113" s="185" t="e">
        <f t="shared" ca="1" si="48"/>
        <v>#VALUE!</v>
      </c>
      <c r="AK113" s="185" t="e">
        <f t="shared" ca="1" si="48"/>
        <v>#VALUE!</v>
      </c>
      <c r="AL113" s="185" t="e">
        <f t="shared" ca="1" si="48"/>
        <v>#VALUE!</v>
      </c>
      <c r="AM113" s="185" t="e">
        <f t="shared" ca="1" si="48"/>
        <v>#VALUE!</v>
      </c>
      <c r="AN113" s="185" t="e">
        <f t="shared" ca="1" si="48"/>
        <v>#VALUE!</v>
      </c>
      <c r="AO113" s="185" t="e">
        <f t="shared" ca="1" si="48"/>
        <v>#VALUE!</v>
      </c>
      <c r="AP113" s="185" t="e">
        <f t="shared" ca="1" si="48"/>
        <v>#VALUE!</v>
      </c>
    </row>
    <row r="114" spans="1:42">
      <c r="A114" s="57" t="str">
        <f>'[4]TS BYDem'!A53</f>
        <v>*</v>
      </c>
      <c r="B114" s="185" t="s">
        <v>288</v>
      </c>
      <c r="C114" s="185" t="s">
        <v>137</v>
      </c>
      <c r="D114" s="185" t="str">
        <f>'[4]TS BYDem'!D53</f>
        <v>IISA</v>
      </c>
      <c r="E114" s="185" t="s">
        <v>137</v>
      </c>
      <c r="F114" s="185" t="s">
        <v>137</v>
      </c>
      <c r="G114" s="185" t="s">
        <v>137</v>
      </c>
      <c r="H114" s="185" t="s">
        <v>137</v>
      </c>
      <c r="I114" s="185">
        <v>0</v>
      </c>
      <c r="J114" s="185" t="str">
        <f>INDEX('[4]TS BYDem'!$J$10:$J$203,MATCH(D114,'[4]TS BYDem'!$D$10:$D$203,0))</f>
        <v/>
      </c>
      <c r="K114" s="185" t="e">
        <f t="shared" ca="1" si="47"/>
        <v>#VALUE!</v>
      </c>
      <c r="L114" s="185" t="e">
        <f t="shared" ca="1" si="47"/>
        <v>#VALUE!</v>
      </c>
      <c r="M114" s="185" t="e">
        <f t="shared" ca="1" si="47"/>
        <v>#VALUE!</v>
      </c>
      <c r="N114" s="185" t="e">
        <f t="shared" ca="1" si="47"/>
        <v>#VALUE!</v>
      </c>
      <c r="O114" s="185" t="e">
        <f t="shared" ca="1" si="47"/>
        <v>#VALUE!</v>
      </c>
      <c r="P114" s="185" t="e">
        <f t="shared" ca="1" si="47"/>
        <v>#VALUE!</v>
      </c>
      <c r="Q114" s="185" t="e">
        <f t="shared" ca="1" si="47"/>
        <v>#VALUE!</v>
      </c>
      <c r="R114" s="185" t="e">
        <f t="shared" ca="1" si="47"/>
        <v>#VALUE!</v>
      </c>
      <c r="S114" s="185" t="e">
        <f t="shared" ca="1" si="47"/>
        <v>#VALUE!</v>
      </c>
      <c r="T114" s="185" t="e">
        <f t="shared" ca="1" si="47"/>
        <v>#VALUE!</v>
      </c>
      <c r="U114" s="185" t="e">
        <f t="shared" ca="1" si="47"/>
        <v>#VALUE!</v>
      </c>
      <c r="V114" s="185" t="e">
        <f t="shared" ca="1" si="47"/>
        <v>#VALUE!</v>
      </c>
      <c r="W114" s="185" t="e">
        <f t="shared" ca="1" si="47"/>
        <v>#VALUE!</v>
      </c>
      <c r="X114" s="185" t="e">
        <f t="shared" ca="1" si="47"/>
        <v>#VALUE!</v>
      </c>
      <c r="Y114" s="185" t="e">
        <f t="shared" ca="1" si="47"/>
        <v>#VALUE!</v>
      </c>
      <c r="Z114" s="185" t="e">
        <f t="shared" ca="1" si="47"/>
        <v>#VALUE!</v>
      </c>
      <c r="AA114" s="185" t="e">
        <f t="shared" ca="1" si="48"/>
        <v>#VALUE!</v>
      </c>
      <c r="AB114" s="185" t="e">
        <f t="shared" ca="1" si="48"/>
        <v>#VALUE!</v>
      </c>
      <c r="AC114" s="185" t="e">
        <f t="shared" ca="1" si="48"/>
        <v>#VALUE!</v>
      </c>
      <c r="AD114" s="185" t="e">
        <f t="shared" ca="1" si="48"/>
        <v>#VALUE!</v>
      </c>
      <c r="AE114" s="185" t="e">
        <f t="shared" ca="1" si="48"/>
        <v>#VALUE!</v>
      </c>
      <c r="AF114" s="185" t="e">
        <f t="shared" ca="1" si="48"/>
        <v>#VALUE!</v>
      </c>
      <c r="AG114" s="185" t="e">
        <f t="shared" ca="1" si="48"/>
        <v>#VALUE!</v>
      </c>
      <c r="AH114" s="185" t="e">
        <f t="shared" ca="1" si="48"/>
        <v>#VALUE!</v>
      </c>
      <c r="AI114" s="185" t="e">
        <f t="shared" ca="1" si="48"/>
        <v>#VALUE!</v>
      </c>
      <c r="AJ114" s="185" t="e">
        <f t="shared" ca="1" si="48"/>
        <v>#VALUE!</v>
      </c>
      <c r="AK114" s="185" t="e">
        <f t="shared" ca="1" si="48"/>
        <v>#VALUE!</v>
      </c>
      <c r="AL114" s="185" t="e">
        <f t="shared" ca="1" si="48"/>
        <v>#VALUE!</v>
      </c>
      <c r="AM114" s="185" t="e">
        <f t="shared" ca="1" si="48"/>
        <v>#VALUE!</v>
      </c>
      <c r="AN114" s="185" t="e">
        <f t="shared" ca="1" si="48"/>
        <v>#VALUE!</v>
      </c>
      <c r="AO114" s="185" t="e">
        <f t="shared" ca="1" si="48"/>
        <v>#VALUE!</v>
      </c>
      <c r="AP114" s="185" t="e">
        <f t="shared" ca="1" si="48"/>
        <v>#VALUE!</v>
      </c>
    </row>
    <row r="115" spans="1:42">
      <c r="A115" s="57" t="str">
        <f>'[4]TS BYDem'!A54</f>
        <v>*</v>
      </c>
      <c r="B115" s="185" t="s">
        <v>288</v>
      </c>
      <c r="C115" s="185" t="s">
        <v>137</v>
      </c>
      <c r="D115" s="185" t="str">
        <f>'[4]TS BYDem'!D54</f>
        <v>IISL</v>
      </c>
      <c r="E115" s="185" t="s">
        <v>137</v>
      </c>
      <c r="F115" s="185" t="s">
        <v>137</v>
      </c>
      <c r="G115" s="185" t="s">
        <v>137</v>
      </c>
      <c r="H115" s="185" t="s">
        <v>137</v>
      </c>
      <c r="I115" s="185">
        <v>0</v>
      </c>
      <c r="J115" s="185" t="str">
        <f>INDEX('[4]TS BYDem'!$J$10:$J$203,MATCH(D115,'[4]TS BYDem'!$D$10:$D$203,0))</f>
        <v/>
      </c>
      <c r="K115" s="185" t="e">
        <f t="shared" ca="1" si="47"/>
        <v>#VALUE!</v>
      </c>
      <c r="L115" s="185" t="e">
        <f t="shared" ca="1" si="47"/>
        <v>#VALUE!</v>
      </c>
      <c r="M115" s="185" t="e">
        <f t="shared" ca="1" si="47"/>
        <v>#VALUE!</v>
      </c>
      <c r="N115" s="185" t="e">
        <f t="shared" ca="1" si="47"/>
        <v>#VALUE!</v>
      </c>
      <c r="O115" s="185" t="e">
        <f t="shared" ca="1" si="47"/>
        <v>#VALUE!</v>
      </c>
      <c r="P115" s="185" t="e">
        <f t="shared" ca="1" si="47"/>
        <v>#VALUE!</v>
      </c>
      <c r="Q115" s="185" t="e">
        <f t="shared" ca="1" si="47"/>
        <v>#VALUE!</v>
      </c>
      <c r="R115" s="185" t="e">
        <f t="shared" ca="1" si="47"/>
        <v>#VALUE!</v>
      </c>
      <c r="S115" s="185" t="e">
        <f t="shared" ca="1" si="47"/>
        <v>#VALUE!</v>
      </c>
      <c r="T115" s="185" t="e">
        <f t="shared" ca="1" si="47"/>
        <v>#VALUE!</v>
      </c>
      <c r="U115" s="185" t="e">
        <f t="shared" ca="1" si="47"/>
        <v>#VALUE!</v>
      </c>
      <c r="V115" s="185" t="e">
        <f t="shared" ca="1" si="47"/>
        <v>#VALUE!</v>
      </c>
      <c r="W115" s="185" t="e">
        <f t="shared" ca="1" si="47"/>
        <v>#VALUE!</v>
      </c>
      <c r="X115" s="185" t="e">
        <f t="shared" ca="1" si="47"/>
        <v>#VALUE!</v>
      </c>
      <c r="Y115" s="185" t="e">
        <f t="shared" ca="1" si="47"/>
        <v>#VALUE!</v>
      </c>
      <c r="Z115" s="185" t="e">
        <f t="shared" ca="1" si="47"/>
        <v>#VALUE!</v>
      </c>
      <c r="AA115" s="185" t="e">
        <f t="shared" ca="1" si="48"/>
        <v>#VALUE!</v>
      </c>
      <c r="AB115" s="185" t="e">
        <f t="shared" ca="1" si="48"/>
        <v>#VALUE!</v>
      </c>
      <c r="AC115" s="185" t="e">
        <f t="shared" ca="1" si="48"/>
        <v>#VALUE!</v>
      </c>
      <c r="AD115" s="185" t="e">
        <f t="shared" ca="1" si="48"/>
        <v>#VALUE!</v>
      </c>
      <c r="AE115" s="185" t="e">
        <f t="shared" ca="1" si="48"/>
        <v>#VALUE!</v>
      </c>
      <c r="AF115" s="185" t="e">
        <f t="shared" ca="1" si="48"/>
        <v>#VALUE!</v>
      </c>
      <c r="AG115" s="185" t="e">
        <f t="shared" ca="1" si="48"/>
        <v>#VALUE!</v>
      </c>
      <c r="AH115" s="185" t="e">
        <f t="shared" ca="1" si="48"/>
        <v>#VALUE!</v>
      </c>
      <c r="AI115" s="185" t="e">
        <f t="shared" ca="1" si="48"/>
        <v>#VALUE!</v>
      </c>
      <c r="AJ115" s="185" t="e">
        <f t="shared" ca="1" si="48"/>
        <v>#VALUE!</v>
      </c>
      <c r="AK115" s="185" t="e">
        <f t="shared" ca="1" si="48"/>
        <v>#VALUE!</v>
      </c>
      <c r="AL115" s="185" t="e">
        <f t="shared" ca="1" si="48"/>
        <v>#VALUE!</v>
      </c>
      <c r="AM115" s="185" t="e">
        <f t="shared" ca="1" si="48"/>
        <v>#VALUE!</v>
      </c>
      <c r="AN115" s="185" t="e">
        <f t="shared" ca="1" si="48"/>
        <v>#VALUE!</v>
      </c>
      <c r="AO115" s="185" t="e">
        <f t="shared" ca="1" si="48"/>
        <v>#VALUE!</v>
      </c>
      <c r="AP115" s="185" t="e">
        <f t="shared" ca="1" si="48"/>
        <v>#VALUE!</v>
      </c>
    </row>
    <row r="116" spans="1:42">
      <c r="A116" s="57" t="str">
        <f>'[4]TS BYDem'!A55</f>
        <v>*</v>
      </c>
      <c r="B116" s="185" t="s">
        <v>288</v>
      </c>
      <c r="C116" s="185" t="s">
        <v>137</v>
      </c>
      <c r="D116" s="185" t="str">
        <f>'[4]TS BYDem'!D55</f>
        <v>IISC</v>
      </c>
      <c r="E116" s="185" t="s">
        <v>137</v>
      </c>
      <c r="F116" s="185" t="s">
        <v>137</v>
      </c>
      <c r="G116" s="185" t="s">
        <v>137</v>
      </c>
      <c r="H116" s="185" t="s">
        <v>137</v>
      </c>
      <c r="I116" s="185">
        <v>0</v>
      </c>
      <c r="J116" s="185" t="str">
        <f>INDEX('[4]TS BYDem'!$J$10:$J$203,MATCH(D116,'[4]TS BYDem'!$D$10:$D$203,0))</f>
        <v/>
      </c>
      <c r="K116" s="185" t="e">
        <f t="shared" ca="1" si="47"/>
        <v>#VALUE!</v>
      </c>
      <c r="L116" s="185" t="e">
        <f t="shared" ca="1" si="47"/>
        <v>#VALUE!</v>
      </c>
      <c r="M116" s="185" t="e">
        <f t="shared" ca="1" si="47"/>
        <v>#VALUE!</v>
      </c>
      <c r="N116" s="185" t="e">
        <f t="shared" ca="1" si="47"/>
        <v>#VALUE!</v>
      </c>
      <c r="O116" s="185" t="e">
        <f t="shared" ca="1" si="47"/>
        <v>#VALUE!</v>
      </c>
      <c r="P116" s="185" t="e">
        <f t="shared" ca="1" si="47"/>
        <v>#VALUE!</v>
      </c>
      <c r="Q116" s="185" t="e">
        <f t="shared" ca="1" si="47"/>
        <v>#VALUE!</v>
      </c>
      <c r="R116" s="185" t="e">
        <f t="shared" ca="1" si="47"/>
        <v>#VALUE!</v>
      </c>
      <c r="S116" s="185" t="e">
        <f t="shared" ca="1" si="47"/>
        <v>#VALUE!</v>
      </c>
      <c r="T116" s="185" t="e">
        <f t="shared" ca="1" si="47"/>
        <v>#VALUE!</v>
      </c>
      <c r="U116" s="185" t="e">
        <f t="shared" ca="1" si="47"/>
        <v>#VALUE!</v>
      </c>
      <c r="V116" s="185" t="e">
        <f t="shared" ca="1" si="47"/>
        <v>#VALUE!</v>
      </c>
      <c r="W116" s="185" t="e">
        <f t="shared" ca="1" si="47"/>
        <v>#VALUE!</v>
      </c>
      <c r="X116" s="185" t="e">
        <f t="shared" ca="1" si="47"/>
        <v>#VALUE!</v>
      </c>
      <c r="Y116" s="185" t="e">
        <f t="shared" ca="1" si="47"/>
        <v>#VALUE!</v>
      </c>
      <c r="Z116" s="185" t="e">
        <f t="shared" ca="1" si="47"/>
        <v>#VALUE!</v>
      </c>
      <c r="AA116" s="185" t="e">
        <f t="shared" ca="1" si="48"/>
        <v>#VALUE!</v>
      </c>
      <c r="AB116" s="185" t="e">
        <f t="shared" ca="1" si="48"/>
        <v>#VALUE!</v>
      </c>
      <c r="AC116" s="185" t="e">
        <f t="shared" ca="1" si="48"/>
        <v>#VALUE!</v>
      </c>
      <c r="AD116" s="185" t="e">
        <f t="shared" ca="1" si="48"/>
        <v>#VALUE!</v>
      </c>
      <c r="AE116" s="185" t="e">
        <f t="shared" ca="1" si="48"/>
        <v>#VALUE!</v>
      </c>
      <c r="AF116" s="185" t="e">
        <f t="shared" ca="1" si="48"/>
        <v>#VALUE!</v>
      </c>
      <c r="AG116" s="185" t="e">
        <f t="shared" ca="1" si="48"/>
        <v>#VALUE!</v>
      </c>
      <c r="AH116" s="185" t="e">
        <f t="shared" ca="1" si="48"/>
        <v>#VALUE!</v>
      </c>
      <c r="AI116" s="185" t="e">
        <f t="shared" ca="1" si="48"/>
        <v>#VALUE!</v>
      </c>
      <c r="AJ116" s="185" t="e">
        <f t="shared" ca="1" si="48"/>
        <v>#VALUE!</v>
      </c>
      <c r="AK116" s="185" t="e">
        <f t="shared" ca="1" si="48"/>
        <v>#VALUE!</v>
      </c>
      <c r="AL116" s="185" t="e">
        <f t="shared" ca="1" si="48"/>
        <v>#VALUE!</v>
      </c>
      <c r="AM116" s="185" t="e">
        <f t="shared" ca="1" si="48"/>
        <v>#VALUE!</v>
      </c>
      <c r="AN116" s="185" t="e">
        <f t="shared" ca="1" si="48"/>
        <v>#VALUE!</v>
      </c>
      <c r="AO116" s="185" t="e">
        <f t="shared" ca="1" si="48"/>
        <v>#VALUE!</v>
      </c>
      <c r="AP116" s="185" t="e">
        <f t="shared" ca="1" si="48"/>
        <v>#VALUE!</v>
      </c>
    </row>
    <row r="117" spans="1:42">
      <c r="A117" s="57" t="str">
        <f>'[4]TS BYDem'!A56</f>
        <v>*</v>
      </c>
      <c r="B117" s="185" t="s">
        <v>288</v>
      </c>
      <c r="C117" s="185" t="s">
        <v>137</v>
      </c>
      <c r="D117" s="185" t="str">
        <f>'[4]TS BYDem'!D56</f>
        <v>IISH</v>
      </c>
      <c r="E117" s="185" t="s">
        <v>137</v>
      </c>
      <c r="F117" s="185" t="s">
        <v>137</v>
      </c>
      <c r="G117" s="185" t="s">
        <v>137</v>
      </c>
      <c r="H117" s="185" t="s">
        <v>137</v>
      </c>
      <c r="I117" s="185">
        <v>0</v>
      </c>
      <c r="J117" s="185" t="str">
        <f>INDEX('[4]TS BYDem'!$J$10:$J$203,MATCH(D117,'[4]TS BYDem'!$D$10:$D$203,0))</f>
        <v/>
      </c>
      <c r="K117" s="185" t="e">
        <f t="shared" ca="1" si="47"/>
        <v>#VALUE!</v>
      </c>
      <c r="L117" s="185" t="e">
        <f t="shared" ca="1" si="47"/>
        <v>#VALUE!</v>
      </c>
      <c r="M117" s="185" t="e">
        <f t="shared" ca="1" si="47"/>
        <v>#VALUE!</v>
      </c>
      <c r="N117" s="185" t="e">
        <f t="shared" ca="1" si="47"/>
        <v>#VALUE!</v>
      </c>
      <c r="O117" s="185" t="e">
        <f t="shared" ca="1" si="47"/>
        <v>#VALUE!</v>
      </c>
      <c r="P117" s="185" t="e">
        <f t="shared" ca="1" si="47"/>
        <v>#VALUE!</v>
      </c>
      <c r="Q117" s="185" t="e">
        <f t="shared" ca="1" si="47"/>
        <v>#VALUE!</v>
      </c>
      <c r="R117" s="185" t="e">
        <f t="shared" ca="1" si="47"/>
        <v>#VALUE!</v>
      </c>
      <c r="S117" s="185" t="e">
        <f t="shared" ca="1" si="47"/>
        <v>#VALUE!</v>
      </c>
      <c r="T117" s="185" t="e">
        <f t="shared" ca="1" si="47"/>
        <v>#VALUE!</v>
      </c>
      <c r="U117" s="185" t="e">
        <f t="shared" ca="1" si="47"/>
        <v>#VALUE!</v>
      </c>
      <c r="V117" s="185" t="e">
        <f t="shared" ca="1" si="47"/>
        <v>#VALUE!</v>
      </c>
      <c r="W117" s="185" t="e">
        <f t="shared" ca="1" si="47"/>
        <v>#VALUE!</v>
      </c>
      <c r="X117" s="185" t="e">
        <f t="shared" ca="1" si="47"/>
        <v>#VALUE!</v>
      </c>
      <c r="Y117" s="185" t="e">
        <f t="shared" ca="1" si="47"/>
        <v>#VALUE!</v>
      </c>
      <c r="Z117" s="185" t="e">
        <f t="shared" ca="1" si="47"/>
        <v>#VALUE!</v>
      </c>
      <c r="AA117" s="185" t="e">
        <f t="shared" ca="1" si="48"/>
        <v>#VALUE!</v>
      </c>
      <c r="AB117" s="185" t="e">
        <f t="shared" ca="1" si="48"/>
        <v>#VALUE!</v>
      </c>
      <c r="AC117" s="185" t="e">
        <f t="shared" ca="1" si="48"/>
        <v>#VALUE!</v>
      </c>
      <c r="AD117" s="185" t="e">
        <f t="shared" ca="1" si="48"/>
        <v>#VALUE!</v>
      </c>
      <c r="AE117" s="185" t="e">
        <f t="shared" ca="1" si="48"/>
        <v>#VALUE!</v>
      </c>
      <c r="AF117" s="185" t="e">
        <f t="shared" ca="1" si="48"/>
        <v>#VALUE!</v>
      </c>
      <c r="AG117" s="185" t="e">
        <f t="shared" ca="1" si="48"/>
        <v>#VALUE!</v>
      </c>
      <c r="AH117" s="185" t="e">
        <f t="shared" ca="1" si="48"/>
        <v>#VALUE!</v>
      </c>
      <c r="AI117" s="185" t="e">
        <f t="shared" ca="1" si="48"/>
        <v>#VALUE!</v>
      </c>
      <c r="AJ117" s="185" t="e">
        <f t="shared" ca="1" si="48"/>
        <v>#VALUE!</v>
      </c>
      <c r="AK117" s="185" t="e">
        <f t="shared" ca="1" si="48"/>
        <v>#VALUE!</v>
      </c>
      <c r="AL117" s="185" t="e">
        <f t="shared" ca="1" si="48"/>
        <v>#VALUE!</v>
      </c>
      <c r="AM117" s="185" t="e">
        <f t="shared" ca="1" si="48"/>
        <v>#VALUE!</v>
      </c>
      <c r="AN117" s="185" t="e">
        <f t="shared" ca="1" si="48"/>
        <v>#VALUE!</v>
      </c>
      <c r="AO117" s="185" t="e">
        <f t="shared" ca="1" si="48"/>
        <v>#VALUE!</v>
      </c>
      <c r="AP117" s="185" t="e">
        <f t="shared" ca="1" si="48"/>
        <v>#VALUE!</v>
      </c>
    </row>
    <row r="118" spans="1:42">
      <c r="A118" s="57" t="str">
        <f>'[4]TS BYDem'!A57</f>
        <v>*</v>
      </c>
      <c r="B118" s="185" t="s">
        <v>288</v>
      </c>
      <c r="C118" s="185" t="s">
        <v>137</v>
      </c>
      <c r="D118" s="185" t="str">
        <f>'[4]TS BYDem'!D57</f>
        <v>IISP</v>
      </c>
      <c r="E118" s="185" t="s">
        <v>137</v>
      </c>
      <c r="F118" s="185" t="s">
        <v>137</v>
      </c>
      <c r="G118" s="185" t="s">
        <v>137</v>
      </c>
      <c r="H118" s="185" t="s">
        <v>137</v>
      </c>
      <c r="I118" s="185">
        <v>0</v>
      </c>
      <c r="J118" s="185" t="str">
        <f>INDEX('[4]TS BYDem'!$J$10:$J$203,MATCH(D118,'[4]TS BYDem'!$D$10:$D$203,0))</f>
        <v/>
      </c>
      <c r="K118" s="185" t="e">
        <f t="shared" ca="1" si="47"/>
        <v>#VALUE!</v>
      </c>
      <c r="L118" s="185" t="e">
        <f t="shared" ca="1" si="47"/>
        <v>#VALUE!</v>
      </c>
      <c r="M118" s="185" t="e">
        <f t="shared" ca="1" si="47"/>
        <v>#VALUE!</v>
      </c>
      <c r="N118" s="185" t="e">
        <f t="shared" ca="1" si="47"/>
        <v>#VALUE!</v>
      </c>
      <c r="O118" s="185" t="e">
        <f t="shared" ca="1" si="47"/>
        <v>#VALUE!</v>
      </c>
      <c r="P118" s="185" t="e">
        <f t="shared" ca="1" si="47"/>
        <v>#VALUE!</v>
      </c>
      <c r="Q118" s="185" t="e">
        <f t="shared" ca="1" si="47"/>
        <v>#VALUE!</v>
      </c>
      <c r="R118" s="185" t="e">
        <f t="shared" ca="1" si="47"/>
        <v>#VALUE!</v>
      </c>
      <c r="S118" s="185" t="e">
        <f t="shared" ca="1" si="47"/>
        <v>#VALUE!</v>
      </c>
      <c r="T118" s="185" t="e">
        <f t="shared" ca="1" si="47"/>
        <v>#VALUE!</v>
      </c>
      <c r="U118" s="185" t="e">
        <f t="shared" ca="1" si="47"/>
        <v>#VALUE!</v>
      </c>
      <c r="V118" s="185" t="e">
        <f t="shared" ca="1" si="47"/>
        <v>#VALUE!</v>
      </c>
      <c r="W118" s="185" t="e">
        <f t="shared" ca="1" si="47"/>
        <v>#VALUE!</v>
      </c>
      <c r="X118" s="185" t="e">
        <f t="shared" ca="1" si="47"/>
        <v>#VALUE!</v>
      </c>
      <c r="Y118" s="185" t="e">
        <f t="shared" ca="1" si="47"/>
        <v>#VALUE!</v>
      </c>
      <c r="Z118" s="185" t="e">
        <f t="shared" ca="1" si="47"/>
        <v>#VALUE!</v>
      </c>
      <c r="AA118" s="185" t="e">
        <f t="shared" ca="1" si="48"/>
        <v>#VALUE!</v>
      </c>
      <c r="AB118" s="185" t="e">
        <f t="shared" ca="1" si="48"/>
        <v>#VALUE!</v>
      </c>
      <c r="AC118" s="185" t="e">
        <f t="shared" ca="1" si="48"/>
        <v>#VALUE!</v>
      </c>
      <c r="AD118" s="185" t="e">
        <f t="shared" ca="1" si="48"/>
        <v>#VALUE!</v>
      </c>
      <c r="AE118" s="185" t="e">
        <f t="shared" ca="1" si="48"/>
        <v>#VALUE!</v>
      </c>
      <c r="AF118" s="185" t="e">
        <f t="shared" ca="1" si="48"/>
        <v>#VALUE!</v>
      </c>
      <c r="AG118" s="185" t="e">
        <f t="shared" ca="1" si="48"/>
        <v>#VALUE!</v>
      </c>
      <c r="AH118" s="185" t="e">
        <f t="shared" ca="1" si="48"/>
        <v>#VALUE!</v>
      </c>
      <c r="AI118" s="185" t="e">
        <f t="shared" ca="1" si="48"/>
        <v>#VALUE!</v>
      </c>
      <c r="AJ118" s="185" t="e">
        <f t="shared" ca="1" si="48"/>
        <v>#VALUE!</v>
      </c>
      <c r="AK118" s="185" t="e">
        <f t="shared" ca="1" si="48"/>
        <v>#VALUE!</v>
      </c>
      <c r="AL118" s="185" t="e">
        <f t="shared" ca="1" si="48"/>
        <v>#VALUE!</v>
      </c>
      <c r="AM118" s="185" t="e">
        <f t="shared" ca="1" si="48"/>
        <v>#VALUE!</v>
      </c>
      <c r="AN118" s="185" t="e">
        <f t="shared" ca="1" si="48"/>
        <v>#VALUE!</v>
      </c>
      <c r="AO118" s="185" t="e">
        <f t="shared" ca="1" si="48"/>
        <v>#VALUE!</v>
      </c>
      <c r="AP118" s="185" t="e">
        <f t="shared" ca="1" si="48"/>
        <v>#VALUE!</v>
      </c>
    </row>
    <row r="119" spans="1:42">
      <c r="A119" s="57" t="str">
        <f>'[4]TS BYDem'!A58</f>
        <v>*</v>
      </c>
      <c r="B119" s="185" t="s">
        <v>288</v>
      </c>
      <c r="C119" s="185" t="s">
        <v>137</v>
      </c>
      <c r="D119" s="185" t="str">
        <f>'[4]TS BYDem'!D58</f>
        <v>IISF</v>
      </c>
      <c r="E119" s="185" t="s">
        <v>137</v>
      </c>
      <c r="F119" s="185" t="s">
        <v>137</v>
      </c>
      <c r="G119" s="185" t="s">
        <v>137</v>
      </c>
      <c r="H119" s="185" t="s">
        <v>137</v>
      </c>
      <c r="I119" s="185">
        <v>0</v>
      </c>
      <c r="J119" s="185" t="str">
        <f>INDEX('[4]TS BYDem'!$J$10:$J$203,MATCH(D119,'[4]TS BYDem'!$D$10:$D$203,0))</f>
        <v/>
      </c>
      <c r="K119" s="185" t="e">
        <f t="shared" ca="1" si="47"/>
        <v>#VALUE!</v>
      </c>
      <c r="L119" s="185" t="e">
        <f t="shared" ca="1" si="47"/>
        <v>#VALUE!</v>
      </c>
      <c r="M119" s="185" t="e">
        <f t="shared" ca="1" si="47"/>
        <v>#VALUE!</v>
      </c>
      <c r="N119" s="185" t="e">
        <f t="shared" ca="1" si="47"/>
        <v>#VALUE!</v>
      </c>
      <c r="O119" s="185" t="e">
        <f t="shared" ca="1" si="47"/>
        <v>#VALUE!</v>
      </c>
      <c r="P119" s="185" t="e">
        <f t="shared" ca="1" si="47"/>
        <v>#VALUE!</v>
      </c>
      <c r="Q119" s="185" t="e">
        <f t="shared" ca="1" si="47"/>
        <v>#VALUE!</v>
      </c>
      <c r="R119" s="185" t="e">
        <f t="shared" ca="1" si="47"/>
        <v>#VALUE!</v>
      </c>
      <c r="S119" s="185" t="e">
        <f t="shared" ca="1" si="47"/>
        <v>#VALUE!</v>
      </c>
      <c r="T119" s="185" t="e">
        <f t="shared" ca="1" si="47"/>
        <v>#VALUE!</v>
      </c>
      <c r="U119" s="185" t="e">
        <f t="shared" ca="1" si="47"/>
        <v>#VALUE!</v>
      </c>
      <c r="V119" s="185" t="e">
        <f t="shared" ca="1" si="47"/>
        <v>#VALUE!</v>
      </c>
      <c r="W119" s="185" t="e">
        <f t="shared" ca="1" si="47"/>
        <v>#VALUE!</v>
      </c>
      <c r="X119" s="185" t="e">
        <f t="shared" ca="1" si="47"/>
        <v>#VALUE!</v>
      </c>
      <c r="Y119" s="185" t="e">
        <f t="shared" ca="1" si="47"/>
        <v>#VALUE!</v>
      </c>
      <c r="Z119" s="185" t="e">
        <f t="shared" ca="1" si="47"/>
        <v>#VALUE!</v>
      </c>
      <c r="AA119" s="185" t="e">
        <f t="shared" ca="1" si="48"/>
        <v>#VALUE!</v>
      </c>
      <c r="AB119" s="185" t="e">
        <f t="shared" ca="1" si="48"/>
        <v>#VALUE!</v>
      </c>
      <c r="AC119" s="185" t="e">
        <f t="shared" ca="1" si="48"/>
        <v>#VALUE!</v>
      </c>
      <c r="AD119" s="185" t="e">
        <f t="shared" ca="1" si="48"/>
        <v>#VALUE!</v>
      </c>
      <c r="AE119" s="185" t="e">
        <f t="shared" ca="1" si="48"/>
        <v>#VALUE!</v>
      </c>
      <c r="AF119" s="185" t="e">
        <f t="shared" ca="1" si="48"/>
        <v>#VALUE!</v>
      </c>
      <c r="AG119" s="185" t="e">
        <f t="shared" ca="1" si="48"/>
        <v>#VALUE!</v>
      </c>
      <c r="AH119" s="185" t="e">
        <f t="shared" ca="1" si="48"/>
        <v>#VALUE!</v>
      </c>
      <c r="AI119" s="185" t="e">
        <f t="shared" ca="1" si="48"/>
        <v>#VALUE!</v>
      </c>
      <c r="AJ119" s="185" t="e">
        <f t="shared" ca="1" si="48"/>
        <v>#VALUE!</v>
      </c>
      <c r="AK119" s="185" t="e">
        <f t="shared" ca="1" si="48"/>
        <v>#VALUE!</v>
      </c>
      <c r="AL119" s="185" t="e">
        <f t="shared" ca="1" si="48"/>
        <v>#VALUE!</v>
      </c>
      <c r="AM119" s="185" t="e">
        <f t="shared" ca="1" si="48"/>
        <v>#VALUE!</v>
      </c>
      <c r="AN119" s="185" t="e">
        <f t="shared" ca="1" si="48"/>
        <v>#VALUE!</v>
      </c>
      <c r="AO119" s="185" t="e">
        <f t="shared" ca="1" si="48"/>
        <v>#VALUE!</v>
      </c>
      <c r="AP119" s="185" t="e">
        <f t="shared" ca="1" si="48"/>
        <v>#VALUE!</v>
      </c>
    </row>
    <row r="120" spans="1:42">
      <c r="A120" s="57" t="str">
        <f>'[4]TS BYDem'!A59</f>
        <v>*</v>
      </c>
      <c r="B120" s="185" t="s">
        <v>288</v>
      </c>
      <c r="C120" s="185" t="s">
        <v>137</v>
      </c>
      <c r="D120" s="185" t="str">
        <f>'[4]TS BYDem'!D59</f>
        <v>IISO</v>
      </c>
      <c r="E120" s="185" t="s">
        <v>137</v>
      </c>
      <c r="F120" s="185" t="s">
        <v>137</v>
      </c>
      <c r="G120" s="185" t="s">
        <v>137</v>
      </c>
      <c r="H120" s="185" t="s">
        <v>137</v>
      </c>
      <c r="I120" s="185">
        <v>0</v>
      </c>
      <c r="J120" s="185" t="str">
        <f>INDEX('[4]TS BYDem'!$J$10:$J$203,MATCH(D120,'[4]TS BYDem'!$D$10:$D$203,0))</f>
        <v/>
      </c>
      <c r="K120" s="185" t="e">
        <f t="shared" ca="1" si="47"/>
        <v>#VALUE!</v>
      </c>
      <c r="L120" s="185" t="e">
        <f t="shared" ca="1" si="47"/>
        <v>#VALUE!</v>
      </c>
      <c r="M120" s="185" t="e">
        <f t="shared" ca="1" si="47"/>
        <v>#VALUE!</v>
      </c>
      <c r="N120" s="185" t="e">
        <f t="shared" ca="1" si="47"/>
        <v>#VALUE!</v>
      </c>
      <c r="O120" s="185" t="e">
        <f t="shared" ca="1" si="47"/>
        <v>#VALUE!</v>
      </c>
      <c r="P120" s="185" t="e">
        <f t="shared" ca="1" si="47"/>
        <v>#VALUE!</v>
      </c>
      <c r="Q120" s="185" t="e">
        <f t="shared" ca="1" si="47"/>
        <v>#VALUE!</v>
      </c>
      <c r="R120" s="185" t="e">
        <f t="shared" ca="1" si="47"/>
        <v>#VALUE!</v>
      </c>
      <c r="S120" s="185" t="e">
        <f t="shared" ca="1" si="47"/>
        <v>#VALUE!</v>
      </c>
      <c r="T120" s="185" t="e">
        <f t="shared" ca="1" si="47"/>
        <v>#VALUE!</v>
      </c>
      <c r="U120" s="185" t="e">
        <f t="shared" ca="1" si="47"/>
        <v>#VALUE!</v>
      </c>
      <c r="V120" s="185" t="e">
        <f t="shared" ca="1" si="47"/>
        <v>#VALUE!</v>
      </c>
      <c r="W120" s="185" t="e">
        <f t="shared" ca="1" si="47"/>
        <v>#VALUE!</v>
      </c>
      <c r="X120" s="185" t="e">
        <f t="shared" ca="1" si="47"/>
        <v>#VALUE!</v>
      </c>
      <c r="Y120" s="185" t="e">
        <f t="shared" ca="1" si="47"/>
        <v>#VALUE!</v>
      </c>
      <c r="Z120" s="185" t="e">
        <f t="shared" ca="1" si="47"/>
        <v>#VALUE!</v>
      </c>
      <c r="AA120" s="185" t="e">
        <f t="shared" ca="1" si="48"/>
        <v>#VALUE!</v>
      </c>
      <c r="AB120" s="185" t="e">
        <f t="shared" ca="1" si="48"/>
        <v>#VALUE!</v>
      </c>
      <c r="AC120" s="185" t="e">
        <f t="shared" ca="1" si="48"/>
        <v>#VALUE!</v>
      </c>
      <c r="AD120" s="185" t="e">
        <f t="shared" ca="1" si="48"/>
        <v>#VALUE!</v>
      </c>
      <c r="AE120" s="185" t="e">
        <f t="shared" ca="1" si="48"/>
        <v>#VALUE!</v>
      </c>
      <c r="AF120" s="185" t="e">
        <f t="shared" ca="1" si="48"/>
        <v>#VALUE!</v>
      </c>
      <c r="AG120" s="185" t="e">
        <f t="shared" ca="1" si="48"/>
        <v>#VALUE!</v>
      </c>
      <c r="AH120" s="185" t="e">
        <f t="shared" ca="1" si="48"/>
        <v>#VALUE!</v>
      </c>
      <c r="AI120" s="185" t="e">
        <f t="shared" ca="1" si="48"/>
        <v>#VALUE!</v>
      </c>
      <c r="AJ120" s="185" t="e">
        <f t="shared" ca="1" si="48"/>
        <v>#VALUE!</v>
      </c>
      <c r="AK120" s="185" t="e">
        <f t="shared" ca="1" si="48"/>
        <v>#VALUE!</v>
      </c>
      <c r="AL120" s="185" t="e">
        <f t="shared" ca="1" si="48"/>
        <v>#VALUE!</v>
      </c>
      <c r="AM120" s="185" t="e">
        <f t="shared" ca="1" si="48"/>
        <v>#VALUE!</v>
      </c>
      <c r="AN120" s="185" t="e">
        <f t="shared" ca="1" si="48"/>
        <v>#VALUE!</v>
      </c>
      <c r="AO120" s="185" t="e">
        <f t="shared" ca="1" si="48"/>
        <v>#VALUE!</v>
      </c>
      <c r="AP120" s="185" t="e">
        <f t="shared" ca="1" si="48"/>
        <v>#VALUE!</v>
      </c>
    </row>
    <row r="121" spans="1:42">
      <c r="A121" s="57" t="str">
        <f>'[4]TS BYDem'!A60</f>
        <v>*</v>
      </c>
      <c r="B121" s="185" t="s">
        <v>288</v>
      </c>
      <c r="C121" s="185" t="s">
        <v>137</v>
      </c>
      <c r="D121" s="185" t="str">
        <f>'[4]TS BYDem'!D60</f>
        <v>IISE</v>
      </c>
      <c r="E121" s="185" t="s">
        <v>137</v>
      </c>
      <c r="F121" s="185" t="s">
        <v>137</v>
      </c>
      <c r="G121" s="185" t="s">
        <v>137</v>
      </c>
      <c r="H121" s="185" t="s">
        <v>137</v>
      </c>
      <c r="I121" s="185">
        <v>0</v>
      </c>
      <c r="J121" s="185" t="str">
        <f>INDEX('[4]TS BYDem'!$J$10:$J$203,MATCH(D121,'[4]TS BYDem'!$D$10:$D$203,0))</f>
        <v/>
      </c>
      <c r="K121" s="185" t="e">
        <f t="shared" ca="1" si="47"/>
        <v>#VALUE!</v>
      </c>
      <c r="L121" s="185" t="e">
        <f t="shared" ca="1" si="47"/>
        <v>#VALUE!</v>
      </c>
      <c r="M121" s="185" t="e">
        <f t="shared" ca="1" si="47"/>
        <v>#VALUE!</v>
      </c>
      <c r="N121" s="185" t="e">
        <f t="shared" ca="1" si="47"/>
        <v>#VALUE!</v>
      </c>
      <c r="O121" s="185" t="e">
        <f t="shared" ca="1" si="47"/>
        <v>#VALUE!</v>
      </c>
      <c r="P121" s="185" t="e">
        <f t="shared" ca="1" si="47"/>
        <v>#VALUE!</v>
      </c>
      <c r="Q121" s="185" t="e">
        <f t="shared" ca="1" si="47"/>
        <v>#VALUE!</v>
      </c>
      <c r="R121" s="185" t="e">
        <f t="shared" ca="1" si="47"/>
        <v>#VALUE!</v>
      </c>
      <c r="S121" s="185" t="e">
        <f t="shared" ca="1" si="47"/>
        <v>#VALUE!</v>
      </c>
      <c r="T121" s="185" t="e">
        <f t="shared" ca="1" si="47"/>
        <v>#VALUE!</v>
      </c>
      <c r="U121" s="185" t="e">
        <f t="shared" ca="1" si="47"/>
        <v>#VALUE!</v>
      </c>
      <c r="V121" s="185" t="e">
        <f t="shared" ca="1" si="47"/>
        <v>#VALUE!</v>
      </c>
      <c r="W121" s="185" t="e">
        <f t="shared" ca="1" si="47"/>
        <v>#VALUE!</v>
      </c>
      <c r="X121" s="185" t="e">
        <f t="shared" ca="1" si="47"/>
        <v>#VALUE!</v>
      </c>
      <c r="Y121" s="185" t="e">
        <f t="shared" ca="1" si="47"/>
        <v>#VALUE!</v>
      </c>
      <c r="Z121" s="185" t="e">
        <f t="shared" ca="1" si="47"/>
        <v>#VALUE!</v>
      </c>
      <c r="AA121" s="185" t="e">
        <f t="shared" ca="1" si="48"/>
        <v>#VALUE!</v>
      </c>
      <c r="AB121" s="185" t="e">
        <f t="shared" ca="1" si="48"/>
        <v>#VALUE!</v>
      </c>
      <c r="AC121" s="185" t="e">
        <f t="shared" ca="1" si="48"/>
        <v>#VALUE!</v>
      </c>
      <c r="AD121" s="185" t="e">
        <f t="shared" ca="1" si="48"/>
        <v>#VALUE!</v>
      </c>
      <c r="AE121" s="185" t="e">
        <f t="shared" ca="1" si="48"/>
        <v>#VALUE!</v>
      </c>
      <c r="AF121" s="185" t="e">
        <f t="shared" ca="1" si="48"/>
        <v>#VALUE!</v>
      </c>
      <c r="AG121" s="185" t="e">
        <f t="shared" ca="1" si="48"/>
        <v>#VALUE!</v>
      </c>
      <c r="AH121" s="185" t="e">
        <f t="shared" ca="1" si="48"/>
        <v>#VALUE!</v>
      </c>
      <c r="AI121" s="185" t="e">
        <f t="shared" ca="1" si="48"/>
        <v>#VALUE!</v>
      </c>
      <c r="AJ121" s="185" t="e">
        <f t="shared" ca="1" si="48"/>
        <v>#VALUE!</v>
      </c>
      <c r="AK121" s="185" t="e">
        <f t="shared" ca="1" si="48"/>
        <v>#VALUE!</v>
      </c>
      <c r="AL121" s="185" t="e">
        <f t="shared" ca="1" si="48"/>
        <v>#VALUE!</v>
      </c>
      <c r="AM121" s="185" t="e">
        <f t="shared" ca="1" si="48"/>
        <v>#VALUE!</v>
      </c>
      <c r="AN121" s="185" t="e">
        <f t="shared" ca="1" si="48"/>
        <v>#VALUE!</v>
      </c>
      <c r="AO121" s="185" t="e">
        <f t="shared" ca="1" si="48"/>
        <v>#VALUE!</v>
      </c>
      <c r="AP121" s="185" t="e">
        <f t="shared" ca="1" si="48"/>
        <v>#VALUE!</v>
      </c>
    </row>
    <row r="122" spans="1:42">
      <c r="A122" s="57" t="str">
        <f>'[4]TS BYDem'!A61</f>
        <v>*</v>
      </c>
      <c r="B122" s="185" t="s">
        <v>288</v>
      </c>
      <c r="C122" s="185" t="s">
        <v>137</v>
      </c>
      <c r="D122" s="185" t="str">
        <f>'[4]TS BYDem'!D61</f>
        <v xml:space="preserve"> </v>
      </c>
      <c r="E122" s="185" t="s">
        <v>137</v>
      </c>
      <c r="F122" s="185" t="s">
        <v>137</v>
      </c>
      <c r="G122" s="185" t="s">
        <v>137</v>
      </c>
      <c r="H122" s="185" t="s">
        <v>137</v>
      </c>
      <c r="I122" s="185">
        <v>0</v>
      </c>
      <c r="J122" s="185" t="str">
        <f>INDEX('[4]TS BYDem'!$J$10:$J$203,MATCH(D122,'[4]TS BYDem'!$D$10:$D$203,0))</f>
        <v/>
      </c>
      <c r="K122" s="185" t="e">
        <f t="shared" ca="1" si="47"/>
        <v>#VALUE!</v>
      </c>
      <c r="L122" s="185" t="e">
        <f t="shared" ca="1" si="47"/>
        <v>#VALUE!</v>
      </c>
      <c r="M122" s="185" t="e">
        <f t="shared" ca="1" si="47"/>
        <v>#VALUE!</v>
      </c>
      <c r="N122" s="185" t="e">
        <f t="shared" ca="1" si="47"/>
        <v>#VALUE!</v>
      </c>
      <c r="O122" s="185" t="e">
        <f t="shared" ca="1" si="47"/>
        <v>#VALUE!</v>
      </c>
      <c r="P122" s="185" t="e">
        <f t="shared" ca="1" si="47"/>
        <v>#VALUE!</v>
      </c>
      <c r="Q122" s="185" t="e">
        <f t="shared" ca="1" si="47"/>
        <v>#VALUE!</v>
      </c>
      <c r="R122" s="185" t="e">
        <f t="shared" ca="1" si="47"/>
        <v>#VALUE!</v>
      </c>
      <c r="S122" s="185" t="e">
        <f t="shared" ca="1" si="47"/>
        <v>#VALUE!</v>
      </c>
      <c r="T122" s="185" t="e">
        <f t="shared" ca="1" si="47"/>
        <v>#VALUE!</v>
      </c>
      <c r="U122" s="185" t="e">
        <f t="shared" ca="1" si="47"/>
        <v>#VALUE!</v>
      </c>
      <c r="V122" s="185" t="e">
        <f t="shared" ca="1" si="47"/>
        <v>#VALUE!</v>
      </c>
      <c r="W122" s="185" t="e">
        <f t="shared" ca="1" si="47"/>
        <v>#VALUE!</v>
      </c>
      <c r="X122" s="185" t="e">
        <f t="shared" ca="1" si="47"/>
        <v>#VALUE!</v>
      </c>
      <c r="Y122" s="185" t="e">
        <f t="shared" ca="1" si="47"/>
        <v>#VALUE!</v>
      </c>
      <c r="Z122" s="185" t="e">
        <f t="shared" ca="1" si="47"/>
        <v>#VALUE!</v>
      </c>
      <c r="AA122" s="185" t="e">
        <f t="shared" ca="1" si="48"/>
        <v>#VALUE!</v>
      </c>
      <c r="AB122" s="185" t="e">
        <f t="shared" ca="1" si="48"/>
        <v>#VALUE!</v>
      </c>
      <c r="AC122" s="185" t="e">
        <f t="shared" ca="1" si="48"/>
        <v>#VALUE!</v>
      </c>
      <c r="AD122" s="185" t="e">
        <f t="shared" ca="1" si="48"/>
        <v>#VALUE!</v>
      </c>
      <c r="AE122" s="185" t="e">
        <f t="shared" ca="1" si="48"/>
        <v>#VALUE!</v>
      </c>
      <c r="AF122" s="185" t="e">
        <f t="shared" ca="1" si="48"/>
        <v>#VALUE!</v>
      </c>
      <c r="AG122" s="185" t="e">
        <f t="shared" ca="1" si="48"/>
        <v>#VALUE!</v>
      </c>
      <c r="AH122" s="185" t="e">
        <f t="shared" ca="1" si="48"/>
        <v>#VALUE!</v>
      </c>
      <c r="AI122" s="185" t="e">
        <f t="shared" ca="1" si="48"/>
        <v>#VALUE!</v>
      </c>
      <c r="AJ122" s="185" t="e">
        <f t="shared" ca="1" si="48"/>
        <v>#VALUE!</v>
      </c>
      <c r="AK122" s="185" t="e">
        <f t="shared" ca="1" si="48"/>
        <v>#VALUE!</v>
      </c>
      <c r="AL122" s="185" t="e">
        <f t="shared" ca="1" si="48"/>
        <v>#VALUE!</v>
      </c>
      <c r="AM122" s="185" t="e">
        <f t="shared" ca="1" si="48"/>
        <v>#VALUE!</v>
      </c>
      <c r="AN122" s="185" t="e">
        <f t="shared" ca="1" si="48"/>
        <v>#VALUE!</v>
      </c>
      <c r="AO122" s="185" t="e">
        <f t="shared" ca="1" si="48"/>
        <v>#VALUE!</v>
      </c>
      <c r="AP122" s="185" t="e">
        <f t="shared" ca="1" si="48"/>
        <v>#VALUE!</v>
      </c>
    </row>
    <row r="123" spans="1:42">
      <c r="A123" s="57" t="str">
        <f>'[4]TS BYDem'!A62</f>
        <v>*</v>
      </c>
      <c r="B123" s="185" t="s">
        <v>288</v>
      </c>
      <c r="C123" s="185" t="s">
        <v>137</v>
      </c>
      <c r="D123" s="185" t="str">
        <f>'[4]TS BYDem'!D62</f>
        <v>IISS</v>
      </c>
      <c r="E123" s="185" t="s">
        <v>137</v>
      </c>
      <c r="F123" s="185" t="s">
        <v>137</v>
      </c>
      <c r="G123" s="185" t="s">
        <v>137</v>
      </c>
      <c r="H123" s="185" t="s">
        <v>137</v>
      </c>
      <c r="I123" s="185">
        <v>0</v>
      </c>
      <c r="J123" s="185" t="str">
        <f>INDEX('[4]TS BYDem'!$J$10:$J$203,MATCH(D123,'[4]TS BYDem'!$D$10:$D$203,0))</f>
        <v/>
      </c>
      <c r="K123" s="185" t="e">
        <f t="shared" ca="1" si="47"/>
        <v>#VALUE!</v>
      </c>
      <c r="L123" s="185" t="e">
        <f t="shared" ca="1" si="47"/>
        <v>#VALUE!</v>
      </c>
      <c r="M123" s="185" t="e">
        <f t="shared" ca="1" si="47"/>
        <v>#VALUE!</v>
      </c>
      <c r="N123" s="185" t="e">
        <f t="shared" ca="1" si="47"/>
        <v>#VALUE!</v>
      </c>
      <c r="O123" s="185" t="e">
        <f t="shared" ca="1" si="47"/>
        <v>#VALUE!</v>
      </c>
      <c r="P123" s="185" t="e">
        <f t="shared" ca="1" si="47"/>
        <v>#VALUE!</v>
      </c>
      <c r="Q123" s="185" t="e">
        <f t="shared" ca="1" si="47"/>
        <v>#VALUE!</v>
      </c>
      <c r="R123" s="185" t="e">
        <f t="shared" ca="1" si="47"/>
        <v>#VALUE!</v>
      </c>
      <c r="S123" s="185" t="e">
        <f t="shared" ca="1" si="47"/>
        <v>#VALUE!</v>
      </c>
      <c r="T123" s="185" t="e">
        <f t="shared" ca="1" si="47"/>
        <v>#VALUE!</v>
      </c>
      <c r="U123" s="185" t="e">
        <f t="shared" ca="1" si="47"/>
        <v>#VALUE!</v>
      </c>
      <c r="V123" s="185" t="e">
        <f t="shared" ca="1" si="47"/>
        <v>#VALUE!</v>
      </c>
      <c r="W123" s="185" t="e">
        <f t="shared" ca="1" si="47"/>
        <v>#VALUE!</v>
      </c>
      <c r="X123" s="185" t="e">
        <f t="shared" ca="1" si="47"/>
        <v>#VALUE!</v>
      </c>
      <c r="Y123" s="185" t="e">
        <f t="shared" ca="1" si="47"/>
        <v>#VALUE!</v>
      </c>
      <c r="Z123" s="185" t="e">
        <f t="shared" ca="1" si="47"/>
        <v>#VALUE!</v>
      </c>
      <c r="AA123" s="185" t="e">
        <f t="shared" ca="1" si="48"/>
        <v>#VALUE!</v>
      </c>
      <c r="AB123" s="185" t="e">
        <f t="shared" ca="1" si="48"/>
        <v>#VALUE!</v>
      </c>
      <c r="AC123" s="185" t="e">
        <f t="shared" ca="1" si="48"/>
        <v>#VALUE!</v>
      </c>
      <c r="AD123" s="185" t="e">
        <f t="shared" ca="1" si="48"/>
        <v>#VALUE!</v>
      </c>
      <c r="AE123" s="185" t="e">
        <f t="shared" ca="1" si="48"/>
        <v>#VALUE!</v>
      </c>
      <c r="AF123" s="185" t="e">
        <f t="shared" ca="1" si="48"/>
        <v>#VALUE!</v>
      </c>
      <c r="AG123" s="185" t="e">
        <f t="shared" ca="1" si="48"/>
        <v>#VALUE!</v>
      </c>
      <c r="AH123" s="185" t="e">
        <f t="shared" ca="1" si="48"/>
        <v>#VALUE!</v>
      </c>
      <c r="AI123" s="185" t="e">
        <f t="shared" ca="1" si="48"/>
        <v>#VALUE!</v>
      </c>
      <c r="AJ123" s="185" t="e">
        <f t="shared" ca="1" si="48"/>
        <v>#VALUE!</v>
      </c>
      <c r="AK123" s="185" t="e">
        <f t="shared" ca="1" si="48"/>
        <v>#VALUE!</v>
      </c>
      <c r="AL123" s="185" t="e">
        <f t="shared" ca="1" si="48"/>
        <v>#VALUE!</v>
      </c>
      <c r="AM123" s="185" t="e">
        <f t="shared" ca="1" si="48"/>
        <v>#VALUE!</v>
      </c>
      <c r="AN123" s="185" t="e">
        <f t="shared" ca="1" si="48"/>
        <v>#VALUE!</v>
      </c>
      <c r="AO123" s="185" t="e">
        <f t="shared" ca="1" si="48"/>
        <v>#VALUE!</v>
      </c>
      <c r="AP123" s="185" t="e">
        <f t="shared" ca="1" si="48"/>
        <v>#VALUE!</v>
      </c>
    </row>
    <row r="124" spans="1:42">
      <c r="A124" s="57" t="str">
        <f>'[4]TS BYDem'!A63</f>
        <v>*</v>
      </c>
      <c r="B124" s="185" t="s">
        <v>288</v>
      </c>
      <c r="C124" s="185" t="s">
        <v>137</v>
      </c>
      <c r="D124" s="185" t="str">
        <f>'[4]TS BYDem'!D63</f>
        <v>IISS</v>
      </c>
      <c r="E124" s="185" t="s">
        <v>137</v>
      </c>
      <c r="F124" s="185" t="s">
        <v>137</v>
      </c>
      <c r="G124" s="185" t="s">
        <v>137</v>
      </c>
      <c r="H124" s="185" t="s">
        <v>137</v>
      </c>
      <c r="I124" s="185">
        <v>0</v>
      </c>
      <c r="J124" s="185" t="str">
        <f>INDEX('[4]TS BYDem'!$J$10:$J$203,MATCH(D124,'[4]TS BYDem'!$D$10:$D$203,0))</f>
        <v/>
      </c>
      <c r="K124" s="185" t="e">
        <f t="shared" ca="1" si="47"/>
        <v>#VALUE!</v>
      </c>
      <c r="L124" s="185" t="e">
        <f t="shared" ca="1" si="47"/>
        <v>#VALUE!</v>
      </c>
      <c r="M124" s="185" t="e">
        <f t="shared" ca="1" si="47"/>
        <v>#VALUE!</v>
      </c>
      <c r="N124" s="185" t="e">
        <f t="shared" ca="1" si="47"/>
        <v>#VALUE!</v>
      </c>
      <c r="O124" s="185" t="e">
        <f t="shared" ca="1" si="47"/>
        <v>#VALUE!</v>
      </c>
      <c r="P124" s="185" t="e">
        <f t="shared" ca="1" si="47"/>
        <v>#VALUE!</v>
      </c>
      <c r="Q124" s="185" t="e">
        <f t="shared" ca="1" si="47"/>
        <v>#VALUE!</v>
      </c>
      <c r="R124" s="185" t="e">
        <f t="shared" ca="1" si="47"/>
        <v>#VALUE!</v>
      </c>
      <c r="S124" s="185" t="e">
        <f t="shared" ca="1" si="47"/>
        <v>#VALUE!</v>
      </c>
      <c r="T124" s="185" t="e">
        <f t="shared" ca="1" si="47"/>
        <v>#VALUE!</v>
      </c>
      <c r="U124" s="185" t="e">
        <f t="shared" ca="1" si="47"/>
        <v>#VALUE!</v>
      </c>
      <c r="V124" s="185" t="e">
        <f t="shared" ca="1" si="47"/>
        <v>#VALUE!</v>
      </c>
      <c r="W124" s="185" t="e">
        <f t="shared" ca="1" si="47"/>
        <v>#VALUE!</v>
      </c>
      <c r="X124" s="185" t="e">
        <f t="shared" ca="1" si="47"/>
        <v>#VALUE!</v>
      </c>
      <c r="Y124" s="185" t="e">
        <f t="shared" ca="1" si="47"/>
        <v>#VALUE!</v>
      </c>
      <c r="Z124" s="185" t="e">
        <f t="shared" ca="1" si="47"/>
        <v>#VALUE!</v>
      </c>
      <c r="AA124" s="185" t="e">
        <f t="shared" ca="1" si="48"/>
        <v>#VALUE!</v>
      </c>
      <c r="AB124" s="185" t="e">
        <f t="shared" ca="1" si="48"/>
        <v>#VALUE!</v>
      </c>
      <c r="AC124" s="185" t="e">
        <f t="shared" ca="1" si="48"/>
        <v>#VALUE!</v>
      </c>
      <c r="AD124" s="185" t="e">
        <f t="shared" ca="1" si="48"/>
        <v>#VALUE!</v>
      </c>
      <c r="AE124" s="185" t="e">
        <f t="shared" ca="1" si="48"/>
        <v>#VALUE!</v>
      </c>
      <c r="AF124" s="185" t="e">
        <f t="shared" ca="1" si="48"/>
        <v>#VALUE!</v>
      </c>
      <c r="AG124" s="185" t="e">
        <f t="shared" ca="1" si="48"/>
        <v>#VALUE!</v>
      </c>
      <c r="AH124" s="185" t="e">
        <f t="shared" ca="1" si="48"/>
        <v>#VALUE!</v>
      </c>
      <c r="AI124" s="185" t="e">
        <f t="shared" ca="1" si="48"/>
        <v>#VALUE!</v>
      </c>
      <c r="AJ124" s="185" t="e">
        <f t="shared" ca="1" si="48"/>
        <v>#VALUE!</v>
      </c>
      <c r="AK124" s="185" t="e">
        <f t="shared" ca="1" si="48"/>
        <v>#VALUE!</v>
      </c>
      <c r="AL124" s="185" t="e">
        <f t="shared" ca="1" si="48"/>
        <v>#VALUE!</v>
      </c>
      <c r="AM124" s="185" t="e">
        <f t="shared" ca="1" si="48"/>
        <v>#VALUE!</v>
      </c>
      <c r="AN124" s="185" t="e">
        <f t="shared" ca="1" si="48"/>
        <v>#VALUE!</v>
      </c>
      <c r="AO124" s="185" t="e">
        <f t="shared" ca="1" si="48"/>
        <v>#VALUE!</v>
      </c>
      <c r="AP124" s="185" t="e">
        <f t="shared" ca="1" si="48"/>
        <v>#VALUE!</v>
      </c>
    </row>
    <row r="125" spans="1:42">
      <c r="A125" s="57" t="str">
        <f>'[4]TS BYDem'!A64</f>
        <v>*</v>
      </c>
      <c r="B125" s="185" t="s">
        <v>288</v>
      </c>
      <c r="C125" s="185" t="s">
        <v>137</v>
      </c>
      <c r="D125" s="185" t="str">
        <f>'[4]TS BYDem'!D64</f>
        <v>IISS</v>
      </c>
      <c r="E125" s="185" t="s">
        <v>137</v>
      </c>
      <c r="F125" s="185" t="s">
        <v>137</v>
      </c>
      <c r="G125" s="185" t="s">
        <v>137</v>
      </c>
      <c r="H125" s="185" t="s">
        <v>137</v>
      </c>
      <c r="I125" s="185">
        <v>0</v>
      </c>
      <c r="J125" s="185" t="str">
        <f>INDEX('[4]TS BYDem'!$J$10:$J$203,MATCH(D125,'[4]TS BYDem'!$D$10:$D$203,0))</f>
        <v/>
      </c>
      <c r="K125" s="185" t="e">
        <f t="shared" ca="1" si="47"/>
        <v>#VALUE!</v>
      </c>
      <c r="L125" s="185" t="e">
        <f t="shared" ca="1" si="47"/>
        <v>#VALUE!</v>
      </c>
      <c r="M125" s="185" t="e">
        <f t="shared" ca="1" si="47"/>
        <v>#VALUE!</v>
      </c>
      <c r="N125" s="185" t="e">
        <f t="shared" ca="1" si="47"/>
        <v>#VALUE!</v>
      </c>
      <c r="O125" s="185" t="e">
        <f t="shared" ca="1" si="47"/>
        <v>#VALUE!</v>
      </c>
      <c r="P125" s="185" t="e">
        <f t="shared" ca="1" si="47"/>
        <v>#VALUE!</v>
      </c>
      <c r="Q125" s="185" t="e">
        <f t="shared" ca="1" si="47"/>
        <v>#VALUE!</v>
      </c>
      <c r="R125" s="185" t="e">
        <f t="shared" ca="1" si="47"/>
        <v>#VALUE!</v>
      </c>
      <c r="S125" s="185" t="e">
        <f t="shared" ca="1" si="47"/>
        <v>#VALUE!</v>
      </c>
      <c r="T125" s="185" t="e">
        <f t="shared" ca="1" si="47"/>
        <v>#VALUE!</v>
      </c>
      <c r="U125" s="185" t="e">
        <f t="shared" ca="1" si="47"/>
        <v>#VALUE!</v>
      </c>
      <c r="V125" s="185" t="e">
        <f t="shared" ca="1" si="47"/>
        <v>#VALUE!</v>
      </c>
      <c r="W125" s="185" t="e">
        <f t="shared" ca="1" si="47"/>
        <v>#VALUE!</v>
      </c>
      <c r="X125" s="185" t="e">
        <f t="shared" ca="1" si="47"/>
        <v>#VALUE!</v>
      </c>
      <c r="Y125" s="185" t="e">
        <f t="shared" ca="1" si="47"/>
        <v>#VALUE!</v>
      </c>
      <c r="Z125" s="185" t="e">
        <f t="shared" ca="1" si="47"/>
        <v>#VALUE!</v>
      </c>
      <c r="AA125" s="185" t="e">
        <f t="shared" ca="1" si="48"/>
        <v>#VALUE!</v>
      </c>
      <c r="AB125" s="185" t="e">
        <f t="shared" ca="1" si="48"/>
        <v>#VALUE!</v>
      </c>
      <c r="AC125" s="185" t="e">
        <f t="shared" ca="1" si="48"/>
        <v>#VALUE!</v>
      </c>
      <c r="AD125" s="185" t="e">
        <f t="shared" ca="1" si="48"/>
        <v>#VALUE!</v>
      </c>
      <c r="AE125" s="185" t="e">
        <f t="shared" ca="1" si="48"/>
        <v>#VALUE!</v>
      </c>
      <c r="AF125" s="185" t="e">
        <f t="shared" ca="1" si="48"/>
        <v>#VALUE!</v>
      </c>
      <c r="AG125" s="185" t="e">
        <f t="shared" ca="1" si="48"/>
        <v>#VALUE!</v>
      </c>
      <c r="AH125" s="185" t="e">
        <f t="shared" ca="1" si="48"/>
        <v>#VALUE!</v>
      </c>
      <c r="AI125" s="185" t="e">
        <f t="shared" ca="1" si="48"/>
        <v>#VALUE!</v>
      </c>
      <c r="AJ125" s="185" t="e">
        <f t="shared" ca="1" si="48"/>
        <v>#VALUE!</v>
      </c>
      <c r="AK125" s="185" t="e">
        <f t="shared" ca="1" si="48"/>
        <v>#VALUE!</v>
      </c>
      <c r="AL125" s="185" t="e">
        <f t="shared" ca="1" si="48"/>
        <v>#VALUE!</v>
      </c>
      <c r="AM125" s="185" t="e">
        <f t="shared" ca="1" si="48"/>
        <v>#VALUE!</v>
      </c>
      <c r="AN125" s="185" t="e">
        <f t="shared" ca="1" si="48"/>
        <v>#VALUE!</v>
      </c>
      <c r="AO125" s="185" t="e">
        <f t="shared" ca="1" si="48"/>
        <v>#VALUE!</v>
      </c>
      <c r="AP125" s="185" t="e">
        <f t="shared" ca="1" si="48"/>
        <v>#VALUE!</v>
      </c>
    </row>
    <row r="126" spans="1:42">
      <c r="A126" s="57" t="str">
        <f>'[4]TS BYDem'!A65</f>
        <v>*</v>
      </c>
      <c r="B126" s="185" t="s">
        <v>288</v>
      </c>
      <c r="C126" s="185" t="s">
        <v>137</v>
      </c>
      <c r="D126" s="185" t="str">
        <f>'[4]TS BYDem'!D65</f>
        <v>IISS</v>
      </c>
      <c r="E126" s="185" t="s">
        <v>137</v>
      </c>
      <c r="F126" s="185" t="s">
        <v>137</v>
      </c>
      <c r="G126" s="185" t="s">
        <v>137</v>
      </c>
      <c r="H126" s="185" t="s">
        <v>137</v>
      </c>
      <c r="I126" s="185">
        <v>0</v>
      </c>
      <c r="J126" s="185" t="str">
        <f>INDEX('[4]TS BYDem'!$J$10:$J$203,MATCH(D126,'[4]TS BYDem'!$D$10:$D$203,0))</f>
        <v/>
      </c>
      <c r="K126" s="185" t="e">
        <f t="shared" ca="1" si="47"/>
        <v>#VALUE!</v>
      </c>
      <c r="L126" s="185" t="e">
        <f t="shared" ca="1" si="47"/>
        <v>#VALUE!</v>
      </c>
      <c r="M126" s="185" t="e">
        <f t="shared" ca="1" si="47"/>
        <v>#VALUE!</v>
      </c>
      <c r="N126" s="185" t="e">
        <f t="shared" ca="1" si="47"/>
        <v>#VALUE!</v>
      </c>
      <c r="O126" s="185" t="e">
        <f t="shared" ca="1" si="47"/>
        <v>#VALUE!</v>
      </c>
      <c r="P126" s="185" t="e">
        <f t="shared" ca="1" si="47"/>
        <v>#VALUE!</v>
      </c>
      <c r="Q126" s="185" t="e">
        <f t="shared" ca="1" si="47"/>
        <v>#VALUE!</v>
      </c>
      <c r="R126" s="185" t="e">
        <f t="shared" ca="1" si="47"/>
        <v>#VALUE!</v>
      </c>
      <c r="S126" s="185" t="e">
        <f t="shared" ca="1" si="47"/>
        <v>#VALUE!</v>
      </c>
      <c r="T126" s="185" t="e">
        <f t="shared" ca="1" si="47"/>
        <v>#VALUE!</v>
      </c>
      <c r="U126" s="185" t="e">
        <f t="shared" ca="1" si="47"/>
        <v>#VALUE!</v>
      </c>
      <c r="V126" s="185" t="e">
        <f t="shared" ca="1" si="47"/>
        <v>#VALUE!</v>
      </c>
      <c r="W126" s="185" t="e">
        <f t="shared" ca="1" si="47"/>
        <v>#VALUE!</v>
      </c>
      <c r="X126" s="185" t="e">
        <f t="shared" ca="1" si="47"/>
        <v>#VALUE!</v>
      </c>
      <c r="Y126" s="185" t="e">
        <f t="shared" ca="1" si="47"/>
        <v>#VALUE!</v>
      </c>
      <c r="Z126" s="185" t="e">
        <f t="shared" ca="1" si="47"/>
        <v>#VALUE!</v>
      </c>
      <c r="AA126" s="185" t="e">
        <f t="shared" ca="1" si="48"/>
        <v>#VALUE!</v>
      </c>
      <c r="AB126" s="185" t="e">
        <f t="shared" ca="1" si="48"/>
        <v>#VALUE!</v>
      </c>
      <c r="AC126" s="185" t="e">
        <f t="shared" ca="1" si="48"/>
        <v>#VALUE!</v>
      </c>
      <c r="AD126" s="185" t="e">
        <f t="shared" ca="1" si="48"/>
        <v>#VALUE!</v>
      </c>
      <c r="AE126" s="185" t="e">
        <f t="shared" ca="1" si="48"/>
        <v>#VALUE!</v>
      </c>
      <c r="AF126" s="185" t="e">
        <f t="shared" ca="1" si="48"/>
        <v>#VALUE!</v>
      </c>
      <c r="AG126" s="185" t="e">
        <f t="shared" ca="1" si="48"/>
        <v>#VALUE!</v>
      </c>
      <c r="AH126" s="185" t="e">
        <f t="shared" ca="1" si="48"/>
        <v>#VALUE!</v>
      </c>
      <c r="AI126" s="185" t="e">
        <f t="shared" ca="1" si="48"/>
        <v>#VALUE!</v>
      </c>
      <c r="AJ126" s="185" t="e">
        <f t="shared" ca="1" si="48"/>
        <v>#VALUE!</v>
      </c>
      <c r="AK126" s="185" t="e">
        <f t="shared" ca="1" si="48"/>
        <v>#VALUE!</v>
      </c>
      <c r="AL126" s="185" t="e">
        <f t="shared" ca="1" si="48"/>
        <v>#VALUE!</v>
      </c>
      <c r="AM126" s="185" t="e">
        <f t="shared" ca="1" si="48"/>
        <v>#VALUE!</v>
      </c>
      <c r="AN126" s="185" t="e">
        <f t="shared" ca="1" si="48"/>
        <v>#VALUE!</v>
      </c>
      <c r="AO126" s="185" t="e">
        <f t="shared" ca="1" si="48"/>
        <v>#VALUE!</v>
      </c>
      <c r="AP126" s="185" t="e">
        <f t="shared" ca="1" si="48"/>
        <v>#VALUE!</v>
      </c>
    </row>
    <row r="127" spans="1:42">
      <c r="A127" s="57" t="str">
        <f>'[4]TS BYDem'!A66</f>
        <v>*</v>
      </c>
      <c r="B127" s="185" t="s">
        <v>288</v>
      </c>
      <c r="C127" s="185" t="s">
        <v>137</v>
      </c>
      <c r="D127" s="185" t="str">
        <f>'[4]TS BYDem'!D66</f>
        <v>IISS</v>
      </c>
      <c r="E127" s="185" t="s">
        <v>137</v>
      </c>
      <c r="F127" s="185" t="s">
        <v>137</v>
      </c>
      <c r="G127" s="185" t="s">
        <v>137</v>
      </c>
      <c r="H127" s="185" t="s">
        <v>137</v>
      </c>
      <c r="I127" s="185">
        <v>0</v>
      </c>
      <c r="J127" s="185" t="str">
        <f>INDEX('[4]TS BYDem'!$J$10:$J$203,MATCH(D127,'[4]TS BYDem'!$D$10:$D$203,0))</f>
        <v/>
      </c>
      <c r="K127" s="185" t="e">
        <f t="shared" ca="1" si="47"/>
        <v>#VALUE!</v>
      </c>
      <c r="L127" s="185" t="e">
        <f t="shared" ca="1" si="47"/>
        <v>#VALUE!</v>
      </c>
      <c r="M127" s="185" t="e">
        <f t="shared" ca="1" si="47"/>
        <v>#VALUE!</v>
      </c>
      <c r="N127" s="185" t="e">
        <f t="shared" ca="1" si="47"/>
        <v>#VALUE!</v>
      </c>
      <c r="O127" s="185" t="e">
        <f t="shared" ca="1" si="47"/>
        <v>#VALUE!</v>
      </c>
      <c r="P127" s="185" t="e">
        <f t="shared" ca="1" si="47"/>
        <v>#VALUE!</v>
      </c>
      <c r="Q127" s="185" t="e">
        <f t="shared" ca="1" si="47"/>
        <v>#VALUE!</v>
      </c>
      <c r="R127" s="185" t="e">
        <f t="shared" ca="1" si="47"/>
        <v>#VALUE!</v>
      </c>
      <c r="S127" s="185" t="e">
        <f t="shared" ca="1" si="47"/>
        <v>#VALUE!</v>
      </c>
      <c r="T127" s="185" t="e">
        <f t="shared" ca="1" si="47"/>
        <v>#VALUE!</v>
      </c>
      <c r="U127" s="185" t="e">
        <f t="shared" ca="1" si="47"/>
        <v>#VALUE!</v>
      </c>
      <c r="V127" s="185" t="e">
        <f t="shared" ca="1" si="47"/>
        <v>#VALUE!</v>
      </c>
      <c r="W127" s="185" t="e">
        <f t="shared" ca="1" si="47"/>
        <v>#VALUE!</v>
      </c>
      <c r="X127" s="185" t="e">
        <f t="shared" ca="1" si="47"/>
        <v>#VALUE!</v>
      </c>
      <c r="Y127" s="185" t="e">
        <f t="shared" ca="1" si="47"/>
        <v>#VALUE!</v>
      </c>
      <c r="Z127" s="185" t="e">
        <f t="shared" ca="1" si="47"/>
        <v>#VALUE!</v>
      </c>
      <c r="AA127" s="185" t="e">
        <f t="shared" ca="1" si="48"/>
        <v>#VALUE!</v>
      </c>
      <c r="AB127" s="185" t="e">
        <f t="shared" ca="1" si="48"/>
        <v>#VALUE!</v>
      </c>
      <c r="AC127" s="185" t="e">
        <f t="shared" ca="1" si="48"/>
        <v>#VALUE!</v>
      </c>
      <c r="AD127" s="185" t="e">
        <f t="shared" ca="1" si="48"/>
        <v>#VALUE!</v>
      </c>
      <c r="AE127" s="185" t="e">
        <f t="shared" ca="1" si="48"/>
        <v>#VALUE!</v>
      </c>
      <c r="AF127" s="185" t="e">
        <f t="shared" ca="1" si="48"/>
        <v>#VALUE!</v>
      </c>
      <c r="AG127" s="185" t="e">
        <f t="shared" ca="1" si="48"/>
        <v>#VALUE!</v>
      </c>
      <c r="AH127" s="185" t="e">
        <f t="shared" ca="1" si="48"/>
        <v>#VALUE!</v>
      </c>
      <c r="AI127" s="185" t="e">
        <f t="shared" ca="1" si="48"/>
        <v>#VALUE!</v>
      </c>
      <c r="AJ127" s="185" t="e">
        <f t="shared" ca="1" si="48"/>
        <v>#VALUE!</v>
      </c>
      <c r="AK127" s="185" t="e">
        <f t="shared" ca="1" si="48"/>
        <v>#VALUE!</v>
      </c>
      <c r="AL127" s="185" t="e">
        <f t="shared" ca="1" si="48"/>
        <v>#VALUE!</v>
      </c>
      <c r="AM127" s="185" t="e">
        <f t="shared" ca="1" si="48"/>
        <v>#VALUE!</v>
      </c>
      <c r="AN127" s="185" t="e">
        <f t="shared" ca="1" si="48"/>
        <v>#VALUE!</v>
      </c>
      <c r="AO127" s="185" t="e">
        <f t="shared" ca="1" si="48"/>
        <v>#VALUE!</v>
      </c>
      <c r="AP127" s="185" t="e">
        <f t="shared" ca="1" si="48"/>
        <v>#VALUE!</v>
      </c>
    </row>
    <row r="128" spans="1:42">
      <c r="A128" s="57" t="str">
        <f>'[4]TS BYDem'!A67</f>
        <v>*</v>
      </c>
      <c r="B128" s="185" t="s">
        <v>288</v>
      </c>
      <c r="C128" s="185" t="s">
        <v>137</v>
      </c>
      <c r="D128" s="185" t="str">
        <f>'[4]TS BYDem'!D67</f>
        <v>IISS</v>
      </c>
      <c r="E128" s="185" t="s">
        <v>137</v>
      </c>
      <c r="F128" s="185" t="s">
        <v>137</v>
      </c>
      <c r="G128" s="185" t="s">
        <v>137</v>
      </c>
      <c r="H128" s="185" t="s">
        <v>137</v>
      </c>
      <c r="I128" s="185">
        <v>0</v>
      </c>
      <c r="J128" s="185" t="str">
        <f>INDEX('[4]TS BYDem'!$J$10:$J$203,MATCH(D128,'[4]TS BYDem'!$D$10:$D$203,0))</f>
        <v/>
      </c>
      <c r="K128" s="185" t="e">
        <f t="shared" ca="1" si="47"/>
        <v>#VALUE!</v>
      </c>
      <c r="L128" s="185" t="e">
        <f t="shared" ca="1" si="47"/>
        <v>#VALUE!</v>
      </c>
      <c r="M128" s="185" t="e">
        <f t="shared" ca="1" si="47"/>
        <v>#VALUE!</v>
      </c>
      <c r="N128" s="185" t="e">
        <f t="shared" ca="1" si="47"/>
        <v>#VALUE!</v>
      </c>
      <c r="O128" s="185" t="e">
        <f t="shared" ca="1" si="47"/>
        <v>#VALUE!</v>
      </c>
      <c r="P128" s="185" t="e">
        <f t="shared" ca="1" si="47"/>
        <v>#VALUE!</v>
      </c>
      <c r="Q128" s="185" t="e">
        <f t="shared" ca="1" si="47"/>
        <v>#VALUE!</v>
      </c>
      <c r="R128" s="185" t="e">
        <f t="shared" ca="1" si="47"/>
        <v>#VALUE!</v>
      </c>
      <c r="S128" s="185" t="e">
        <f t="shared" ca="1" si="47"/>
        <v>#VALUE!</v>
      </c>
      <c r="T128" s="185" t="e">
        <f t="shared" ca="1" si="47"/>
        <v>#VALUE!</v>
      </c>
      <c r="U128" s="185" t="e">
        <f t="shared" ca="1" si="47"/>
        <v>#VALUE!</v>
      </c>
      <c r="V128" s="185" t="e">
        <f t="shared" ca="1" si="47"/>
        <v>#VALUE!</v>
      </c>
      <c r="W128" s="185" t="e">
        <f t="shared" ca="1" si="47"/>
        <v>#VALUE!</v>
      </c>
      <c r="X128" s="185" t="e">
        <f t="shared" ca="1" si="47"/>
        <v>#VALUE!</v>
      </c>
      <c r="Y128" s="185" t="e">
        <f t="shared" ca="1" si="47"/>
        <v>#VALUE!</v>
      </c>
      <c r="Z128" s="185" t="e">
        <f t="shared" ref="Z128:AO132" ca="1" si="49">Z$112/Y$112*Y128</f>
        <v>#VALUE!</v>
      </c>
      <c r="AA128" s="185" t="e">
        <f t="shared" ca="1" si="48"/>
        <v>#VALUE!</v>
      </c>
      <c r="AB128" s="185" t="e">
        <f t="shared" ca="1" si="48"/>
        <v>#VALUE!</v>
      </c>
      <c r="AC128" s="185" t="e">
        <f t="shared" ca="1" si="48"/>
        <v>#VALUE!</v>
      </c>
      <c r="AD128" s="185" t="e">
        <f t="shared" ca="1" si="48"/>
        <v>#VALUE!</v>
      </c>
      <c r="AE128" s="185" t="e">
        <f t="shared" ca="1" si="48"/>
        <v>#VALUE!</v>
      </c>
      <c r="AF128" s="185" t="e">
        <f t="shared" ca="1" si="48"/>
        <v>#VALUE!</v>
      </c>
      <c r="AG128" s="185" t="e">
        <f t="shared" ca="1" si="48"/>
        <v>#VALUE!</v>
      </c>
      <c r="AH128" s="185" t="e">
        <f t="shared" ca="1" si="48"/>
        <v>#VALUE!</v>
      </c>
      <c r="AI128" s="185" t="e">
        <f t="shared" ca="1" si="48"/>
        <v>#VALUE!</v>
      </c>
      <c r="AJ128" s="185" t="e">
        <f t="shared" ca="1" si="48"/>
        <v>#VALUE!</v>
      </c>
      <c r="AK128" s="185" t="e">
        <f t="shared" ca="1" si="48"/>
        <v>#VALUE!</v>
      </c>
      <c r="AL128" s="185" t="e">
        <f t="shared" ca="1" si="48"/>
        <v>#VALUE!</v>
      </c>
      <c r="AM128" s="185" t="e">
        <f t="shared" ca="1" si="48"/>
        <v>#VALUE!</v>
      </c>
      <c r="AN128" s="185" t="e">
        <f t="shared" ca="1" si="48"/>
        <v>#VALUE!</v>
      </c>
      <c r="AO128" s="185" t="e">
        <f t="shared" ca="1" si="48"/>
        <v>#VALUE!</v>
      </c>
      <c r="AP128" s="185" t="e">
        <f t="shared" ref="AP128:AP132" ca="1" si="50">AP$112/AO$112*AO128</f>
        <v>#VALUE!</v>
      </c>
    </row>
    <row r="129" spans="1:42">
      <c r="A129" s="57" t="str">
        <f>'[4]TS BYDem'!A68</f>
        <v>*</v>
      </c>
      <c r="B129" s="185" t="s">
        <v>288</v>
      </c>
      <c r="C129" s="185" t="s">
        <v>137</v>
      </c>
      <c r="D129" s="185">
        <f>'[4]TS BYDem'!D68</f>
        <v>0</v>
      </c>
      <c r="E129" s="185" t="s">
        <v>137</v>
      </c>
      <c r="F129" s="185" t="s">
        <v>137</v>
      </c>
      <c r="G129" s="185" t="s">
        <v>137</v>
      </c>
      <c r="H129" s="185" t="s">
        <v>137</v>
      </c>
      <c r="I129" s="185">
        <v>0</v>
      </c>
      <c r="J129" s="185" t="str">
        <f>INDEX('[4]TS BYDem'!$J$10:$J$203,MATCH(D129,'[4]TS BYDem'!$D$10:$D$203,0))</f>
        <v/>
      </c>
      <c r="K129" s="185" t="e">
        <f t="shared" ref="K129:Z132" ca="1" si="51">K$112/J$112*J129</f>
        <v>#VALUE!</v>
      </c>
      <c r="L129" s="185" t="e">
        <f t="shared" ca="1" si="51"/>
        <v>#VALUE!</v>
      </c>
      <c r="M129" s="185" t="e">
        <f t="shared" ca="1" si="51"/>
        <v>#VALUE!</v>
      </c>
      <c r="N129" s="185" t="e">
        <f t="shared" ca="1" si="51"/>
        <v>#VALUE!</v>
      </c>
      <c r="O129" s="185" t="e">
        <f t="shared" ca="1" si="51"/>
        <v>#VALUE!</v>
      </c>
      <c r="P129" s="185" t="e">
        <f t="shared" ca="1" si="51"/>
        <v>#VALUE!</v>
      </c>
      <c r="Q129" s="185" t="e">
        <f t="shared" ca="1" si="51"/>
        <v>#VALUE!</v>
      </c>
      <c r="R129" s="185" t="e">
        <f t="shared" ca="1" si="51"/>
        <v>#VALUE!</v>
      </c>
      <c r="S129" s="185" t="e">
        <f t="shared" ca="1" si="51"/>
        <v>#VALUE!</v>
      </c>
      <c r="T129" s="185" t="e">
        <f t="shared" ca="1" si="51"/>
        <v>#VALUE!</v>
      </c>
      <c r="U129" s="185" t="e">
        <f t="shared" ca="1" si="51"/>
        <v>#VALUE!</v>
      </c>
      <c r="V129" s="185" t="e">
        <f t="shared" ca="1" si="51"/>
        <v>#VALUE!</v>
      </c>
      <c r="W129" s="185" t="e">
        <f t="shared" ca="1" si="51"/>
        <v>#VALUE!</v>
      </c>
      <c r="X129" s="185" t="e">
        <f t="shared" ca="1" si="51"/>
        <v>#VALUE!</v>
      </c>
      <c r="Y129" s="185" t="e">
        <f t="shared" ca="1" si="51"/>
        <v>#VALUE!</v>
      </c>
      <c r="Z129" s="185" t="e">
        <f t="shared" ca="1" si="49"/>
        <v>#VALUE!</v>
      </c>
      <c r="AA129" s="185" t="e">
        <f t="shared" ca="1" si="49"/>
        <v>#VALUE!</v>
      </c>
      <c r="AB129" s="185" t="e">
        <f t="shared" ca="1" si="49"/>
        <v>#VALUE!</v>
      </c>
      <c r="AC129" s="185" t="e">
        <f t="shared" ca="1" si="49"/>
        <v>#VALUE!</v>
      </c>
      <c r="AD129" s="185" t="e">
        <f t="shared" ca="1" si="49"/>
        <v>#VALUE!</v>
      </c>
      <c r="AE129" s="185" t="e">
        <f t="shared" ca="1" si="49"/>
        <v>#VALUE!</v>
      </c>
      <c r="AF129" s="185" t="e">
        <f t="shared" ca="1" si="49"/>
        <v>#VALUE!</v>
      </c>
      <c r="AG129" s="185" t="e">
        <f t="shared" ca="1" si="49"/>
        <v>#VALUE!</v>
      </c>
      <c r="AH129" s="185" t="e">
        <f t="shared" ca="1" si="49"/>
        <v>#VALUE!</v>
      </c>
      <c r="AI129" s="185" t="e">
        <f t="shared" ca="1" si="49"/>
        <v>#VALUE!</v>
      </c>
      <c r="AJ129" s="185" t="e">
        <f t="shared" ca="1" si="49"/>
        <v>#VALUE!</v>
      </c>
      <c r="AK129" s="185" t="e">
        <f t="shared" ca="1" si="49"/>
        <v>#VALUE!</v>
      </c>
      <c r="AL129" s="185" t="e">
        <f t="shared" ca="1" si="49"/>
        <v>#VALUE!</v>
      </c>
      <c r="AM129" s="185" t="e">
        <f t="shared" ca="1" si="49"/>
        <v>#VALUE!</v>
      </c>
      <c r="AN129" s="185" t="e">
        <f t="shared" ca="1" si="49"/>
        <v>#VALUE!</v>
      </c>
      <c r="AO129" s="185" t="e">
        <f t="shared" ca="1" si="49"/>
        <v>#VALUE!</v>
      </c>
      <c r="AP129" s="185" t="e">
        <f t="shared" ca="1" si="50"/>
        <v>#VALUE!</v>
      </c>
    </row>
    <row r="130" spans="1:42">
      <c r="A130" s="57" t="str">
        <f>'[4]TS BYDem'!A69</f>
        <v>*</v>
      </c>
      <c r="B130" s="185" t="s">
        <v>288</v>
      </c>
      <c r="C130" s="185" t="s">
        <v>137</v>
      </c>
      <c r="D130" s="185" t="str">
        <f>'[4]TS BYDem'!D69</f>
        <v>IIST</v>
      </c>
      <c r="E130" s="185" t="s">
        <v>137</v>
      </c>
      <c r="F130" s="185" t="s">
        <v>137</v>
      </c>
      <c r="G130" s="185" t="s">
        <v>137</v>
      </c>
      <c r="H130" s="185" t="s">
        <v>137</v>
      </c>
      <c r="I130" s="185">
        <v>0</v>
      </c>
      <c r="J130" s="185" t="str">
        <f>INDEX('[4]TS BYDem'!$J$10:$J$203,MATCH(D130,'[4]TS BYDem'!$D$10:$D$203,0))</f>
        <v/>
      </c>
      <c r="K130" s="185" t="e">
        <f t="shared" ca="1" si="51"/>
        <v>#VALUE!</v>
      </c>
      <c r="L130" s="185" t="e">
        <f t="shared" ca="1" si="51"/>
        <v>#VALUE!</v>
      </c>
      <c r="M130" s="185" t="e">
        <f t="shared" ca="1" si="51"/>
        <v>#VALUE!</v>
      </c>
      <c r="N130" s="185" t="e">
        <f t="shared" ca="1" si="51"/>
        <v>#VALUE!</v>
      </c>
      <c r="O130" s="185" t="e">
        <f t="shared" ca="1" si="51"/>
        <v>#VALUE!</v>
      </c>
      <c r="P130" s="185" t="e">
        <f t="shared" ca="1" si="51"/>
        <v>#VALUE!</v>
      </c>
      <c r="Q130" s="185" t="e">
        <f t="shared" ca="1" si="51"/>
        <v>#VALUE!</v>
      </c>
      <c r="R130" s="185" t="e">
        <f t="shared" ca="1" si="51"/>
        <v>#VALUE!</v>
      </c>
      <c r="S130" s="185" t="e">
        <f t="shared" ca="1" si="51"/>
        <v>#VALUE!</v>
      </c>
      <c r="T130" s="185" t="e">
        <f t="shared" ca="1" si="51"/>
        <v>#VALUE!</v>
      </c>
      <c r="U130" s="185" t="e">
        <f t="shared" ca="1" si="51"/>
        <v>#VALUE!</v>
      </c>
      <c r="V130" s="185" t="e">
        <f t="shared" ca="1" si="51"/>
        <v>#VALUE!</v>
      </c>
      <c r="W130" s="185" t="e">
        <f t="shared" ca="1" si="51"/>
        <v>#VALUE!</v>
      </c>
      <c r="X130" s="185" t="e">
        <f t="shared" ca="1" si="51"/>
        <v>#VALUE!</v>
      </c>
      <c r="Y130" s="185" t="e">
        <f t="shared" ca="1" si="51"/>
        <v>#VALUE!</v>
      </c>
      <c r="Z130" s="185" t="e">
        <f t="shared" ca="1" si="49"/>
        <v>#VALUE!</v>
      </c>
      <c r="AA130" s="185" t="e">
        <f t="shared" ca="1" si="49"/>
        <v>#VALUE!</v>
      </c>
      <c r="AB130" s="185" t="e">
        <f t="shared" ca="1" si="49"/>
        <v>#VALUE!</v>
      </c>
      <c r="AC130" s="185" t="e">
        <f t="shared" ca="1" si="49"/>
        <v>#VALUE!</v>
      </c>
      <c r="AD130" s="185" t="e">
        <f t="shared" ca="1" si="49"/>
        <v>#VALUE!</v>
      </c>
      <c r="AE130" s="185" t="e">
        <f t="shared" ca="1" si="49"/>
        <v>#VALUE!</v>
      </c>
      <c r="AF130" s="185" t="e">
        <f t="shared" ca="1" si="49"/>
        <v>#VALUE!</v>
      </c>
      <c r="AG130" s="185" t="e">
        <f t="shared" ca="1" si="49"/>
        <v>#VALUE!</v>
      </c>
      <c r="AH130" s="185" t="e">
        <f t="shared" ca="1" si="49"/>
        <v>#VALUE!</v>
      </c>
      <c r="AI130" s="185" t="e">
        <f t="shared" ca="1" si="49"/>
        <v>#VALUE!</v>
      </c>
      <c r="AJ130" s="185" t="e">
        <f t="shared" ca="1" si="49"/>
        <v>#VALUE!</v>
      </c>
      <c r="AK130" s="185" t="e">
        <f t="shared" ca="1" si="49"/>
        <v>#VALUE!</v>
      </c>
      <c r="AL130" s="185" t="e">
        <f t="shared" ca="1" si="49"/>
        <v>#VALUE!</v>
      </c>
      <c r="AM130" s="185" t="e">
        <f t="shared" ca="1" si="49"/>
        <v>#VALUE!</v>
      </c>
      <c r="AN130" s="185" t="e">
        <f t="shared" ca="1" si="49"/>
        <v>#VALUE!</v>
      </c>
      <c r="AO130" s="185" t="e">
        <f t="shared" ca="1" si="49"/>
        <v>#VALUE!</v>
      </c>
      <c r="AP130" s="185" t="e">
        <f t="shared" ca="1" si="50"/>
        <v>#VALUE!</v>
      </c>
    </row>
    <row r="131" spans="1:42">
      <c r="A131" s="57" t="str">
        <f>'[4]TS BYDem'!A70</f>
        <v>*</v>
      </c>
      <c r="B131" s="185" t="s">
        <v>288</v>
      </c>
      <c r="C131" s="185" t="s">
        <v>137</v>
      </c>
      <c r="D131" s="185" t="str">
        <f>'[4]TS BYDem'!D70</f>
        <v>Useful Energy Service</v>
      </c>
      <c r="E131" s="185" t="s">
        <v>137</v>
      </c>
      <c r="F131" s="185" t="s">
        <v>137</v>
      </c>
      <c r="G131" s="185" t="s">
        <v>137</v>
      </c>
      <c r="H131" s="185" t="s">
        <v>137</v>
      </c>
      <c r="I131" s="185">
        <v>0</v>
      </c>
      <c r="J131" s="185" t="str">
        <f>INDEX('[4]TS BYDem'!$J$10:$J$203,MATCH(D131,'[4]TS BYDem'!$D$10:$D$203,0))</f>
        <v/>
      </c>
      <c r="K131" s="185" t="e">
        <f t="shared" ca="1" si="51"/>
        <v>#VALUE!</v>
      </c>
      <c r="L131" s="185" t="e">
        <f t="shared" ca="1" si="51"/>
        <v>#VALUE!</v>
      </c>
      <c r="M131" s="185" t="e">
        <f t="shared" ca="1" si="51"/>
        <v>#VALUE!</v>
      </c>
      <c r="N131" s="185" t="e">
        <f t="shared" ca="1" si="51"/>
        <v>#VALUE!</v>
      </c>
      <c r="O131" s="185" t="e">
        <f t="shared" ca="1" si="51"/>
        <v>#VALUE!</v>
      </c>
      <c r="P131" s="185" t="e">
        <f t="shared" ca="1" si="51"/>
        <v>#VALUE!</v>
      </c>
      <c r="Q131" s="185" t="e">
        <f t="shared" ca="1" si="51"/>
        <v>#VALUE!</v>
      </c>
      <c r="R131" s="185" t="e">
        <f t="shared" ca="1" si="51"/>
        <v>#VALUE!</v>
      </c>
      <c r="S131" s="185" t="e">
        <f t="shared" ca="1" si="51"/>
        <v>#VALUE!</v>
      </c>
      <c r="T131" s="185" t="e">
        <f t="shared" ca="1" si="51"/>
        <v>#VALUE!</v>
      </c>
      <c r="U131" s="185" t="e">
        <f t="shared" ca="1" si="51"/>
        <v>#VALUE!</v>
      </c>
      <c r="V131" s="185" t="e">
        <f t="shared" ca="1" si="51"/>
        <v>#VALUE!</v>
      </c>
      <c r="W131" s="185" t="e">
        <f t="shared" ca="1" si="51"/>
        <v>#VALUE!</v>
      </c>
      <c r="X131" s="185" t="e">
        <f t="shared" ca="1" si="51"/>
        <v>#VALUE!</v>
      </c>
      <c r="Y131" s="185" t="e">
        <f t="shared" ca="1" si="51"/>
        <v>#VALUE!</v>
      </c>
      <c r="Z131" s="185" t="e">
        <f t="shared" ca="1" si="49"/>
        <v>#VALUE!</v>
      </c>
      <c r="AA131" s="185" t="e">
        <f t="shared" ca="1" si="49"/>
        <v>#VALUE!</v>
      </c>
      <c r="AB131" s="185" t="e">
        <f t="shared" ca="1" si="49"/>
        <v>#VALUE!</v>
      </c>
      <c r="AC131" s="185" t="e">
        <f t="shared" ca="1" si="49"/>
        <v>#VALUE!</v>
      </c>
      <c r="AD131" s="185" t="e">
        <f t="shared" ca="1" si="49"/>
        <v>#VALUE!</v>
      </c>
      <c r="AE131" s="185" t="e">
        <f t="shared" ca="1" si="49"/>
        <v>#VALUE!</v>
      </c>
      <c r="AF131" s="185" t="e">
        <f t="shared" ca="1" si="49"/>
        <v>#VALUE!</v>
      </c>
      <c r="AG131" s="185" t="e">
        <f t="shared" ca="1" si="49"/>
        <v>#VALUE!</v>
      </c>
      <c r="AH131" s="185" t="e">
        <f t="shared" ca="1" si="49"/>
        <v>#VALUE!</v>
      </c>
      <c r="AI131" s="185" t="e">
        <f t="shared" ca="1" si="49"/>
        <v>#VALUE!</v>
      </c>
      <c r="AJ131" s="185" t="e">
        <f t="shared" ca="1" si="49"/>
        <v>#VALUE!</v>
      </c>
      <c r="AK131" s="185" t="e">
        <f t="shared" ca="1" si="49"/>
        <v>#VALUE!</v>
      </c>
      <c r="AL131" s="185" t="e">
        <f t="shared" ca="1" si="49"/>
        <v>#VALUE!</v>
      </c>
      <c r="AM131" s="185" t="e">
        <f t="shared" ca="1" si="49"/>
        <v>#VALUE!</v>
      </c>
      <c r="AN131" s="185" t="e">
        <f t="shared" ca="1" si="49"/>
        <v>#VALUE!</v>
      </c>
      <c r="AO131" s="185" t="e">
        <f t="shared" ca="1" si="49"/>
        <v>#VALUE!</v>
      </c>
      <c r="AP131" s="185" t="e">
        <f t="shared" ca="1" si="50"/>
        <v>#VALUE!</v>
      </c>
    </row>
    <row r="132" spans="1:42">
      <c r="A132" s="57" t="str">
        <f>'[4]TS BYDem'!A71</f>
        <v>*</v>
      </c>
      <c r="B132" s="185" t="s">
        <v>288</v>
      </c>
      <c r="C132" s="185" t="s">
        <v>137</v>
      </c>
      <c r="D132" s="185">
        <f>'[4]TS BYDem'!D71</f>
        <v>0</v>
      </c>
      <c r="E132" s="185" t="s">
        <v>137</v>
      </c>
      <c r="F132" s="185" t="s">
        <v>137</v>
      </c>
      <c r="G132" s="185" t="s">
        <v>137</v>
      </c>
      <c r="H132" s="185" t="s">
        <v>137</v>
      </c>
      <c r="I132" s="185">
        <v>0</v>
      </c>
      <c r="J132" s="185" t="str">
        <f>INDEX('[4]TS BYDem'!$J$10:$J$203,MATCH(D132,'[4]TS BYDem'!$D$10:$D$203,0))</f>
        <v/>
      </c>
      <c r="K132" s="185" t="e">
        <f t="shared" ca="1" si="51"/>
        <v>#VALUE!</v>
      </c>
      <c r="L132" s="185" t="e">
        <f t="shared" ca="1" si="51"/>
        <v>#VALUE!</v>
      </c>
      <c r="M132" s="185" t="e">
        <f t="shared" ca="1" si="51"/>
        <v>#VALUE!</v>
      </c>
      <c r="N132" s="185" t="e">
        <f t="shared" ca="1" si="51"/>
        <v>#VALUE!</v>
      </c>
      <c r="O132" s="185" t="e">
        <f t="shared" ca="1" si="51"/>
        <v>#VALUE!</v>
      </c>
      <c r="P132" s="185" t="e">
        <f t="shared" ca="1" si="51"/>
        <v>#VALUE!</v>
      </c>
      <c r="Q132" s="185" t="e">
        <f t="shared" ca="1" si="51"/>
        <v>#VALUE!</v>
      </c>
      <c r="R132" s="185" t="e">
        <f t="shared" ca="1" si="51"/>
        <v>#VALUE!</v>
      </c>
      <c r="S132" s="185" t="e">
        <f t="shared" ca="1" si="51"/>
        <v>#VALUE!</v>
      </c>
      <c r="T132" s="185" t="e">
        <f t="shared" ca="1" si="51"/>
        <v>#VALUE!</v>
      </c>
      <c r="U132" s="185" t="e">
        <f t="shared" ca="1" si="51"/>
        <v>#VALUE!</v>
      </c>
      <c r="V132" s="185" t="e">
        <f t="shared" ca="1" si="51"/>
        <v>#VALUE!</v>
      </c>
      <c r="W132" s="185" t="e">
        <f t="shared" ca="1" si="51"/>
        <v>#VALUE!</v>
      </c>
      <c r="X132" s="185" t="e">
        <f t="shared" ca="1" si="51"/>
        <v>#VALUE!</v>
      </c>
      <c r="Y132" s="185" t="e">
        <f t="shared" ca="1" si="51"/>
        <v>#VALUE!</v>
      </c>
      <c r="Z132" s="185" t="e">
        <f t="shared" ca="1" si="51"/>
        <v>#VALUE!</v>
      </c>
      <c r="AA132" s="185" t="e">
        <f t="shared" ca="1" si="49"/>
        <v>#VALUE!</v>
      </c>
      <c r="AB132" s="185" t="e">
        <f t="shared" ca="1" si="49"/>
        <v>#VALUE!</v>
      </c>
      <c r="AC132" s="185" t="e">
        <f t="shared" ca="1" si="49"/>
        <v>#VALUE!</v>
      </c>
      <c r="AD132" s="185" t="e">
        <f t="shared" ca="1" si="49"/>
        <v>#VALUE!</v>
      </c>
      <c r="AE132" s="185" t="e">
        <f t="shared" ca="1" si="49"/>
        <v>#VALUE!</v>
      </c>
      <c r="AF132" s="185" t="e">
        <f t="shared" ca="1" si="49"/>
        <v>#VALUE!</v>
      </c>
      <c r="AG132" s="185" t="e">
        <f t="shared" ca="1" si="49"/>
        <v>#VALUE!</v>
      </c>
      <c r="AH132" s="185" t="e">
        <f t="shared" ca="1" si="49"/>
        <v>#VALUE!</v>
      </c>
      <c r="AI132" s="185" t="e">
        <f t="shared" ca="1" si="49"/>
        <v>#VALUE!</v>
      </c>
      <c r="AJ132" s="185" t="e">
        <f t="shared" ca="1" si="49"/>
        <v>#VALUE!</v>
      </c>
      <c r="AK132" s="185" t="e">
        <f t="shared" ca="1" si="49"/>
        <v>#VALUE!</v>
      </c>
      <c r="AL132" s="185" t="e">
        <f t="shared" ca="1" si="49"/>
        <v>#VALUE!</v>
      </c>
      <c r="AM132" s="185" t="e">
        <f t="shared" ca="1" si="49"/>
        <v>#VALUE!</v>
      </c>
      <c r="AN132" s="185" t="e">
        <f t="shared" ca="1" si="49"/>
        <v>#VALUE!</v>
      </c>
      <c r="AO132" s="185" t="e">
        <f t="shared" ca="1" si="49"/>
        <v>#VALUE!</v>
      </c>
      <c r="AP132" s="185" t="e">
        <f t="shared" ca="1" si="50"/>
        <v>#VALUE!</v>
      </c>
    </row>
    <row r="133" spans="1:42" s="5" customFormat="1">
      <c r="A133" s="57" t="str">
        <f>'[4]TS BYDem'!A70</f>
        <v>*</v>
      </c>
      <c r="B133" s="5">
        <f>B112+1</f>
        <v>4</v>
      </c>
      <c r="C133" s="3" t="str">
        <f ca="1">OFFSET($C$9,$B133,0)</f>
        <v>Chemicals</v>
      </c>
      <c r="D133" s="3" t="str">
        <f ca="1">OFFSET($B$9,$B133,0)</f>
        <v>CP</v>
      </c>
      <c r="J133" s="5">
        <f ca="1">SUMIF($B$10:$B$22,$D133,J$10:J$22)*SUMIF($B$10:$B$22,$D133,J$41:J$53)</f>
        <v>52.810230956688748</v>
      </c>
      <c r="K133" s="5">
        <f t="shared" ref="K133:AP133" ca="1" si="52">SUMIF($B$10:$B$22,$D133,K$10:K$22)*SUMIF($B$10:$B$22,$D133,K$41:K$53)</f>
        <v>54.390999999999998</v>
      </c>
      <c r="L133" s="5">
        <f t="shared" ca="1" si="52"/>
        <v>55.515000000000001</v>
      </c>
      <c r="M133" s="5">
        <f t="shared" ca="1" si="52"/>
        <v>56.133000000000003</v>
      </c>
      <c r="N133" s="5">
        <f t="shared" ca="1" si="52"/>
        <v>56.734999999999999</v>
      </c>
      <c r="O133" s="5">
        <f t="shared" ca="1" si="52"/>
        <v>57.222000000000001</v>
      </c>
      <c r="P133" s="5">
        <f t="shared" ca="1" si="52"/>
        <v>57.87</v>
      </c>
      <c r="Q133" s="5">
        <f t="shared" ca="1" si="52"/>
        <v>57.747999999999998</v>
      </c>
      <c r="R133" s="5">
        <f t="shared" ca="1" si="52"/>
        <v>53.228999999999999</v>
      </c>
      <c r="S133" s="5">
        <f t="shared" ca="1" si="52"/>
        <v>57.460274675551815</v>
      </c>
      <c r="T133" s="3">
        <f t="shared" ca="1" si="52"/>
        <v>58.089592787566339</v>
      </c>
      <c r="U133" s="5">
        <f t="shared" ca="1" si="52"/>
        <v>58.751071541984068</v>
      </c>
      <c r="V133" s="5">
        <f t="shared" ca="1" si="52"/>
        <v>59.488135049959148</v>
      </c>
      <c r="W133" s="5">
        <f t="shared" ca="1" si="52"/>
        <v>60.217949146571847</v>
      </c>
      <c r="X133" s="5">
        <f t="shared" ca="1" si="52"/>
        <v>61.828285669583188</v>
      </c>
      <c r="Y133" s="5">
        <f t="shared" ca="1" si="52"/>
        <v>63.45990869087349</v>
      </c>
      <c r="Z133" s="5">
        <f t="shared" ca="1" si="52"/>
        <v>65.223740974566454</v>
      </c>
      <c r="AA133" s="5">
        <f t="shared" ca="1" si="52"/>
        <v>67.023934528678637</v>
      </c>
      <c r="AB133" s="5">
        <f ca="1">SUMIF($B$10:$B$22,$D133,AB$10:AB$22)*SUMIF($B$10:$B$22,$D133,AB$40:AB$53)</f>
        <v>68.599396809248773</v>
      </c>
      <c r="AC133" s="5">
        <f t="shared" ca="1" si="52"/>
        <v>70.426432832893113</v>
      </c>
      <c r="AD133" s="5">
        <f t="shared" ca="1" si="52"/>
        <v>72.337720056565772</v>
      </c>
      <c r="AE133" s="5">
        <f t="shared" ca="1" si="52"/>
        <v>74.245054802136565</v>
      </c>
      <c r="AF133" s="5">
        <f t="shared" ca="1" si="52"/>
        <v>76.11922776695242</v>
      </c>
      <c r="AG133" s="5">
        <f t="shared" ca="1" si="52"/>
        <v>78.167431761519637</v>
      </c>
      <c r="AH133" s="5">
        <f t="shared" ca="1" si="52"/>
        <v>80.161294575858804</v>
      </c>
      <c r="AI133" s="5">
        <f t="shared" ca="1" si="52"/>
        <v>82.235763763794935</v>
      </c>
      <c r="AJ133" s="5">
        <f t="shared" ca="1" si="52"/>
        <v>84.276722477688466</v>
      </c>
      <c r="AK133" s="5">
        <f t="shared" ca="1" si="52"/>
        <v>86.388987879569868</v>
      </c>
      <c r="AL133" s="5">
        <f t="shared" ca="1" si="52"/>
        <v>88.628676674493676</v>
      </c>
      <c r="AM133" s="5">
        <f t="shared" ca="1" si="52"/>
        <v>101.20050677887698</v>
      </c>
      <c r="AN133" s="5">
        <f t="shared" ca="1" si="52"/>
        <v>115.4394254511642</v>
      </c>
      <c r="AO133" s="5">
        <f t="shared" ca="1" si="52"/>
        <v>141.97232613318374</v>
      </c>
      <c r="AP133" s="5">
        <f t="shared" ca="1" si="52"/>
        <v>168.7830749098548</v>
      </c>
    </row>
    <row r="134" spans="1:42">
      <c r="A134" s="57" t="str">
        <f>'[4]TS BYDem'!A73</f>
        <v/>
      </c>
      <c r="B134" s="185" t="s">
        <v>288</v>
      </c>
      <c r="C134" s="185" t="s">
        <v>137</v>
      </c>
      <c r="D134" s="185" t="str">
        <f>'[4]TS BYDem'!D73</f>
        <v>ICPK</v>
      </c>
      <c r="E134" s="185" t="s">
        <v>137</v>
      </c>
      <c r="F134" s="185" t="s">
        <v>137</v>
      </c>
      <c r="G134" s="185" t="s">
        <v>137</v>
      </c>
      <c r="H134" s="185" t="s">
        <v>137</v>
      </c>
      <c r="I134" s="185">
        <v>0</v>
      </c>
      <c r="J134" s="185">
        <f>INDEX('[4]TS BYDem'!$J$10:$J$203,MATCH(D134,'[4]TS BYDem'!$D$10:$D$203,0))</f>
        <v>0.55647663194961794</v>
      </c>
      <c r="K134" s="185">
        <f ca="1">K$133/J$133*J134</f>
        <v>0.57313365118957349</v>
      </c>
      <c r="L134" s="185">
        <f t="shared" ref="L134:AA134" ca="1" si="53">L$133/K$133*K134</f>
        <v>0.5849775633062303</v>
      </c>
      <c r="M134" s="192">
        <f t="shared" ref="M134:M142" si="54">O134</f>
        <v>0.80918000000000012</v>
      </c>
      <c r="N134" s="192">
        <f t="shared" ref="N134:N142" si="55">O134</f>
        <v>0.80918000000000012</v>
      </c>
      <c r="O134" s="192">
        <f>INDEX('[4]TS BYDem'!$O$10:$O$203,MATCH(D134,'[4]TS BYDem'!$D$10:$D$203,0))</f>
        <v>0.80918000000000012</v>
      </c>
      <c r="P134" s="185">
        <f t="shared" ca="1" si="53"/>
        <v>0.81834340987732002</v>
      </c>
      <c r="Q134" s="185">
        <f t="shared" ca="1" si="53"/>
        <v>0.81661819999300989</v>
      </c>
      <c r="R134" s="185">
        <f t="shared" ca="1" si="53"/>
        <v>0.75271472895040392</v>
      </c>
      <c r="S134" s="185">
        <f t="shared" ca="1" si="53"/>
        <v>0.81254945758559693</v>
      </c>
      <c r="T134" s="185">
        <f t="shared" ca="1" si="53"/>
        <v>0.821448685677588</v>
      </c>
      <c r="U134" s="185">
        <f t="shared" ca="1" si="53"/>
        <v>0.8308026994922002</v>
      </c>
      <c r="V134" s="185">
        <f t="shared" ca="1" si="53"/>
        <v>0.84122556219156885</v>
      </c>
      <c r="W134" s="185">
        <f t="shared" ca="1" si="53"/>
        <v>0.8515459104963653</v>
      </c>
      <c r="X134" s="185">
        <f t="shared" ca="1" si="53"/>
        <v>0.87431778333706145</v>
      </c>
      <c r="Y134" s="185">
        <f t="shared" ca="1" si="53"/>
        <v>0.89739066992557093</v>
      </c>
      <c r="Z134" s="185">
        <f t="shared" ca="1" si="53"/>
        <v>0.92233313623780511</v>
      </c>
      <c r="AA134" s="185">
        <f t="shared" ca="1" si="53"/>
        <v>0.94778978962490257</v>
      </c>
      <c r="AB134" s="185">
        <f t="shared" ref="AA134:AP149" ca="1" si="56">AB$133/AA$133*AA134</f>
        <v>0.97006850354947249</v>
      </c>
      <c r="AC134" s="185">
        <f t="shared" ca="1" si="56"/>
        <v>0.99590473803293222</v>
      </c>
      <c r="AD134" s="185">
        <f t="shared" ca="1" si="56"/>
        <v>1.0229323741807677</v>
      </c>
      <c r="AE134" s="185">
        <f t="shared" ca="1" si="56"/>
        <v>1.0499041180803339</v>
      </c>
      <c r="AF134" s="185">
        <f t="shared" ca="1" si="56"/>
        <v>1.076406919095148</v>
      </c>
      <c r="AG134" s="185">
        <f t="shared" ca="1" si="56"/>
        <v>1.1053707041485172</v>
      </c>
      <c r="AH134" s="185">
        <f t="shared" ca="1" si="56"/>
        <v>1.1335660470604561</v>
      </c>
      <c r="AI134" s="185">
        <f t="shared" ca="1" si="56"/>
        <v>1.1629012499106564</v>
      </c>
      <c r="AJ134" s="185">
        <f t="shared" ca="1" si="56"/>
        <v>1.1917625789817894</v>
      </c>
      <c r="AK134" s="185">
        <f t="shared" ca="1" si="56"/>
        <v>1.2216322605359886</v>
      </c>
      <c r="AL134" s="185">
        <f t="shared" ca="1" si="56"/>
        <v>1.2533038445260003</v>
      </c>
      <c r="AM134" s="185">
        <f t="shared" ca="1" si="56"/>
        <v>1.4310829064928117</v>
      </c>
      <c r="AN134" s="185">
        <f t="shared" ca="1" si="56"/>
        <v>1.632436375634774</v>
      </c>
      <c r="AO134" s="185">
        <f t="shared" ca="1" si="56"/>
        <v>2.0076398388810177</v>
      </c>
      <c r="AP134" s="185">
        <f t="shared" ca="1" si="56"/>
        <v>2.3867723699897994</v>
      </c>
    </row>
    <row r="135" spans="1:42">
      <c r="A135" s="57" t="str">
        <f>'[4]TS BYDem'!A74</f>
        <v/>
      </c>
      <c r="B135" s="185" t="s">
        <v>288</v>
      </c>
      <c r="C135" s="185" t="s">
        <v>137</v>
      </c>
      <c r="D135" s="185" t="str">
        <f>'[4]TS BYDem'!D74</f>
        <v>ICPA</v>
      </c>
      <c r="E135" s="185" t="s">
        <v>137</v>
      </c>
      <c r="F135" s="185" t="s">
        <v>137</v>
      </c>
      <c r="G135" s="185" t="s">
        <v>137</v>
      </c>
      <c r="H135" s="185" t="s">
        <v>137</v>
      </c>
      <c r="I135" s="185">
        <v>0</v>
      </c>
      <c r="J135" s="185">
        <f>INDEX('[4]TS BYDem'!$J$10:$J$203,MATCH(D135,'[4]TS BYDem'!$D$10:$D$203,0))</f>
        <v>0.2086787369811067</v>
      </c>
      <c r="K135" s="185">
        <f t="shared" ref="K135:Z150" ca="1" si="57">K$133/J$133*J135</f>
        <v>0.21492511919609003</v>
      </c>
      <c r="L135" s="185">
        <f t="shared" ca="1" si="57"/>
        <v>0.21936658623983632</v>
      </c>
      <c r="M135" s="192">
        <f t="shared" si="54"/>
        <v>0.30344250000000006</v>
      </c>
      <c r="N135" s="192">
        <f t="shared" si="55"/>
        <v>0.30344250000000006</v>
      </c>
      <c r="O135" s="192">
        <f>INDEX('[4]TS BYDem'!$O$10:$O$203,MATCH(D135,'[4]TS BYDem'!$D$10:$D$203,0))</f>
        <v>0.30344250000000006</v>
      </c>
      <c r="P135" s="185">
        <f t="shared" ca="1" si="57"/>
        <v>0.30687877870399505</v>
      </c>
      <c r="Q135" s="185">
        <f t="shared" ca="1" si="57"/>
        <v>0.30623182499737872</v>
      </c>
      <c r="R135" s="185">
        <f t="shared" ca="1" si="57"/>
        <v>0.2822680233564015</v>
      </c>
      <c r="S135" s="185">
        <f t="shared" ca="1" si="57"/>
        <v>0.30470604659459888</v>
      </c>
      <c r="T135" s="185">
        <f t="shared" ca="1" si="57"/>
        <v>0.30804325712909553</v>
      </c>
      <c r="U135" s="185">
        <f t="shared" ca="1" si="57"/>
        <v>0.3115510123095751</v>
      </c>
      <c r="V135" s="185">
        <f t="shared" ca="1" si="57"/>
        <v>0.31545958582183836</v>
      </c>
      <c r="W135" s="185">
        <f t="shared" ca="1" si="57"/>
        <v>0.319329716436137</v>
      </c>
      <c r="X135" s="185">
        <f t="shared" ca="1" si="57"/>
        <v>0.3278691687513981</v>
      </c>
      <c r="Y135" s="185">
        <f t="shared" ca="1" si="57"/>
        <v>0.33652150122208913</v>
      </c>
      <c r="Z135" s="185">
        <f t="shared" ca="1" si="57"/>
        <v>0.34587492608917697</v>
      </c>
      <c r="AA135" s="185">
        <f t="shared" ca="1" si="56"/>
        <v>0.35542117110933852</v>
      </c>
      <c r="AB135" s="185">
        <f t="shared" ca="1" si="56"/>
        <v>0.36377568883105221</v>
      </c>
      <c r="AC135" s="185">
        <f t="shared" ca="1" si="56"/>
        <v>0.37346427676234961</v>
      </c>
      <c r="AD135" s="185">
        <f t="shared" ca="1" si="56"/>
        <v>0.38359964031778787</v>
      </c>
      <c r="AE135" s="185">
        <f t="shared" ca="1" si="56"/>
        <v>0.39371404428012519</v>
      </c>
      <c r="AF135" s="185">
        <f t="shared" ca="1" si="56"/>
        <v>0.40365259466068049</v>
      </c>
      <c r="AG135" s="185">
        <f t="shared" ca="1" si="56"/>
        <v>0.41451401405569399</v>
      </c>
      <c r="AH135" s="185">
        <f t="shared" ca="1" si="56"/>
        <v>0.42508726764767102</v>
      </c>
      <c r="AI135" s="185">
        <f t="shared" ca="1" si="56"/>
        <v>0.43608796871649608</v>
      </c>
      <c r="AJ135" s="185">
        <f t="shared" ca="1" si="56"/>
        <v>0.44691096711817091</v>
      </c>
      <c r="AK135" s="185">
        <f t="shared" ca="1" si="56"/>
        <v>0.45811209770099565</v>
      </c>
      <c r="AL135" s="185">
        <f t="shared" ca="1" si="56"/>
        <v>0.46998894169725003</v>
      </c>
      <c r="AM135" s="185">
        <f t="shared" ca="1" si="56"/>
        <v>0.53665608993480429</v>
      </c>
      <c r="AN135" s="185">
        <f t="shared" ca="1" si="56"/>
        <v>0.61216364086304009</v>
      </c>
      <c r="AO135" s="185">
        <f t="shared" ca="1" si="56"/>
        <v>0.75286493958038148</v>
      </c>
      <c r="AP135" s="185">
        <f t="shared" ca="1" si="56"/>
        <v>0.89503963874617454</v>
      </c>
    </row>
    <row r="136" spans="1:42">
      <c r="A136" s="57" t="str">
        <f>'[4]TS BYDem'!A75</f>
        <v/>
      </c>
      <c r="B136" s="185" t="s">
        <v>288</v>
      </c>
      <c r="C136" s="185" t="s">
        <v>137</v>
      </c>
      <c r="D136" s="185" t="str">
        <f>'[4]TS BYDem'!D75</f>
        <v>ICPL</v>
      </c>
      <c r="E136" s="185" t="s">
        <v>137</v>
      </c>
      <c r="F136" s="185" t="s">
        <v>137</v>
      </c>
      <c r="G136" s="185" t="s">
        <v>137</v>
      </c>
      <c r="H136" s="185" t="s">
        <v>137</v>
      </c>
      <c r="I136" s="185">
        <v>0</v>
      </c>
      <c r="J136" s="185">
        <f>INDEX('[4]TS BYDem'!$J$10:$J$203,MATCH(D136,'[4]TS BYDem'!$D$10:$D$203,0))</f>
        <v>0.3338859791697707</v>
      </c>
      <c r="K136" s="185">
        <f t="shared" ca="1" si="57"/>
        <v>0.34388019071374404</v>
      </c>
      <c r="L136" s="185">
        <f t="shared" ca="1" si="57"/>
        <v>0.35098653798373813</v>
      </c>
      <c r="M136" s="192">
        <f t="shared" si="54"/>
        <v>0.48550800000000005</v>
      </c>
      <c r="N136" s="192">
        <f t="shared" si="55"/>
        <v>0.48550800000000005</v>
      </c>
      <c r="O136" s="192">
        <f>INDEX('[4]TS BYDem'!$O$10:$O$203,MATCH(D136,'[4]TS BYDem'!$D$10:$D$203,0))</f>
        <v>0.48550800000000005</v>
      </c>
      <c r="P136" s="185">
        <f t="shared" ca="1" si="57"/>
        <v>0.49100604592639202</v>
      </c>
      <c r="Q136" s="185">
        <f t="shared" ca="1" si="57"/>
        <v>0.48997091999580589</v>
      </c>
      <c r="R136" s="185">
        <f t="shared" ca="1" si="57"/>
        <v>0.45162883737024234</v>
      </c>
      <c r="S136" s="185">
        <f t="shared" ca="1" si="57"/>
        <v>0.48752967455135815</v>
      </c>
      <c r="T136" s="185">
        <f t="shared" ca="1" si="57"/>
        <v>0.49286921140655277</v>
      </c>
      <c r="U136" s="185">
        <f t="shared" ca="1" si="57"/>
        <v>0.49848161969532012</v>
      </c>
      <c r="V136" s="185">
        <f t="shared" ca="1" si="57"/>
        <v>0.50473533731494136</v>
      </c>
      <c r="W136" s="185">
        <f t="shared" ca="1" si="57"/>
        <v>0.51092754629781922</v>
      </c>
      <c r="X136" s="185">
        <f t="shared" ca="1" si="57"/>
        <v>0.52459067000223691</v>
      </c>
      <c r="Y136" s="185">
        <f t="shared" ca="1" si="57"/>
        <v>0.53843440195534265</v>
      </c>
      <c r="Z136" s="185">
        <f t="shared" ca="1" si="57"/>
        <v>0.55339988174268318</v>
      </c>
      <c r="AA136" s="185">
        <f t="shared" ca="1" si="56"/>
        <v>0.56867387377494172</v>
      </c>
      <c r="AB136" s="185">
        <f t="shared" ca="1" si="56"/>
        <v>0.58204110212968363</v>
      </c>
      <c r="AC136" s="185">
        <f t="shared" ca="1" si="56"/>
        <v>0.59754284281975945</v>
      </c>
      <c r="AD136" s="185">
        <f t="shared" ca="1" si="56"/>
        <v>0.61375942450846066</v>
      </c>
      <c r="AE136" s="185">
        <f t="shared" ca="1" si="56"/>
        <v>0.62994247084820032</v>
      </c>
      <c r="AF136" s="185">
        <f t="shared" ca="1" si="56"/>
        <v>0.64584415145708884</v>
      </c>
      <c r="AG136" s="185">
        <f t="shared" ca="1" si="56"/>
        <v>0.66322242248911045</v>
      </c>
      <c r="AH136" s="185">
        <f t="shared" ca="1" si="56"/>
        <v>0.68013962823627372</v>
      </c>
      <c r="AI136" s="185">
        <f t="shared" ca="1" si="56"/>
        <v>0.6977407499463939</v>
      </c>
      <c r="AJ136" s="185">
        <f t="shared" ca="1" si="56"/>
        <v>0.71505754738907368</v>
      </c>
      <c r="AK136" s="185">
        <f t="shared" ca="1" si="56"/>
        <v>0.73297935632159328</v>
      </c>
      <c r="AL136" s="185">
        <f t="shared" ca="1" si="56"/>
        <v>0.75198230671560029</v>
      </c>
      <c r="AM136" s="185">
        <f t="shared" ca="1" si="56"/>
        <v>0.85864974389568716</v>
      </c>
      <c r="AN136" s="185">
        <f t="shared" ca="1" si="56"/>
        <v>0.97946182538086446</v>
      </c>
      <c r="AO136" s="185">
        <f t="shared" ca="1" si="56"/>
        <v>1.2045839033286108</v>
      </c>
      <c r="AP136" s="185">
        <f t="shared" ca="1" si="56"/>
        <v>1.4320634219938797</v>
      </c>
    </row>
    <row r="137" spans="1:42">
      <c r="A137" s="57" t="str">
        <f>'[4]TS BYDem'!A76</f>
        <v/>
      </c>
      <c r="B137" s="185" t="s">
        <v>288</v>
      </c>
      <c r="C137" s="185" t="s">
        <v>137</v>
      </c>
      <c r="D137" s="185" t="str">
        <f>'[4]TS BYDem'!D76</f>
        <v>ICPC</v>
      </c>
      <c r="E137" s="185" t="s">
        <v>137</v>
      </c>
      <c r="F137" s="185" t="s">
        <v>137</v>
      </c>
      <c r="G137" s="185" t="s">
        <v>137</v>
      </c>
      <c r="H137" s="185" t="s">
        <v>137</v>
      </c>
      <c r="I137" s="185">
        <v>0</v>
      </c>
      <c r="J137" s="185">
        <f>INDEX('[4]TS BYDem'!$J$10:$J$203,MATCH(D137,'[4]TS BYDem'!$D$10:$D$203,0))</f>
        <v>2.7823831597480893</v>
      </c>
      <c r="K137" s="185">
        <f ca="1">K$133/J$133*J137</f>
        <v>2.8656682559478672</v>
      </c>
      <c r="L137" s="185">
        <f t="shared" ca="1" si="57"/>
        <v>2.9248878165311512</v>
      </c>
      <c r="M137" s="192">
        <f t="shared" si="54"/>
        <v>4.0459000000000005</v>
      </c>
      <c r="N137" s="192">
        <f t="shared" si="55"/>
        <v>4.0459000000000005</v>
      </c>
      <c r="O137" s="192">
        <f>INDEX('[4]TS BYDem'!$O$10:$O$203,MATCH(D137,'[4]TS BYDem'!$D$10:$D$203,0))</f>
        <v>4.0459000000000005</v>
      </c>
      <c r="P137" s="185">
        <f t="shared" ca="1" si="57"/>
        <v>4.0917170493866006</v>
      </c>
      <c r="Q137" s="185">
        <f t="shared" ca="1" si="57"/>
        <v>4.0830909999650498</v>
      </c>
      <c r="R137" s="185">
        <f t="shared" ca="1" si="57"/>
        <v>3.7635736447520198</v>
      </c>
      <c r="S137" s="185">
        <f t="shared" ca="1" si="57"/>
        <v>4.0627472879279853</v>
      </c>
      <c r="T137" s="185">
        <f t="shared" ca="1" si="57"/>
        <v>4.1072434283879407</v>
      </c>
      <c r="U137" s="185">
        <f t="shared" ca="1" si="57"/>
        <v>4.1540134974610021</v>
      </c>
      <c r="V137" s="185">
        <f t="shared" ca="1" si="57"/>
        <v>4.2061278109578453</v>
      </c>
      <c r="W137" s="185">
        <f t="shared" ca="1" si="57"/>
        <v>4.2577295524818277</v>
      </c>
      <c r="X137" s="185">
        <f t="shared" ca="1" si="57"/>
        <v>4.371588916685309</v>
      </c>
      <c r="Y137" s="185">
        <f t="shared" ca="1" si="57"/>
        <v>4.4869533496278562</v>
      </c>
      <c r="Z137" s="185">
        <f t="shared" ca="1" si="57"/>
        <v>4.6116656811890273</v>
      </c>
      <c r="AA137" s="185">
        <f t="shared" ca="1" si="56"/>
        <v>4.7389489481245146</v>
      </c>
      <c r="AB137" s="185">
        <f t="shared" ca="1" si="56"/>
        <v>4.8503425177473645</v>
      </c>
      <c r="AC137" s="185">
        <f t="shared" ca="1" si="56"/>
        <v>4.9795236901646627</v>
      </c>
      <c r="AD137" s="185">
        <f t="shared" ca="1" si="56"/>
        <v>5.1146618709038396</v>
      </c>
      <c r="AE137" s="185">
        <f t="shared" ca="1" si="56"/>
        <v>5.2495205904016702</v>
      </c>
      <c r="AF137" s="185">
        <f t="shared" ca="1" si="56"/>
        <v>5.3820345954757407</v>
      </c>
      <c r="AG137" s="185">
        <f t="shared" ca="1" si="56"/>
        <v>5.5268535207425877</v>
      </c>
      <c r="AH137" s="185">
        <f t="shared" ca="1" si="56"/>
        <v>5.667830235302282</v>
      </c>
      <c r="AI137" s="185">
        <f t="shared" ca="1" si="56"/>
        <v>5.8145062495532835</v>
      </c>
      <c r="AJ137" s="185">
        <f t="shared" ca="1" si="56"/>
        <v>5.9588128949089487</v>
      </c>
      <c r="AK137" s="185">
        <f t="shared" ca="1" si="56"/>
        <v>6.1081613026799451</v>
      </c>
      <c r="AL137" s="185">
        <f t="shared" ca="1" si="56"/>
        <v>6.266519222630003</v>
      </c>
      <c r="AM137" s="185">
        <f t="shared" ca="1" si="56"/>
        <v>7.1554145324640599</v>
      </c>
      <c r="AN137" s="185">
        <f t="shared" ca="1" si="56"/>
        <v>8.1621818781738718</v>
      </c>
      <c r="AO137" s="185">
        <f t="shared" ca="1" si="56"/>
        <v>10.038199194405092</v>
      </c>
      <c r="AP137" s="185">
        <f t="shared" ca="1" si="56"/>
        <v>11.933861849949</v>
      </c>
    </row>
    <row r="138" spans="1:42">
      <c r="A138" s="57" t="str">
        <f>'[4]TS BYDem'!A77</f>
        <v/>
      </c>
      <c r="B138" s="185" t="s">
        <v>288</v>
      </c>
      <c r="C138" s="185" t="s">
        <v>137</v>
      </c>
      <c r="D138" s="185" t="str">
        <f>'[4]TS BYDem'!D77</f>
        <v>ICPH</v>
      </c>
      <c r="E138" s="185" t="s">
        <v>137</v>
      </c>
      <c r="F138" s="185" t="s">
        <v>137</v>
      </c>
      <c r="G138" s="185" t="s">
        <v>137</v>
      </c>
      <c r="H138" s="185" t="s">
        <v>137</v>
      </c>
      <c r="I138" s="185">
        <v>0</v>
      </c>
      <c r="J138" s="185">
        <f>INDEX('[4]TS BYDem'!$J$10:$J$203,MATCH(D138,'[4]TS BYDem'!$D$10:$D$203,0))</f>
        <v>0.5008289687546561</v>
      </c>
      <c r="K138" s="185">
        <f t="shared" ref="K138:O153" ca="1" si="58">K$133/J$133*J138</f>
        <v>0.51582028607061614</v>
      </c>
      <c r="L138" s="185">
        <f t="shared" ca="1" si="57"/>
        <v>0.52647980697560726</v>
      </c>
      <c r="M138" s="192">
        <f t="shared" si="54"/>
        <v>0.72826200000000008</v>
      </c>
      <c r="N138" s="192">
        <f t="shared" si="55"/>
        <v>0.72826200000000008</v>
      </c>
      <c r="O138" s="192">
        <f>INDEX('[4]TS BYDem'!$O$10:$O$203,MATCH(D138,'[4]TS BYDem'!$D$10:$D$203,0))</f>
        <v>0.72826200000000008</v>
      </c>
      <c r="P138" s="185">
        <f t="shared" ca="1" si="57"/>
        <v>0.736509068889588</v>
      </c>
      <c r="Q138" s="185">
        <f t="shared" ca="1" si="57"/>
        <v>0.73495637999370889</v>
      </c>
      <c r="R138" s="185">
        <f t="shared" ca="1" si="57"/>
        <v>0.67744325605536349</v>
      </c>
      <c r="S138" s="185">
        <f t="shared" ca="1" si="57"/>
        <v>0.7312945118270372</v>
      </c>
      <c r="T138" s="185">
        <f t="shared" ca="1" si="57"/>
        <v>0.73930381710982918</v>
      </c>
      <c r="U138" s="185">
        <f t="shared" ca="1" si="57"/>
        <v>0.74772242954298018</v>
      </c>
      <c r="V138" s="185">
        <f t="shared" ca="1" si="57"/>
        <v>0.75710300597241198</v>
      </c>
      <c r="W138" s="185">
        <f t="shared" ca="1" si="57"/>
        <v>0.76639131944672878</v>
      </c>
      <c r="X138" s="185">
        <f t="shared" ca="1" si="57"/>
        <v>0.78688600500335537</v>
      </c>
      <c r="Y138" s="185">
        <f t="shared" ca="1" si="57"/>
        <v>0.80765160293301386</v>
      </c>
      <c r="Z138" s="185">
        <f t="shared" ca="1" si="57"/>
        <v>0.83009982261402471</v>
      </c>
      <c r="AA138" s="185">
        <f t="shared" ca="1" si="56"/>
        <v>0.85301081066241247</v>
      </c>
      <c r="AB138" s="185">
        <f t="shared" ca="1" si="56"/>
        <v>0.87306165319452533</v>
      </c>
      <c r="AC138" s="185">
        <f t="shared" ca="1" si="56"/>
        <v>0.89631426422963911</v>
      </c>
      <c r="AD138" s="185">
        <f t="shared" ca="1" si="56"/>
        <v>0.92063913676269094</v>
      </c>
      <c r="AE138" s="185">
        <f t="shared" ca="1" si="56"/>
        <v>0.94491370627230054</v>
      </c>
      <c r="AF138" s="185">
        <f t="shared" ca="1" si="56"/>
        <v>0.96876622718563321</v>
      </c>
      <c r="AG138" s="185">
        <f t="shared" ca="1" si="56"/>
        <v>0.99483363373366562</v>
      </c>
      <c r="AH138" s="185">
        <f t="shared" ca="1" si="56"/>
        <v>1.0202094423544106</v>
      </c>
      <c r="AI138" s="185">
        <f t="shared" ca="1" si="56"/>
        <v>1.0466111249195909</v>
      </c>
      <c r="AJ138" s="185">
        <f t="shared" ca="1" si="56"/>
        <v>1.0725863210836106</v>
      </c>
      <c r="AK138" s="185">
        <f t="shared" ca="1" si="56"/>
        <v>1.0994690344823901</v>
      </c>
      <c r="AL138" s="185">
        <f t="shared" ca="1" si="56"/>
        <v>1.1279734600734006</v>
      </c>
      <c r="AM138" s="185">
        <f t="shared" ca="1" si="56"/>
        <v>1.287974615843531</v>
      </c>
      <c r="AN138" s="185">
        <f t="shared" ca="1" si="56"/>
        <v>1.469192738071297</v>
      </c>
      <c r="AO138" s="185">
        <f t="shared" ca="1" si="56"/>
        <v>1.8068758549929165</v>
      </c>
      <c r="AP138" s="185">
        <f t="shared" ca="1" si="56"/>
        <v>2.1480951329908198</v>
      </c>
    </row>
    <row r="139" spans="1:42">
      <c r="A139" s="57" t="str">
        <f>'[4]TS BYDem'!A78</f>
        <v/>
      </c>
      <c r="B139" s="185" t="s">
        <v>288</v>
      </c>
      <c r="C139" s="185" t="s">
        <v>137</v>
      </c>
      <c r="D139" s="185" t="str">
        <f>'[4]TS BYDem'!D78</f>
        <v>ICPP</v>
      </c>
      <c r="E139" s="185" t="s">
        <v>137</v>
      </c>
      <c r="F139" s="185" t="s">
        <v>137</v>
      </c>
      <c r="G139" s="185" t="s">
        <v>137</v>
      </c>
      <c r="H139" s="185" t="s">
        <v>137</v>
      </c>
      <c r="I139" s="185">
        <v>0</v>
      </c>
      <c r="J139" s="185">
        <f>INDEX('[4]TS BYDem'!$J$10:$J$203,MATCH(D139,'[4]TS BYDem'!$D$10:$D$203,0))</f>
        <v>7.7906728472946494</v>
      </c>
      <c r="K139" s="185">
        <f t="shared" ca="1" si="58"/>
        <v>8.0238711166540284</v>
      </c>
      <c r="L139" s="185">
        <f t="shared" ca="1" si="57"/>
        <v>8.1896858862872239</v>
      </c>
      <c r="M139" s="192">
        <f t="shared" si="54"/>
        <v>11.328520000000001</v>
      </c>
      <c r="N139" s="192">
        <f t="shared" si="55"/>
        <v>11.328520000000001</v>
      </c>
      <c r="O139" s="192">
        <f>INDEX('[4]TS BYDem'!$O$10:$O$203,MATCH(D139,'[4]TS BYDem'!$D$10:$D$203,0))</f>
        <v>11.328520000000001</v>
      </c>
      <c r="P139" s="185">
        <f t="shared" ca="1" si="57"/>
        <v>11.45680773828248</v>
      </c>
      <c r="Q139" s="185">
        <f t="shared" ca="1" si="57"/>
        <v>11.432654799902137</v>
      </c>
      <c r="R139" s="185">
        <f t="shared" ca="1" si="57"/>
        <v>10.538006205305654</v>
      </c>
      <c r="S139" s="185">
        <f t="shared" ca="1" si="57"/>
        <v>11.375692406198358</v>
      </c>
      <c r="T139" s="185">
        <f t="shared" ca="1" si="57"/>
        <v>11.500281599486232</v>
      </c>
      <c r="U139" s="185">
        <f t="shared" ca="1" si="57"/>
        <v>11.631237792890804</v>
      </c>
      <c r="V139" s="185">
        <f t="shared" ca="1" si="57"/>
        <v>11.777157870681965</v>
      </c>
      <c r="W139" s="185">
        <f t="shared" ca="1" si="57"/>
        <v>11.921642746949114</v>
      </c>
      <c r="X139" s="185">
        <f t="shared" ca="1" si="57"/>
        <v>12.240448966718862</v>
      </c>
      <c r="Y139" s="185">
        <f t="shared" ca="1" si="57"/>
        <v>12.563469378957995</v>
      </c>
      <c r="Z139" s="185">
        <f t="shared" ca="1" si="57"/>
        <v>12.912663907329275</v>
      </c>
      <c r="AA139" s="185">
        <f t="shared" ca="1" si="56"/>
        <v>13.26905705474864</v>
      </c>
      <c r="AB139" s="185">
        <f t="shared" ca="1" si="56"/>
        <v>13.580959049692618</v>
      </c>
      <c r="AC139" s="185">
        <f t="shared" ca="1" si="56"/>
        <v>13.942666332461053</v>
      </c>
      <c r="AD139" s="185">
        <f t="shared" ca="1" si="56"/>
        <v>14.32105323853075</v>
      </c>
      <c r="AE139" s="185">
        <f t="shared" ca="1" si="56"/>
        <v>14.698657653124677</v>
      </c>
      <c r="AF139" s="185">
        <f t="shared" ca="1" si="56"/>
        <v>15.069696867332075</v>
      </c>
      <c r="AG139" s="185">
        <f t="shared" ca="1" si="56"/>
        <v>15.475189858079245</v>
      </c>
      <c r="AH139" s="185">
        <f t="shared" ca="1" si="56"/>
        <v>15.869924658846388</v>
      </c>
      <c r="AI139" s="185">
        <f t="shared" ca="1" si="56"/>
        <v>16.280617498749191</v>
      </c>
      <c r="AJ139" s="185">
        <f t="shared" ca="1" si="56"/>
        <v>16.684676105745051</v>
      </c>
      <c r="AK139" s="185">
        <f t="shared" ca="1" si="56"/>
        <v>17.10285164750384</v>
      </c>
      <c r="AL139" s="185">
        <f t="shared" ca="1" si="56"/>
        <v>17.546253823364005</v>
      </c>
      <c r="AM139" s="185">
        <f t="shared" ca="1" si="56"/>
        <v>20.035160690899364</v>
      </c>
      <c r="AN139" s="185">
        <f t="shared" ca="1" si="56"/>
        <v>22.854109258886837</v>
      </c>
      <c r="AO139" s="185">
        <f t="shared" ca="1" si="56"/>
        <v>28.106957744334249</v>
      </c>
      <c r="AP139" s="185">
        <f t="shared" ca="1" si="56"/>
        <v>33.414813179857191</v>
      </c>
    </row>
    <row r="140" spans="1:42">
      <c r="A140" s="57" t="str">
        <f>'[4]TS BYDem'!A79</f>
        <v/>
      </c>
      <c r="B140" s="185" t="s">
        <v>288</v>
      </c>
      <c r="C140" s="185" t="s">
        <v>137</v>
      </c>
      <c r="D140" s="185" t="str">
        <f>'[4]TS BYDem'!D79</f>
        <v>ICPF</v>
      </c>
      <c r="E140" s="185" t="s">
        <v>137</v>
      </c>
      <c r="F140" s="185" t="s">
        <v>137</v>
      </c>
      <c r="G140" s="185" t="s">
        <v>137</v>
      </c>
      <c r="H140" s="185" t="s">
        <v>137</v>
      </c>
      <c r="I140" s="185">
        <v>0</v>
      </c>
      <c r="J140" s="185">
        <f>INDEX('[4]TS BYDem'!$J$10:$J$203,MATCH(D140,'[4]TS BYDem'!$D$10:$D$203,0))</f>
        <v>1.7807252222387775</v>
      </c>
      <c r="K140" s="185">
        <f t="shared" ca="1" si="58"/>
        <v>1.8340276838066354</v>
      </c>
      <c r="L140" s="185">
        <f t="shared" ca="1" si="57"/>
        <v>1.8719282025799371</v>
      </c>
      <c r="M140" s="192">
        <f t="shared" si="54"/>
        <v>2.5893760000000006</v>
      </c>
      <c r="N140" s="192">
        <f t="shared" si="55"/>
        <v>2.5893760000000006</v>
      </c>
      <c r="O140" s="192">
        <f>INDEX('[4]TS BYDem'!$O$10:$O$203,MATCH(D140,'[4]TS BYDem'!$D$10:$D$203,0))</f>
        <v>2.5893760000000006</v>
      </c>
      <c r="P140" s="185">
        <f t="shared" ca="1" si="57"/>
        <v>2.6186989116074244</v>
      </c>
      <c r="Q140" s="185">
        <f t="shared" ca="1" si="57"/>
        <v>2.613178239977632</v>
      </c>
      <c r="R140" s="185">
        <f t="shared" ca="1" si="57"/>
        <v>2.4086871326412931</v>
      </c>
      <c r="S140" s="185">
        <f t="shared" ca="1" si="57"/>
        <v>2.6001582642739107</v>
      </c>
      <c r="T140" s="185">
        <f t="shared" ca="1" si="57"/>
        <v>2.6286357941682819</v>
      </c>
      <c r="U140" s="185">
        <f t="shared" ca="1" si="57"/>
        <v>2.6585686383750411</v>
      </c>
      <c r="V140" s="185">
        <f t="shared" ca="1" si="57"/>
        <v>2.6919217990130209</v>
      </c>
      <c r="W140" s="185">
        <f t="shared" ca="1" si="57"/>
        <v>2.7249469135883695</v>
      </c>
      <c r="X140" s="185">
        <f t="shared" ca="1" si="57"/>
        <v>2.7978169066785972</v>
      </c>
      <c r="Y140" s="185">
        <f t="shared" ca="1" si="57"/>
        <v>2.8716501437618276</v>
      </c>
      <c r="Z140" s="185">
        <f t="shared" ca="1" si="57"/>
        <v>2.9514660359609772</v>
      </c>
      <c r="AA140" s="185">
        <f t="shared" ca="1" si="56"/>
        <v>3.032927326799689</v>
      </c>
      <c r="AB140" s="185">
        <f t="shared" ca="1" si="56"/>
        <v>3.1042192113583127</v>
      </c>
      <c r="AC140" s="185">
        <f t="shared" ca="1" si="56"/>
        <v>3.1868951617053836</v>
      </c>
      <c r="AD140" s="185">
        <f t="shared" ca="1" si="56"/>
        <v>3.2733835973784569</v>
      </c>
      <c r="AE140" s="185">
        <f t="shared" ca="1" si="56"/>
        <v>3.3596931778570687</v>
      </c>
      <c r="AF140" s="185">
        <f t="shared" ca="1" si="56"/>
        <v>3.4445021411044738</v>
      </c>
      <c r="AG140" s="185">
        <f t="shared" ca="1" si="56"/>
        <v>3.5371862532752556</v>
      </c>
      <c r="AH140" s="185">
        <f t="shared" ca="1" si="56"/>
        <v>3.6274113505934595</v>
      </c>
      <c r="AI140" s="185">
        <f t="shared" ca="1" si="56"/>
        <v>3.7212839997141001</v>
      </c>
      <c r="AJ140" s="185">
        <f t="shared" ca="1" si="56"/>
        <v>3.8136402527417257</v>
      </c>
      <c r="AK140" s="185">
        <f t="shared" ca="1" si="56"/>
        <v>3.9092232337151636</v>
      </c>
      <c r="AL140" s="185">
        <f t="shared" ca="1" si="56"/>
        <v>4.010572302483201</v>
      </c>
      <c r="AM140" s="185">
        <f t="shared" ca="1" si="56"/>
        <v>4.5794653007769979</v>
      </c>
      <c r="AN140" s="185">
        <f t="shared" ca="1" si="56"/>
        <v>5.2237964020312768</v>
      </c>
      <c r="AO140" s="185">
        <f t="shared" ca="1" si="56"/>
        <v>6.4244474844192574</v>
      </c>
      <c r="AP140" s="185">
        <f t="shared" ca="1" si="56"/>
        <v>7.6376715839673581</v>
      </c>
    </row>
    <row r="141" spans="1:42">
      <c r="A141" s="57" t="str">
        <f>'[4]TS BYDem'!A80</f>
        <v/>
      </c>
      <c r="B141" s="185" t="s">
        <v>288</v>
      </c>
      <c r="C141" s="185" t="s">
        <v>137</v>
      </c>
      <c r="D141" s="185" t="str">
        <f>'[4]TS BYDem'!D80</f>
        <v>ICPO</v>
      </c>
      <c r="E141" s="185" t="s">
        <v>137</v>
      </c>
      <c r="F141" s="185" t="s">
        <v>137</v>
      </c>
      <c r="G141" s="185" t="s">
        <v>137</v>
      </c>
      <c r="H141" s="185" t="s">
        <v>137</v>
      </c>
      <c r="I141" s="185">
        <v>0</v>
      </c>
      <c r="J141" s="185">
        <f>INDEX('[4]TS BYDem'!$J$10:$J$203,MATCH(D141,'[4]TS BYDem'!$D$10:$D$203,0))</f>
        <v>4.4518130555969435</v>
      </c>
      <c r="K141" s="185">
        <f t="shared" ca="1" si="58"/>
        <v>4.5850692095165879</v>
      </c>
      <c r="L141" s="185">
        <f t="shared" ca="1" si="57"/>
        <v>4.6798205064498424</v>
      </c>
      <c r="M141" s="192">
        <f t="shared" si="54"/>
        <v>6.473440000000001</v>
      </c>
      <c r="N141" s="192">
        <f t="shared" si="55"/>
        <v>6.473440000000001</v>
      </c>
      <c r="O141" s="192">
        <f>INDEX('[4]TS BYDem'!$O$10:$O$203,MATCH(D141,'[4]TS BYDem'!$D$10:$D$203,0))</f>
        <v>6.473440000000001</v>
      </c>
      <c r="P141" s="185">
        <f t="shared" ca="1" si="57"/>
        <v>6.5467472790185601</v>
      </c>
      <c r="Q141" s="185">
        <f t="shared" ca="1" si="57"/>
        <v>6.5329455999440791</v>
      </c>
      <c r="R141" s="185">
        <f t="shared" ca="1" si="57"/>
        <v>6.0217178316032314</v>
      </c>
      <c r="S141" s="185">
        <f t="shared" ca="1" si="57"/>
        <v>6.5003956606847755</v>
      </c>
      <c r="T141" s="185">
        <f t="shared" ca="1" si="57"/>
        <v>6.571589485420704</v>
      </c>
      <c r="U141" s="185">
        <f t="shared" ca="1" si="57"/>
        <v>6.6464215959376016</v>
      </c>
      <c r="V141" s="185">
        <f t="shared" ca="1" si="57"/>
        <v>6.7298044975325508</v>
      </c>
      <c r="W141" s="185">
        <f t="shared" ca="1" si="57"/>
        <v>6.8123672839709224</v>
      </c>
      <c r="X141" s="185">
        <f t="shared" ca="1" si="57"/>
        <v>6.9945422666964916</v>
      </c>
      <c r="Y141" s="185">
        <f t="shared" ca="1" si="57"/>
        <v>7.1791253594045674</v>
      </c>
      <c r="Z141" s="185">
        <f t="shared" ca="1" si="57"/>
        <v>7.3786650899024409</v>
      </c>
      <c r="AA141" s="185">
        <f t="shared" ca="1" si="56"/>
        <v>7.5823183169992205</v>
      </c>
      <c r="AB141" s="185">
        <f t="shared" ca="1" si="56"/>
        <v>7.76054802839578</v>
      </c>
      <c r="AC141" s="185">
        <f t="shared" ca="1" si="56"/>
        <v>7.9672379042634578</v>
      </c>
      <c r="AD141" s="185">
        <f t="shared" ca="1" si="56"/>
        <v>8.1834589934461412</v>
      </c>
      <c r="AE141" s="185">
        <f t="shared" ca="1" si="56"/>
        <v>8.3992329446426712</v>
      </c>
      <c r="AF141" s="185">
        <f t="shared" ca="1" si="56"/>
        <v>8.6112553527611837</v>
      </c>
      <c r="AG141" s="185">
        <f t="shared" ca="1" si="56"/>
        <v>8.8429656331881379</v>
      </c>
      <c r="AH141" s="185">
        <f t="shared" ca="1" si="56"/>
        <v>9.0685283764836484</v>
      </c>
      <c r="AI141" s="185">
        <f t="shared" ca="1" si="56"/>
        <v>9.3032099992852508</v>
      </c>
      <c r="AJ141" s="185">
        <f t="shared" ca="1" si="56"/>
        <v>9.5341006318543151</v>
      </c>
      <c r="AK141" s="185">
        <f t="shared" ca="1" si="56"/>
        <v>9.7730580842879089</v>
      </c>
      <c r="AL141" s="185">
        <f t="shared" ca="1" si="56"/>
        <v>10.026430756208002</v>
      </c>
      <c r="AM141" s="185">
        <f t="shared" ca="1" si="56"/>
        <v>11.448663251942493</v>
      </c>
      <c r="AN141" s="185">
        <f t="shared" ca="1" si="56"/>
        <v>13.059491005078192</v>
      </c>
      <c r="AO141" s="185">
        <f t="shared" ca="1" si="56"/>
        <v>16.061118711048142</v>
      </c>
      <c r="AP141" s="185">
        <f t="shared" ca="1" si="56"/>
        <v>19.094178959918395</v>
      </c>
    </row>
    <row r="142" spans="1:42">
      <c r="A142" s="57" t="str">
        <f>'[4]TS BYDem'!A81</f>
        <v/>
      </c>
      <c r="B142" s="185" t="s">
        <v>288</v>
      </c>
      <c r="C142" s="185" t="s">
        <v>137</v>
      </c>
      <c r="D142" s="185" t="str">
        <f>'[4]TS BYDem'!D81</f>
        <v>ICPE</v>
      </c>
      <c r="E142" s="185" t="s">
        <v>137</v>
      </c>
      <c r="F142" s="185" t="s">
        <v>137</v>
      </c>
      <c r="G142" s="185" t="s">
        <v>137</v>
      </c>
      <c r="H142" s="185" t="s">
        <v>137</v>
      </c>
      <c r="I142" s="185">
        <v>0</v>
      </c>
      <c r="J142" s="185">
        <f>INDEX('[4]TS BYDem'!$J$10:$J$203,MATCH(D142,'[4]TS BYDem'!$D$10:$D$203,0))</f>
        <v>1.6916889611268384</v>
      </c>
      <c r="K142" s="185">
        <f t="shared" ca="1" si="58"/>
        <v>1.7423262996163034</v>
      </c>
      <c r="L142" s="185">
        <f t="shared" ca="1" si="57"/>
        <v>1.7783317924509401</v>
      </c>
      <c r="M142" s="192">
        <f t="shared" si="54"/>
        <v>2.4599072000000004</v>
      </c>
      <c r="N142" s="192">
        <f t="shared" si="55"/>
        <v>2.4599072000000004</v>
      </c>
      <c r="O142" s="192">
        <f>INDEX('[4]TS BYDem'!$O$10:$O$203,MATCH(D142,'[4]TS BYDem'!$D$10:$D$203,0))</f>
        <v>2.4599072000000004</v>
      </c>
      <c r="P142" s="185">
        <f t="shared" ca="1" si="57"/>
        <v>2.4877639660270532</v>
      </c>
      <c r="Q142" s="185">
        <f t="shared" ca="1" si="57"/>
        <v>2.4825193279787503</v>
      </c>
      <c r="R142" s="185">
        <f t="shared" ca="1" si="57"/>
        <v>2.2882527760092284</v>
      </c>
      <c r="S142" s="185">
        <f t="shared" ca="1" si="57"/>
        <v>2.4701503510602154</v>
      </c>
      <c r="T142" s="185">
        <f t="shared" ca="1" si="57"/>
        <v>2.497204004459868</v>
      </c>
      <c r="U142" s="185">
        <f t="shared" ca="1" si="57"/>
        <v>2.5256402064562891</v>
      </c>
      <c r="V142" s="185">
        <f t="shared" ca="1" si="57"/>
        <v>2.5573257090623698</v>
      </c>
      <c r="W142" s="185">
        <f t="shared" ca="1" si="57"/>
        <v>2.5886995679089506</v>
      </c>
      <c r="X142" s="185">
        <f t="shared" ca="1" si="57"/>
        <v>2.6579260613446669</v>
      </c>
      <c r="Y142" s="185">
        <f t="shared" ca="1" si="57"/>
        <v>2.7280676365737357</v>
      </c>
      <c r="Z142" s="185">
        <f t="shared" ca="1" si="57"/>
        <v>2.8038927341629276</v>
      </c>
      <c r="AA142" s="185">
        <f t="shared" ca="1" si="56"/>
        <v>2.8812809604597041</v>
      </c>
      <c r="AB142" s="185">
        <f t="shared" ca="1" si="56"/>
        <v>2.9490082507903965</v>
      </c>
      <c r="AC142" s="185">
        <f t="shared" ca="1" si="56"/>
        <v>3.027550403620114</v>
      </c>
      <c r="AD142" s="185">
        <f t="shared" ca="1" si="56"/>
        <v>3.1097144175095335</v>
      </c>
      <c r="AE142" s="185">
        <f t="shared" ca="1" si="56"/>
        <v>3.1917085189642145</v>
      </c>
      <c r="AF142" s="185">
        <f t="shared" ca="1" si="56"/>
        <v>3.2722770340492495</v>
      </c>
      <c r="AG142" s="185">
        <f t="shared" ca="1" si="56"/>
        <v>3.3603269406114924</v>
      </c>
      <c r="AH142" s="185">
        <f t="shared" ca="1" si="56"/>
        <v>3.4460407830637863</v>
      </c>
      <c r="AI142" s="185">
        <f t="shared" ca="1" si="56"/>
        <v>3.5352197997283947</v>
      </c>
      <c r="AJ142" s="185">
        <f t="shared" ca="1" si="56"/>
        <v>3.622958240104639</v>
      </c>
      <c r="AK142" s="185">
        <f t="shared" ca="1" si="56"/>
        <v>3.7137620720294047</v>
      </c>
      <c r="AL142" s="185">
        <f t="shared" ca="1" si="56"/>
        <v>3.8100436873590402</v>
      </c>
      <c r="AM142" s="185">
        <f t="shared" ca="1" si="56"/>
        <v>4.3504920357381467</v>
      </c>
      <c r="AN142" s="185">
        <f t="shared" ca="1" si="56"/>
        <v>4.9626065819297116</v>
      </c>
      <c r="AO142" s="185">
        <f t="shared" ca="1" si="56"/>
        <v>6.1032251101982924</v>
      </c>
      <c r="AP142" s="185">
        <f t="shared" ca="1" si="56"/>
        <v>7.2557880047689878</v>
      </c>
    </row>
    <row r="143" spans="1:42">
      <c r="A143" s="57" t="str">
        <f>'[4]TS BYDem'!A82</f>
        <v>*</v>
      </c>
      <c r="B143" s="185" t="s">
        <v>288</v>
      </c>
      <c r="C143" s="185" t="s">
        <v>137</v>
      </c>
      <c r="D143" s="185" t="str">
        <f>'[4]TS BYDem'!D82</f>
        <v xml:space="preserve"> </v>
      </c>
      <c r="E143" s="185" t="s">
        <v>137</v>
      </c>
      <c r="F143" s="185" t="s">
        <v>137</v>
      </c>
      <c r="G143" s="185" t="s">
        <v>137</v>
      </c>
      <c r="H143" s="185" t="s">
        <v>137</v>
      </c>
      <c r="I143" s="185">
        <v>0</v>
      </c>
      <c r="J143" s="185" t="str">
        <f>INDEX('[4]TS BYDem'!$J$10:$J$203,MATCH(D143,'[4]TS BYDem'!$D$10:$D$203,0))</f>
        <v/>
      </c>
      <c r="K143" s="185" t="e">
        <f t="shared" ca="1" si="58"/>
        <v>#VALUE!</v>
      </c>
      <c r="L143" s="185" t="e">
        <f t="shared" ca="1" si="57"/>
        <v>#VALUE!</v>
      </c>
      <c r="M143" s="185" t="e">
        <f t="shared" ca="1" si="57"/>
        <v>#VALUE!</v>
      </c>
      <c r="N143" s="185" t="e">
        <f t="shared" ca="1" si="57"/>
        <v>#VALUE!</v>
      </c>
      <c r="O143" s="185" t="e">
        <f t="shared" ca="1" si="57"/>
        <v>#VALUE!</v>
      </c>
      <c r="P143" s="185" t="e">
        <f t="shared" ca="1" si="57"/>
        <v>#VALUE!</v>
      </c>
      <c r="Q143" s="185" t="e">
        <f t="shared" ca="1" si="57"/>
        <v>#VALUE!</v>
      </c>
      <c r="R143" s="185" t="e">
        <f t="shared" ca="1" si="57"/>
        <v>#VALUE!</v>
      </c>
      <c r="S143" s="185" t="e">
        <f t="shared" ca="1" si="57"/>
        <v>#VALUE!</v>
      </c>
      <c r="T143" s="185" t="e">
        <f t="shared" ca="1" si="57"/>
        <v>#VALUE!</v>
      </c>
      <c r="U143" s="185" t="e">
        <f t="shared" ca="1" si="57"/>
        <v>#VALUE!</v>
      </c>
      <c r="V143" s="185" t="e">
        <f t="shared" ca="1" si="57"/>
        <v>#VALUE!</v>
      </c>
      <c r="W143" s="185" t="e">
        <f t="shared" ca="1" si="57"/>
        <v>#VALUE!</v>
      </c>
      <c r="X143" s="185" t="e">
        <f t="shared" ca="1" si="57"/>
        <v>#VALUE!</v>
      </c>
      <c r="Y143" s="185" t="e">
        <f t="shared" ca="1" si="57"/>
        <v>#VALUE!</v>
      </c>
      <c r="Z143" s="185" t="e">
        <f t="shared" ca="1" si="57"/>
        <v>#VALUE!</v>
      </c>
      <c r="AA143" s="185" t="e">
        <f t="shared" ca="1" si="56"/>
        <v>#VALUE!</v>
      </c>
      <c r="AB143" s="185" t="e">
        <f t="shared" ca="1" si="56"/>
        <v>#VALUE!</v>
      </c>
      <c r="AC143" s="185" t="e">
        <f t="shared" ca="1" si="56"/>
        <v>#VALUE!</v>
      </c>
      <c r="AD143" s="185" t="e">
        <f t="shared" ca="1" si="56"/>
        <v>#VALUE!</v>
      </c>
      <c r="AE143" s="185" t="e">
        <f t="shared" ca="1" si="56"/>
        <v>#VALUE!</v>
      </c>
      <c r="AF143" s="185" t="e">
        <f t="shared" ca="1" si="56"/>
        <v>#VALUE!</v>
      </c>
      <c r="AG143" s="185" t="e">
        <f t="shared" ca="1" si="56"/>
        <v>#VALUE!</v>
      </c>
      <c r="AH143" s="185" t="e">
        <f t="shared" ca="1" si="56"/>
        <v>#VALUE!</v>
      </c>
      <c r="AI143" s="185" t="e">
        <f t="shared" ca="1" si="56"/>
        <v>#VALUE!</v>
      </c>
      <c r="AJ143" s="185" t="e">
        <f t="shared" ca="1" si="56"/>
        <v>#VALUE!</v>
      </c>
      <c r="AK143" s="185" t="e">
        <f t="shared" ca="1" si="56"/>
        <v>#VALUE!</v>
      </c>
      <c r="AL143" s="185" t="e">
        <f t="shared" ca="1" si="56"/>
        <v>#VALUE!</v>
      </c>
      <c r="AM143" s="185" t="e">
        <f t="shared" ca="1" si="56"/>
        <v>#VALUE!</v>
      </c>
      <c r="AN143" s="185" t="e">
        <f t="shared" ca="1" si="56"/>
        <v>#VALUE!</v>
      </c>
      <c r="AO143" s="185" t="e">
        <f t="shared" ca="1" si="56"/>
        <v>#VALUE!</v>
      </c>
      <c r="AP143" s="185" t="e">
        <f t="shared" ca="1" si="56"/>
        <v>#VALUE!</v>
      </c>
    </row>
    <row r="144" spans="1:42">
      <c r="A144" s="57" t="str">
        <f>'[4]TS BYDem'!A83</f>
        <v/>
      </c>
      <c r="B144" s="185" t="s">
        <v>288</v>
      </c>
      <c r="C144" s="185" t="s">
        <v>137</v>
      </c>
      <c r="D144" s="185" t="str">
        <f>'[4]TS BYDem'!D83</f>
        <v>ICPS</v>
      </c>
      <c r="E144" s="185" t="s">
        <v>137</v>
      </c>
      <c r="F144" s="185" t="s">
        <v>137</v>
      </c>
      <c r="G144" s="185" t="s">
        <v>137</v>
      </c>
      <c r="H144" s="185" t="s">
        <v>137</v>
      </c>
      <c r="I144" s="185">
        <v>0</v>
      </c>
      <c r="J144" s="185">
        <f>INDEX('[4]TS BYDem'!$J$10:$J$203,MATCH(D144,'[4]TS BYDem'!$D$10:$D$203,0))</f>
        <v>27.288197120140854</v>
      </c>
      <c r="K144" s="185">
        <f t="shared" ca="1" si="58"/>
        <v>28.105014931270503</v>
      </c>
      <c r="L144" s="185">
        <f t="shared" ca="1" si="57"/>
        <v>28.68581022429229</v>
      </c>
      <c r="M144" s="192">
        <f t="shared" ref="M144" si="59">O144</f>
        <v>16.650368400000001</v>
      </c>
      <c r="N144" s="192">
        <f t="shared" ref="N144" si="60">O144</f>
        <v>16.650368400000001</v>
      </c>
      <c r="O144" s="192">
        <f>INDEX('[4]TS BYDem'!$O$10:$O$203,MATCH(D144,'[4]TS BYDem'!$D$10:$D$203,0))</f>
        <v>16.650368400000001</v>
      </c>
      <c r="P144" s="185">
        <f t="shared" ca="1" si="57"/>
        <v>16.838922430324004</v>
      </c>
      <c r="Q144" s="185">
        <f t="shared" ca="1" si="57"/>
        <v>16.803423060417327</v>
      </c>
      <c r="R144" s="185">
        <f t="shared" ca="1" si="57"/>
        <v>15.488491481660905</v>
      </c>
      <c r="S144" s="185">
        <f t="shared" ca="1" si="57"/>
        <v>16.7197011938263</v>
      </c>
      <c r="T144" s="185">
        <f t="shared" ca="1" si="57"/>
        <v>16.902819197493322</v>
      </c>
      <c r="U144" s="185">
        <f t="shared" ca="1" si="57"/>
        <v>17.095295254775984</v>
      </c>
      <c r="V144" s="185">
        <f t="shared" ca="1" si="57"/>
        <v>17.309764845876984</v>
      </c>
      <c r="W144" s="185">
        <f t="shared" ca="1" si="57"/>
        <v>17.522125014555368</v>
      </c>
      <c r="X144" s="185">
        <f t="shared" ca="1" si="57"/>
        <v>17.990698226888281</v>
      </c>
      <c r="Y144" s="185">
        <f t="shared" ca="1" si="57"/>
        <v>18.465465351323019</v>
      </c>
      <c r="Z144" s="185">
        <f t="shared" ca="1" si="57"/>
        <v>18.978702520930881</v>
      </c>
      <c r="AA144" s="185">
        <f t="shared" ca="1" si="56"/>
        <v>19.502520036349306</v>
      </c>
      <c r="AB144" s="185">
        <f t="shared" ca="1" si="56"/>
        <v>19.960945595955696</v>
      </c>
      <c r="AC144" s="185">
        <f t="shared" ca="1" si="56"/>
        <v>20.492573691334211</v>
      </c>
      <c r="AD144" s="185">
        <f t="shared" ca="1" si="56"/>
        <v>21.048717069621635</v>
      </c>
      <c r="AE144" s="185">
        <f t="shared" ca="1" si="56"/>
        <v>21.603710361989499</v>
      </c>
      <c r="AF144" s="185">
        <f t="shared" ca="1" si="56"/>
        <v>22.149054291064054</v>
      </c>
      <c r="AG144" s="185">
        <f t="shared" ca="1" si="56"/>
        <v>22.74503749801061</v>
      </c>
      <c r="AH144" s="185">
        <f t="shared" ca="1" si="56"/>
        <v>23.32520859300568</v>
      </c>
      <c r="AI144" s="185">
        <f t="shared" ca="1" si="56"/>
        <v>23.928834404993822</v>
      </c>
      <c r="AJ144" s="185">
        <f t="shared" ca="1" si="56"/>
        <v>24.522709391459124</v>
      </c>
      <c r="AK144" s="185">
        <f t="shared" ca="1" si="56"/>
        <v>25.137333086889193</v>
      </c>
      <c r="AL144" s="185">
        <f t="shared" ca="1" si="56"/>
        <v>25.789034242683005</v>
      </c>
      <c r="AM144" s="185">
        <f t="shared" ca="1" si="56"/>
        <v>29.447165777760294</v>
      </c>
      <c r="AN144" s="185">
        <f t="shared" ca="1" si="56"/>
        <v>33.590384146765587</v>
      </c>
      <c r="AO144" s="185">
        <f t="shared" ca="1" si="56"/>
        <v>41.310886245193402</v>
      </c>
      <c r="AP144" s="185">
        <f t="shared" ca="1" si="56"/>
        <v>49.112236149276143</v>
      </c>
    </row>
    <row r="145" spans="1:42">
      <c r="A145" s="57" t="str">
        <f>'[4]TS BYDem'!A84</f>
        <v>*</v>
      </c>
      <c r="B145" s="185" t="s">
        <v>288</v>
      </c>
      <c r="C145" s="185" t="s">
        <v>137</v>
      </c>
      <c r="D145" s="185" t="str">
        <f>'[4]TS BYDem'!D84</f>
        <v>ICPS</v>
      </c>
      <c r="E145" s="185" t="s">
        <v>137</v>
      </c>
      <c r="F145" s="185" t="s">
        <v>137</v>
      </c>
      <c r="G145" s="185" t="s">
        <v>137</v>
      </c>
      <c r="H145" s="185" t="s">
        <v>137</v>
      </c>
      <c r="I145" s="185">
        <v>0</v>
      </c>
      <c r="J145" s="185">
        <f>INDEX('[4]TS BYDem'!$J$10:$J$203,MATCH(D145,'[4]TS BYDem'!$D$10:$D$203,0))</f>
        <v>27.288197120140854</v>
      </c>
      <c r="K145" s="185">
        <f t="shared" ca="1" si="58"/>
        <v>28.105014931270503</v>
      </c>
      <c r="L145" s="185">
        <f t="shared" ca="1" si="57"/>
        <v>28.68581022429229</v>
      </c>
      <c r="M145" s="185">
        <f t="shared" ca="1" si="57"/>
        <v>29.005144291096087</v>
      </c>
      <c r="N145" s="185">
        <f t="shared" ca="1" si="57"/>
        <v>29.316210809244769</v>
      </c>
      <c r="O145" s="185">
        <f t="shared" ca="1" si="57"/>
        <v>29.567854321434812</v>
      </c>
      <c r="P145" s="185">
        <f t="shared" ca="1" si="57"/>
        <v>29.902690041966945</v>
      </c>
      <c r="Q145" s="185">
        <f t="shared" ca="1" si="57"/>
        <v>29.839649983471698</v>
      </c>
      <c r="R145" s="185">
        <f t="shared" ca="1" si="57"/>
        <v>27.504584210192824</v>
      </c>
      <c r="S145" s="185">
        <f t="shared" ca="1" si="57"/>
        <v>29.690976038522702</v>
      </c>
      <c r="T145" s="185">
        <f t="shared" ca="1" si="57"/>
        <v>30.016158420436753</v>
      </c>
      <c r="U145" s="185">
        <f t="shared" ca="1" si="57"/>
        <v>30.357958907091319</v>
      </c>
      <c r="V145" s="185">
        <f t="shared" ca="1" si="57"/>
        <v>30.738815682972149</v>
      </c>
      <c r="W145" s="185">
        <f t="shared" ca="1" si="57"/>
        <v>31.115926530030514</v>
      </c>
      <c r="X145" s="185">
        <f t="shared" ca="1" si="57"/>
        <v>31.948022502224518</v>
      </c>
      <c r="Y145" s="185">
        <f t="shared" ca="1" si="57"/>
        <v>32.791117671932163</v>
      </c>
      <c r="Z145" s="185">
        <f t="shared" ca="1" si="57"/>
        <v>33.70252824848798</v>
      </c>
      <c r="AA145" s="185">
        <f t="shared" ca="1" si="56"/>
        <v>34.632727485815842</v>
      </c>
      <c r="AB145" s="185">
        <f t="shared" ca="1" si="56"/>
        <v>35.446803176997783</v>
      </c>
      <c r="AC145" s="185">
        <f t="shared" ca="1" si="56"/>
        <v>36.390872503255679</v>
      </c>
      <c r="AD145" s="185">
        <f t="shared" ca="1" si="56"/>
        <v>37.378476260481442</v>
      </c>
      <c r="AE145" s="185">
        <f t="shared" ca="1" si="56"/>
        <v>38.364037686143739</v>
      </c>
      <c r="AF145" s="185">
        <f t="shared" ca="1" si="56"/>
        <v>39.332463697063432</v>
      </c>
      <c r="AG145" s="185">
        <f t="shared" ca="1" si="56"/>
        <v>40.390815333356194</v>
      </c>
      <c r="AH145" s="185">
        <f t="shared" ca="1" si="56"/>
        <v>41.421087697679468</v>
      </c>
      <c r="AI145" s="185">
        <f t="shared" ca="1" si="56"/>
        <v>42.493011131729318</v>
      </c>
      <c r="AJ145" s="185">
        <f t="shared" ca="1" si="56"/>
        <v>43.547618973616473</v>
      </c>
      <c r="AK145" s="185">
        <f t="shared" ca="1" si="56"/>
        <v>44.639072535027054</v>
      </c>
      <c r="AL145" s="185">
        <f t="shared" ca="1" si="56"/>
        <v>45.796368540298751</v>
      </c>
      <c r="AM145" s="185">
        <f t="shared" ca="1" si="56"/>
        <v>52.292507107287562</v>
      </c>
      <c r="AN145" s="185">
        <f t="shared" ca="1" si="56"/>
        <v>59.650066664747037</v>
      </c>
      <c r="AO145" s="185">
        <f t="shared" ca="1" si="56"/>
        <v>73.360194624116716</v>
      </c>
      <c r="AP145" s="185">
        <f t="shared" ca="1" si="56"/>
        <v>87.213892748565286</v>
      </c>
    </row>
    <row r="146" spans="1:42">
      <c r="A146" s="57" t="str">
        <f>'[4]TS BYDem'!A85</f>
        <v>*</v>
      </c>
      <c r="B146" s="185" t="s">
        <v>288</v>
      </c>
      <c r="C146" s="185" t="s">
        <v>137</v>
      </c>
      <c r="D146" s="185" t="str">
        <f>'[4]TS BYDem'!D85</f>
        <v>ICPS</v>
      </c>
      <c r="E146" s="185" t="s">
        <v>137</v>
      </c>
      <c r="F146" s="185" t="s">
        <v>137</v>
      </c>
      <c r="G146" s="185" t="s">
        <v>137</v>
      </c>
      <c r="H146" s="185" t="s">
        <v>137</v>
      </c>
      <c r="I146" s="185">
        <v>0</v>
      </c>
      <c r="J146" s="185">
        <f>INDEX('[4]TS BYDem'!$J$10:$J$203,MATCH(D146,'[4]TS BYDem'!$D$10:$D$203,0))</f>
        <v>27.288197120140854</v>
      </c>
      <c r="K146" s="185">
        <f t="shared" ca="1" si="58"/>
        <v>28.105014931270503</v>
      </c>
      <c r="L146" s="185">
        <f t="shared" ca="1" si="57"/>
        <v>28.68581022429229</v>
      </c>
      <c r="M146" s="185">
        <f t="shared" ca="1" si="57"/>
        <v>29.005144291096087</v>
      </c>
      <c r="N146" s="185">
        <f t="shared" ca="1" si="57"/>
        <v>29.316210809244769</v>
      </c>
      <c r="O146" s="185">
        <f t="shared" ca="1" si="57"/>
        <v>29.567854321434812</v>
      </c>
      <c r="P146" s="185">
        <f t="shared" ca="1" si="57"/>
        <v>29.902690041966945</v>
      </c>
      <c r="Q146" s="185">
        <f t="shared" ca="1" si="57"/>
        <v>29.839649983471698</v>
      </c>
      <c r="R146" s="185">
        <f t="shared" ca="1" si="57"/>
        <v>27.504584210192824</v>
      </c>
      <c r="S146" s="185">
        <f t="shared" ca="1" si="57"/>
        <v>29.690976038522702</v>
      </c>
      <c r="T146" s="185">
        <f t="shared" ca="1" si="57"/>
        <v>30.016158420436753</v>
      </c>
      <c r="U146" s="185">
        <f t="shared" ca="1" si="57"/>
        <v>30.357958907091319</v>
      </c>
      <c r="V146" s="185">
        <f t="shared" ca="1" si="57"/>
        <v>30.738815682972149</v>
      </c>
      <c r="W146" s="185">
        <f t="shared" ca="1" si="57"/>
        <v>31.115926530030514</v>
      </c>
      <c r="X146" s="185">
        <f t="shared" ca="1" si="57"/>
        <v>31.948022502224518</v>
      </c>
      <c r="Y146" s="185">
        <f t="shared" ca="1" si="57"/>
        <v>32.791117671932163</v>
      </c>
      <c r="Z146" s="185">
        <f t="shared" ca="1" si="57"/>
        <v>33.70252824848798</v>
      </c>
      <c r="AA146" s="185">
        <f t="shared" ca="1" si="56"/>
        <v>34.632727485815842</v>
      </c>
      <c r="AB146" s="185">
        <f t="shared" ca="1" si="56"/>
        <v>35.446803176997783</v>
      </c>
      <c r="AC146" s="185">
        <f t="shared" ca="1" si="56"/>
        <v>36.390872503255679</v>
      </c>
      <c r="AD146" s="185">
        <f t="shared" ca="1" si="56"/>
        <v>37.378476260481442</v>
      </c>
      <c r="AE146" s="185">
        <f t="shared" ca="1" si="56"/>
        <v>38.364037686143739</v>
      </c>
      <c r="AF146" s="185">
        <f t="shared" ca="1" si="56"/>
        <v>39.332463697063432</v>
      </c>
      <c r="AG146" s="185">
        <f t="shared" ca="1" si="56"/>
        <v>40.390815333356194</v>
      </c>
      <c r="AH146" s="185">
        <f t="shared" ca="1" si="56"/>
        <v>41.421087697679468</v>
      </c>
      <c r="AI146" s="185">
        <f t="shared" ca="1" si="56"/>
        <v>42.493011131729318</v>
      </c>
      <c r="AJ146" s="185">
        <f t="shared" ca="1" si="56"/>
        <v>43.547618973616473</v>
      </c>
      <c r="AK146" s="185">
        <f t="shared" ca="1" si="56"/>
        <v>44.639072535027054</v>
      </c>
      <c r="AL146" s="185">
        <f t="shared" ca="1" si="56"/>
        <v>45.796368540298751</v>
      </c>
      <c r="AM146" s="185">
        <f t="shared" ca="1" si="56"/>
        <v>52.292507107287562</v>
      </c>
      <c r="AN146" s="185">
        <f t="shared" ca="1" si="56"/>
        <v>59.650066664747037</v>
      </c>
      <c r="AO146" s="185">
        <f t="shared" ca="1" si="56"/>
        <v>73.360194624116716</v>
      </c>
      <c r="AP146" s="185">
        <f t="shared" ca="1" si="56"/>
        <v>87.213892748565286</v>
      </c>
    </row>
    <row r="147" spans="1:42">
      <c r="A147" s="57" t="str">
        <f>'[4]TS BYDem'!A86</f>
        <v>*</v>
      </c>
      <c r="B147" s="185" t="s">
        <v>288</v>
      </c>
      <c r="C147" s="185" t="s">
        <v>137</v>
      </c>
      <c r="D147" s="185" t="str">
        <f>'[4]TS BYDem'!D86</f>
        <v>ICPS</v>
      </c>
      <c r="E147" s="185" t="s">
        <v>137</v>
      </c>
      <c r="F147" s="185" t="s">
        <v>137</v>
      </c>
      <c r="G147" s="185" t="s">
        <v>137</v>
      </c>
      <c r="H147" s="185" t="s">
        <v>137</v>
      </c>
      <c r="I147" s="185">
        <v>0</v>
      </c>
      <c r="J147" s="185">
        <f>INDEX('[4]TS BYDem'!$J$10:$J$203,MATCH(D147,'[4]TS BYDem'!$D$10:$D$203,0))</f>
        <v>27.288197120140854</v>
      </c>
      <c r="K147" s="185">
        <f t="shared" ca="1" si="58"/>
        <v>28.105014931270503</v>
      </c>
      <c r="L147" s="185">
        <f t="shared" ca="1" si="57"/>
        <v>28.68581022429229</v>
      </c>
      <c r="M147" s="185">
        <f t="shared" ca="1" si="57"/>
        <v>29.005144291096087</v>
      </c>
      <c r="N147" s="185">
        <f t="shared" ca="1" si="57"/>
        <v>29.316210809244769</v>
      </c>
      <c r="O147" s="185">
        <f t="shared" ca="1" si="57"/>
        <v>29.567854321434812</v>
      </c>
      <c r="P147" s="185">
        <f t="shared" ca="1" si="57"/>
        <v>29.902690041966945</v>
      </c>
      <c r="Q147" s="185">
        <f t="shared" ca="1" si="57"/>
        <v>29.839649983471698</v>
      </c>
      <c r="R147" s="185">
        <f t="shared" ca="1" si="57"/>
        <v>27.504584210192824</v>
      </c>
      <c r="S147" s="185">
        <f t="shared" ca="1" si="57"/>
        <v>29.690976038522702</v>
      </c>
      <c r="T147" s="185">
        <f t="shared" ca="1" si="57"/>
        <v>30.016158420436753</v>
      </c>
      <c r="U147" s="185">
        <f t="shared" ca="1" si="57"/>
        <v>30.357958907091319</v>
      </c>
      <c r="V147" s="185">
        <f t="shared" ca="1" si="57"/>
        <v>30.738815682972149</v>
      </c>
      <c r="W147" s="185">
        <f t="shared" ca="1" si="57"/>
        <v>31.115926530030514</v>
      </c>
      <c r="X147" s="185">
        <f t="shared" ca="1" si="57"/>
        <v>31.948022502224518</v>
      </c>
      <c r="Y147" s="185">
        <f t="shared" ca="1" si="57"/>
        <v>32.791117671932163</v>
      </c>
      <c r="Z147" s="185">
        <f t="shared" ca="1" si="57"/>
        <v>33.70252824848798</v>
      </c>
      <c r="AA147" s="185">
        <f t="shared" ca="1" si="56"/>
        <v>34.632727485815842</v>
      </c>
      <c r="AB147" s="185">
        <f t="shared" ca="1" si="56"/>
        <v>35.446803176997783</v>
      </c>
      <c r="AC147" s="185">
        <f t="shared" ca="1" si="56"/>
        <v>36.390872503255679</v>
      </c>
      <c r="AD147" s="185">
        <f t="shared" ca="1" si="56"/>
        <v>37.378476260481442</v>
      </c>
      <c r="AE147" s="185">
        <f t="shared" ca="1" si="56"/>
        <v>38.364037686143739</v>
      </c>
      <c r="AF147" s="185">
        <f t="shared" ca="1" si="56"/>
        <v>39.332463697063432</v>
      </c>
      <c r="AG147" s="185">
        <f t="shared" ca="1" si="56"/>
        <v>40.390815333356194</v>
      </c>
      <c r="AH147" s="185">
        <f t="shared" ca="1" si="56"/>
        <v>41.421087697679468</v>
      </c>
      <c r="AI147" s="185">
        <f t="shared" ca="1" si="56"/>
        <v>42.493011131729318</v>
      </c>
      <c r="AJ147" s="185">
        <f t="shared" ca="1" si="56"/>
        <v>43.547618973616473</v>
      </c>
      <c r="AK147" s="185">
        <f t="shared" ca="1" si="56"/>
        <v>44.639072535027054</v>
      </c>
      <c r="AL147" s="185">
        <f t="shared" ca="1" si="56"/>
        <v>45.796368540298751</v>
      </c>
      <c r="AM147" s="185">
        <f t="shared" ca="1" si="56"/>
        <v>52.292507107287562</v>
      </c>
      <c r="AN147" s="185">
        <f t="shared" ca="1" si="56"/>
        <v>59.650066664747037</v>
      </c>
      <c r="AO147" s="185">
        <f t="shared" ca="1" si="56"/>
        <v>73.360194624116716</v>
      </c>
      <c r="AP147" s="185">
        <f t="shared" ca="1" si="56"/>
        <v>87.213892748565286</v>
      </c>
    </row>
    <row r="148" spans="1:42">
      <c r="A148" s="57" t="str">
        <f>'[4]TS BYDem'!A87</f>
        <v>*</v>
      </c>
      <c r="B148" s="185" t="s">
        <v>288</v>
      </c>
      <c r="C148" s="185" t="s">
        <v>137</v>
      </c>
      <c r="D148" s="185" t="str">
        <f>'[4]TS BYDem'!D87</f>
        <v>ICPS</v>
      </c>
      <c r="E148" s="185" t="s">
        <v>137</v>
      </c>
      <c r="F148" s="185" t="s">
        <v>137</v>
      </c>
      <c r="G148" s="185" t="s">
        <v>137</v>
      </c>
      <c r="H148" s="185" t="s">
        <v>137</v>
      </c>
      <c r="I148" s="185">
        <v>0</v>
      </c>
      <c r="J148" s="185">
        <f>INDEX('[4]TS BYDem'!$J$10:$J$203,MATCH(D148,'[4]TS BYDem'!$D$10:$D$203,0))</f>
        <v>27.288197120140854</v>
      </c>
      <c r="K148" s="185">
        <f t="shared" ca="1" si="58"/>
        <v>28.105014931270503</v>
      </c>
      <c r="L148" s="185">
        <f t="shared" ca="1" si="57"/>
        <v>28.68581022429229</v>
      </c>
      <c r="M148" s="185">
        <f t="shared" ca="1" si="57"/>
        <v>29.005144291096087</v>
      </c>
      <c r="N148" s="185">
        <f t="shared" ca="1" si="57"/>
        <v>29.316210809244769</v>
      </c>
      <c r="O148" s="185">
        <f t="shared" ca="1" si="57"/>
        <v>29.567854321434812</v>
      </c>
      <c r="P148" s="185">
        <f t="shared" ca="1" si="57"/>
        <v>29.902690041966945</v>
      </c>
      <c r="Q148" s="185">
        <f t="shared" ca="1" si="57"/>
        <v>29.839649983471698</v>
      </c>
      <c r="R148" s="185">
        <f t="shared" ca="1" si="57"/>
        <v>27.504584210192824</v>
      </c>
      <c r="S148" s="185">
        <f t="shared" ca="1" si="57"/>
        <v>29.690976038522702</v>
      </c>
      <c r="T148" s="185">
        <f t="shared" ca="1" si="57"/>
        <v>30.016158420436753</v>
      </c>
      <c r="U148" s="185">
        <f t="shared" ca="1" si="57"/>
        <v>30.357958907091319</v>
      </c>
      <c r="V148" s="185">
        <f t="shared" ca="1" si="57"/>
        <v>30.738815682972149</v>
      </c>
      <c r="W148" s="185">
        <f t="shared" ca="1" si="57"/>
        <v>31.115926530030514</v>
      </c>
      <c r="X148" s="185">
        <f t="shared" ca="1" si="57"/>
        <v>31.948022502224518</v>
      </c>
      <c r="Y148" s="185">
        <f t="shared" ca="1" si="57"/>
        <v>32.791117671932163</v>
      </c>
      <c r="Z148" s="185">
        <f t="shared" ca="1" si="57"/>
        <v>33.70252824848798</v>
      </c>
      <c r="AA148" s="185">
        <f t="shared" ca="1" si="56"/>
        <v>34.632727485815842</v>
      </c>
      <c r="AB148" s="185">
        <f t="shared" ca="1" si="56"/>
        <v>35.446803176997783</v>
      </c>
      <c r="AC148" s="185">
        <f t="shared" ca="1" si="56"/>
        <v>36.390872503255679</v>
      </c>
      <c r="AD148" s="185">
        <f t="shared" ca="1" si="56"/>
        <v>37.378476260481442</v>
      </c>
      <c r="AE148" s="185">
        <f t="shared" ca="1" si="56"/>
        <v>38.364037686143739</v>
      </c>
      <c r="AF148" s="185">
        <f t="shared" ca="1" si="56"/>
        <v>39.332463697063432</v>
      </c>
      <c r="AG148" s="185">
        <f t="shared" ca="1" si="56"/>
        <v>40.390815333356194</v>
      </c>
      <c r="AH148" s="185">
        <f t="shared" ca="1" si="56"/>
        <v>41.421087697679468</v>
      </c>
      <c r="AI148" s="185">
        <f t="shared" ca="1" si="56"/>
        <v>42.493011131729318</v>
      </c>
      <c r="AJ148" s="185">
        <f t="shared" ca="1" si="56"/>
        <v>43.547618973616473</v>
      </c>
      <c r="AK148" s="185">
        <f t="shared" ca="1" si="56"/>
        <v>44.639072535027054</v>
      </c>
      <c r="AL148" s="185">
        <f t="shared" ca="1" si="56"/>
        <v>45.796368540298751</v>
      </c>
      <c r="AM148" s="185">
        <f t="shared" ca="1" si="56"/>
        <v>52.292507107287562</v>
      </c>
      <c r="AN148" s="185">
        <f t="shared" ca="1" si="56"/>
        <v>59.650066664747037</v>
      </c>
      <c r="AO148" s="185">
        <f t="shared" ca="1" si="56"/>
        <v>73.360194624116716</v>
      </c>
      <c r="AP148" s="185">
        <f t="shared" ca="1" si="56"/>
        <v>87.213892748565286</v>
      </c>
    </row>
    <row r="149" spans="1:42">
      <c r="A149" s="57" t="str">
        <f>'[4]TS BYDem'!A88</f>
        <v>*</v>
      </c>
      <c r="B149" s="185" t="s">
        <v>288</v>
      </c>
      <c r="C149" s="185" t="s">
        <v>137</v>
      </c>
      <c r="D149" s="185" t="str">
        <f>'[4]TS BYDem'!D88</f>
        <v>ICPS</v>
      </c>
      <c r="E149" s="185" t="s">
        <v>137</v>
      </c>
      <c r="F149" s="185" t="s">
        <v>137</v>
      </c>
      <c r="G149" s="185" t="s">
        <v>137</v>
      </c>
      <c r="H149" s="185" t="s">
        <v>137</v>
      </c>
      <c r="I149" s="185">
        <v>0</v>
      </c>
      <c r="J149" s="185">
        <f>INDEX('[4]TS BYDem'!$J$10:$J$203,MATCH(D149,'[4]TS BYDem'!$D$10:$D$203,0))</f>
        <v>27.288197120140854</v>
      </c>
      <c r="K149" s="185">
        <f t="shared" ca="1" si="58"/>
        <v>28.105014931270503</v>
      </c>
      <c r="L149" s="185">
        <f t="shared" ca="1" si="57"/>
        <v>28.68581022429229</v>
      </c>
      <c r="M149" s="185">
        <f t="shared" ca="1" si="57"/>
        <v>29.005144291096087</v>
      </c>
      <c r="N149" s="185">
        <f t="shared" ca="1" si="57"/>
        <v>29.316210809244769</v>
      </c>
      <c r="O149" s="185">
        <f t="shared" ca="1" si="57"/>
        <v>29.567854321434812</v>
      </c>
      <c r="P149" s="185">
        <f t="shared" ca="1" si="57"/>
        <v>29.902690041966945</v>
      </c>
      <c r="Q149" s="185">
        <f t="shared" ca="1" si="57"/>
        <v>29.839649983471698</v>
      </c>
      <c r="R149" s="185">
        <f t="shared" ca="1" si="57"/>
        <v>27.504584210192824</v>
      </c>
      <c r="S149" s="185">
        <f t="shared" ca="1" si="57"/>
        <v>29.690976038522702</v>
      </c>
      <c r="T149" s="185">
        <f t="shared" ca="1" si="57"/>
        <v>30.016158420436753</v>
      </c>
      <c r="U149" s="185">
        <f t="shared" ca="1" si="57"/>
        <v>30.357958907091319</v>
      </c>
      <c r="V149" s="185">
        <f t="shared" ca="1" si="57"/>
        <v>30.738815682972149</v>
      </c>
      <c r="W149" s="185">
        <f t="shared" ca="1" si="57"/>
        <v>31.115926530030514</v>
      </c>
      <c r="X149" s="185">
        <f t="shared" ca="1" si="57"/>
        <v>31.948022502224518</v>
      </c>
      <c r="Y149" s="185">
        <f t="shared" ca="1" si="57"/>
        <v>32.791117671932163</v>
      </c>
      <c r="Z149" s="185">
        <f t="shared" ca="1" si="57"/>
        <v>33.70252824848798</v>
      </c>
      <c r="AA149" s="185">
        <f t="shared" ca="1" si="56"/>
        <v>34.632727485815842</v>
      </c>
      <c r="AB149" s="185">
        <f t="shared" ca="1" si="56"/>
        <v>35.446803176997783</v>
      </c>
      <c r="AC149" s="185">
        <f t="shared" ca="1" si="56"/>
        <v>36.390872503255679</v>
      </c>
      <c r="AD149" s="185">
        <f t="shared" ca="1" si="56"/>
        <v>37.378476260481442</v>
      </c>
      <c r="AE149" s="185">
        <f t="shared" ca="1" si="56"/>
        <v>38.364037686143739</v>
      </c>
      <c r="AF149" s="185">
        <f t="shared" ca="1" si="56"/>
        <v>39.332463697063432</v>
      </c>
      <c r="AG149" s="185">
        <f t="shared" ca="1" si="56"/>
        <v>40.390815333356194</v>
      </c>
      <c r="AH149" s="185">
        <f t="shared" ca="1" si="56"/>
        <v>41.421087697679468</v>
      </c>
      <c r="AI149" s="185">
        <f t="shared" ca="1" si="56"/>
        <v>42.493011131729318</v>
      </c>
      <c r="AJ149" s="185">
        <f t="shared" ca="1" si="56"/>
        <v>43.547618973616473</v>
      </c>
      <c r="AK149" s="185">
        <f t="shared" ca="1" si="56"/>
        <v>44.639072535027054</v>
      </c>
      <c r="AL149" s="185">
        <f t="shared" ca="1" si="56"/>
        <v>45.796368540298751</v>
      </c>
      <c r="AM149" s="185">
        <f t="shared" ca="1" si="56"/>
        <v>52.292507107287562</v>
      </c>
      <c r="AN149" s="185">
        <f t="shared" ca="1" si="56"/>
        <v>59.650066664747037</v>
      </c>
      <c r="AO149" s="185">
        <f t="shared" ca="1" si="56"/>
        <v>73.360194624116716</v>
      </c>
      <c r="AP149" s="185">
        <f t="shared" ca="1" si="56"/>
        <v>87.213892748565286</v>
      </c>
    </row>
    <row r="150" spans="1:42">
      <c r="A150" s="57" t="str">
        <f>'[4]TS BYDem'!A89</f>
        <v>*</v>
      </c>
      <c r="B150" s="185" t="s">
        <v>288</v>
      </c>
      <c r="C150" s="185" t="s">
        <v>137</v>
      </c>
      <c r="D150" s="185">
        <f>'[4]TS BYDem'!D89</f>
        <v>0</v>
      </c>
      <c r="E150" s="185" t="s">
        <v>137</v>
      </c>
      <c r="F150" s="185" t="s">
        <v>137</v>
      </c>
      <c r="G150" s="185" t="s">
        <v>137</v>
      </c>
      <c r="H150" s="185" t="s">
        <v>137</v>
      </c>
      <c r="I150" s="185">
        <v>0</v>
      </c>
      <c r="J150" s="185" t="str">
        <f>INDEX('[4]TS BYDem'!$J$10:$J$203,MATCH(D150,'[4]TS BYDem'!$D$10:$D$203,0))</f>
        <v/>
      </c>
      <c r="K150" s="185" t="e">
        <f t="shared" ca="1" si="58"/>
        <v>#VALUE!</v>
      </c>
      <c r="L150" s="185" t="e">
        <f t="shared" ca="1" si="57"/>
        <v>#VALUE!</v>
      </c>
      <c r="M150" s="185" t="e">
        <f t="shared" ca="1" si="57"/>
        <v>#VALUE!</v>
      </c>
      <c r="N150" s="185" t="e">
        <f t="shared" ca="1" si="57"/>
        <v>#VALUE!</v>
      </c>
      <c r="O150" s="185" t="e">
        <f t="shared" ca="1" si="57"/>
        <v>#VALUE!</v>
      </c>
      <c r="P150" s="185" t="e">
        <f t="shared" ca="1" si="57"/>
        <v>#VALUE!</v>
      </c>
      <c r="Q150" s="185" t="e">
        <f t="shared" ca="1" si="57"/>
        <v>#VALUE!</v>
      </c>
      <c r="R150" s="185" t="e">
        <f t="shared" ca="1" si="57"/>
        <v>#VALUE!</v>
      </c>
      <c r="S150" s="185" t="e">
        <f t="shared" ca="1" si="57"/>
        <v>#VALUE!</v>
      </c>
      <c r="T150" s="185" t="e">
        <f t="shared" ca="1" si="57"/>
        <v>#VALUE!</v>
      </c>
      <c r="U150" s="185" t="e">
        <f t="shared" ca="1" si="57"/>
        <v>#VALUE!</v>
      </c>
      <c r="V150" s="185" t="e">
        <f t="shared" ca="1" si="57"/>
        <v>#VALUE!</v>
      </c>
      <c r="W150" s="185" t="e">
        <f t="shared" ca="1" si="57"/>
        <v>#VALUE!</v>
      </c>
      <c r="X150" s="185" t="e">
        <f t="shared" ca="1" si="57"/>
        <v>#VALUE!</v>
      </c>
      <c r="Y150" s="185" t="e">
        <f t="shared" ca="1" si="57"/>
        <v>#VALUE!</v>
      </c>
      <c r="Z150" s="185" t="e">
        <f t="shared" ca="1" si="57"/>
        <v>#VALUE!</v>
      </c>
      <c r="AA150" s="185" t="e">
        <f t="shared" ref="AA150:AP153" ca="1" si="61">AA$133/Z$133*Z150</f>
        <v>#VALUE!</v>
      </c>
      <c r="AB150" s="185" t="e">
        <f t="shared" ca="1" si="61"/>
        <v>#VALUE!</v>
      </c>
      <c r="AC150" s="185" t="e">
        <f t="shared" ca="1" si="61"/>
        <v>#VALUE!</v>
      </c>
      <c r="AD150" s="185" t="e">
        <f t="shared" ca="1" si="61"/>
        <v>#VALUE!</v>
      </c>
      <c r="AE150" s="185" t="e">
        <f t="shared" ca="1" si="61"/>
        <v>#VALUE!</v>
      </c>
      <c r="AF150" s="185" t="e">
        <f t="shared" ca="1" si="61"/>
        <v>#VALUE!</v>
      </c>
      <c r="AG150" s="185" t="e">
        <f t="shared" ca="1" si="61"/>
        <v>#VALUE!</v>
      </c>
      <c r="AH150" s="185" t="e">
        <f t="shared" ca="1" si="61"/>
        <v>#VALUE!</v>
      </c>
      <c r="AI150" s="185" t="e">
        <f t="shared" ca="1" si="61"/>
        <v>#VALUE!</v>
      </c>
      <c r="AJ150" s="185" t="e">
        <f t="shared" ca="1" si="61"/>
        <v>#VALUE!</v>
      </c>
      <c r="AK150" s="185" t="e">
        <f t="shared" ca="1" si="61"/>
        <v>#VALUE!</v>
      </c>
      <c r="AL150" s="185" t="e">
        <f t="shared" ca="1" si="61"/>
        <v>#VALUE!</v>
      </c>
      <c r="AM150" s="185" t="e">
        <f t="shared" ca="1" si="61"/>
        <v>#VALUE!</v>
      </c>
      <c r="AN150" s="185" t="e">
        <f t="shared" ca="1" si="61"/>
        <v>#VALUE!</v>
      </c>
      <c r="AO150" s="185" t="e">
        <f t="shared" ca="1" si="61"/>
        <v>#VALUE!</v>
      </c>
      <c r="AP150" s="185" t="e">
        <f t="shared" ca="1" si="61"/>
        <v>#VALUE!</v>
      </c>
    </row>
    <row r="151" spans="1:42">
      <c r="A151" s="57" t="str">
        <f>'[4]TS BYDem'!A90</f>
        <v/>
      </c>
      <c r="B151" s="185" t="s">
        <v>288</v>
      </c>
      <c r="C151" s="185" t="s">
        <v>137</v>
      </c>
      <c r="D151" s="185" t="str">
        <f>'[4]TS BYDem'!D90</f>
        <v>ICPT</v>
      </c>
      <c r="E151" s="185" t="s">
        <v>137</v>
      </c>
      <c r="F151" s="185" t="s">
        <v>137</v>
      </c>
      <c r="G151" s="185" t="s">
        <v>137</v>
      </c>
      <c r="H151" s="185" t="s">
        <v>137</v>
      </c>
      <c r="I151" s="185">
        <v>0</v>
      </c>
      <c r="J151" s="185">
        <f>INDEX('[4]TS BYDem'!$J$10:$J$203,MATCH(D151,'[4]TS BYDem'!$D$10:$D$203,0))</f>
        <v>39.004000030517574</v>
      </c>
      <c r="K151" s="185">
        <f t="shared" ca="1" si="58"/>
        <v>40.171507058921208</v>
      </c>
      <c r="L151" s="185">
        <f t="shared" ca="1" si="58"/>
        <v>41.001658626905382</v>
      </c>
      <c r="M151" s="192">
        <f t="shared" ref="M151" si="62">O151</f>
        <v>28.64</v>
      </c>
      <c r="N151" s="192">
        <f t="shared" ref="N151" si="63">O151</f>
        <v>28.64</v>
      </c>
      <c r="O151" s="192">
        <f>INDEX('[4]TS BYDem'!$O$10:$O$203,MATCH(D151,'[4]TS BYDem'!$D$10:$D$203,0))</f>
        <v>28.64</v>
      </c>
      <c r="P151" s="185">
        <f t="shared" ref="P151:Z153" ca="1" si="64">P$133/O$133*O151</f>
        <v>28.964328405158856</v>
      </c>
      <c r="Q151" s="185">
        <f t="shared" ca="1" si="64"/>
        <v>28.903266575792529</v>
      </c>
      <c r="R151" s="185">
        <f t="shared" ca="1" si="64"/>
        <v>26.641476355247985</v>
      </c>
      <c r="S151" s="185">
        <f t="shared" ca="1" si="64"/>
        <v>28.759258094925102</v>
      </c>
      <c r="T151" s="185">
        <f t="shared" ca="1" si="64"/>
        <v>29.074236088146169</v>
      </c>
      <c r="U151" s="185">
        <f t="shared" ca="1" si="64"/>
        <v>29.405310701520811</v>
      </c>
      <c r="V151" s="185">
        <f t="shared" ca="1" si="64"/>
        <v>29.774215997882457</v>
      </c>
      <c r="W151" s="185">
        <f t="shared" ca="1" si="64"/>
        <v>30.139492914575118</v>
      </c>
      <c r="X151" s="185">
        <f t="shared" ca="1" si="64"/>
        <v>30.945477291546297</v>
      </c>
      <c r="Y151" s="185">
        <f t="shared" ca="1" si="64"/>
        <v>31.762115705613514</v>
      </c>
      <c r="Z151" s="185">
        <f t="shared" ca="1" si="64"/>
        <v>32.644925754283015</v>
      </c>
      <c r="AA151" s="185">
        <f t="shared" ca="1" si="61"/>
        <v>33.545934865984336</v>
      </c>
      <c r="AB151" s="185">
        <f t="shared" ca="1" si="61"/>
        <v>34.334464447535638</v>
      </c>
      <c r="AC151" s="185">
        <f t="shared" ca="1" si="61"/>
        <v>35.248908397715184</v>
      </c>
      <c r="AD151" s="185">
        <f t="shared" ca="1" si="61"/>
        <v>36.205520646255685</v>
      </c>
      <c r="AE151" s="185">
        <f t="shared" ca="1" si="61"/>
        <v>37.160154652636926</v>
      </c>
      <c r="AF151" s="185">
        <f t="shared" ca="1" si="61"/>
        <v>38.09819096231373</v>
      </c>
      <c r="AG151" s="185">
        <f t="shared" ca="1" si="61"/>
        <v>39.123330985458765</v>
      </c>
      <c r="AH151" s="185">
        <f t="shared" ca="1" si="61"/>
        <v>40.121272878483708</v>
      </c>
      <c r="AI151" s="185">
        <f t="shared" ca="1" si="61"/>
        <v>41.159558809462887</v>
      </c>
      <c r="AJ151" s="185">
        <f t="shared" ca="1" si="61"/>
        <v>42.181072520376709</v>
      </c>
      <c r="AK151" s="185">
        <f t="shared" ca="1" si="61"/>
        <v>43.238275713377362</v>
      </c>
      <c r="AL151" s="185">
        <f t="shared" ca="1" si="61"/>
        <v>44.35925518083075</v>
      </c>
      <c r="AM151" s="185">
        <f t="shared" ca="1" si="61"/>
        <v>50.651541612439878</v>
      </c>
      <c r="AN151" s="185">
        <f t="shared" ca="1" si="61"/>
        <v>57.778217205294119</v>
      </c>
      <c r="AO151" s="185">
        <f t="shared" ca="1" si="61"/>
        <v>71.058114369549799</v>
      </c>
      <c r="AP151" s="185">
        <f t="shared" ca="1" si="61"/>
        <v>84.477076394013451</v>
      </c>
    </row>
    <row r="152" spans="1:42">
      <c r="A152" s="57" t="str">
        <f>'[4]TS BYDem'!A91</f>
        <v>*</v>
      </c>
      <c r="B152" s="185" t="s">
        <v>288</v>
      </c>
      <c r="C152" s="185" t="s">
        <v>137</v>
      </c>
      <c r="D152" s="185" t="str">
        <f>'[4]TS BYDem'!D91</f>
        <v>Useful Energy Service</v>
      </c>
      <c r="E152" s="185" t="s">
        <v>137</v>
      </c>
      <c r="F152" s="185" t="s">
        <v>137</v>
      </c>
      <c r="G152" s="185" t="s">
        <v>137</v>
      </c>
      <c r="H152" s="185" t="s">
        <v>137</v>
      </c>
      <c r="I152" s="185">
        <v>0</v>
      </c>
      <c r="J152" s="185" t="str">
        <f>INDEX('[4]TS BYDem'!$J$10:$J$203,MATCH(D152,'[4]TS BYDem'!$D$10:$D$203,0))</f>
        <v/>
      </c>
      <c r="K152" s="185" t="e">
        <f t="shared" ca="1" si="58"/>
        <v>#VALUE!</v>
      </c>
      <c r="L152" s="185" t="e">
        <f t="shared" ca="1" si="58"/>
        <v>#VALUE!</v>
      </c>
      <c r="M152" s="185" t="e">
        <f t="shared" ca="1" si="58"/>
        <v>#VALUE!</v>
      </c>
      <c r="N152" s="185" t="e">
        <f t="shared" ca="1" si="58"/>
        <v>#VALUE!</v>
      </c>
      <c r="O152" s="185" t="e">
        <f t="shared" ca="1" si="58"/>
        <v>#VALUE!</v>
      </c>
      <c r="P152" s="185" t="e">
        <f t="shared" ca="1" si="64"/>
        <v>#VALUE!</v>
      </c>
      <c r="Q152" s="185" t="e">
        <f t="shared" ca="1" si="64"/>
        <v>#VALUE!</v>
      </c>
      <c r="R152" s="185" t="e">
        <f t="shared" ca="1" si="64"/>
        <v>#VALUE!</v>
      </c>
      <c r="S152" s="185" t="e">
        <f t="shared" ca="1" si="64"/>
        <v>#VALUE!</v>
      </c>
      <c r="T152" s="185" t="e">
        <f t="shared" ca="1" si="64"/>
        <v>#VALUE!</v>
      </c>
      <c r="U152" s="185" t="e">
        <f t="shared" ca="1" si="64"/>
        <v>#VALUE!</v>
      </c>
      <c r="V152" s="185" t="e">
        <f t="shared" ca="1" si="64"/>
        <v>#VALUE!</v>
      </c>
      <c r="W152" s="185" t="e">
        <f t="shared" ca="1" si="64"/>
        <v>#VALUE!</v>
      </c>
      <c r="X152" s="185" t="e">
        <f t="shared" ca="1" si="64"/>
        <v>#VALUE!</v>
      </c>
      <c r="Y152" s="185" t="e">
        <f t="shared" ca="1" si="64"/>
        <v>#VALUE!</v>
      </c>
      <c r="Z152" s="185" t="e">
        <f t="shared" ca="1" si="64"/>
        <v>#VALUE!</v>
      </c>
      <c r="AA152" s="185" t="e">
        <f t="shared" ca="1" si="61"/>
        <v>#VALUE!</v>
      </c>
      <c r="AB152" s="185" t="e">
        <f t="shared" ca="1" si="61"/>
        <v>#VALUE!</v>
      </c>
      <c r="AC152" s="185" t="e">
        <f t="shared" ca="1" si="61"/>
        <v>#VALUE!</v>
      </c>
      <c r="AD152" s="185" t="e">
        <f t="shared" ca="1" si="61"/>
        <v>#VALUE!</v>
      </c>
      <c r="AE152" s="185" t="e">
        <f t="shared" ca="1" si="61"/>
        <v>#VALUE!</v>
      </c>
      <c r="AF152" s="185" t="e">
        <f t="shared" ca="1" si="61"/>
        <v>#VALUE!</v>
      </c>
      <c r="AG152" s="185" t="e">
        <f t="shared" ca="1" si="61"/>
        <v>#VALUE!</v>
      </c>
      <c r="AH152" s="185" t="e">
        <f t="shared" ca="1" si="61"/>
        <v>#VALUE!</v>
      </c>
      <c r="AI152" s="185" t="e">
        <f t="shared" ca="1" si="61"/>
        <v>#VALUE!</v>
      </c>
      <c r="AJ152" s="185" t="e">
        <f t="shared" ca="1" si="61"/>
        <v>#VALUE!</v>
      </c>
      <c r="AK152" s="185" t="e">
        <f t="shared" ca="1" si="61"/>
        <v>#VALUE!</v>
      </c>
      <c r="AL152" s="185" t="e">
        <f t="shared" ca="1" si="61"/>
        <v>#VALUE!</v>
      </c>
      <c r="AM152" s="185" t="e">
        <f t="shared" ca="1" si="61"/>
        <v>#VALUE!</v>
      </c>
      <c r="AN152" s="185" t="e">
        <f t="shared" ca="1" si="61"/>
        <v>#VALUE!</v>
      </c>
      <c r="AO152" s="185" t="e">
        <f t="shared" ca="1" si="61"/>
        <v>#VALUE!</v>
      </c>
      <c r="AP152" s="185" t="e">
        <f t="shared" ca="1" si="61"/>
        <v>#VALUE!</v>
      </c>
    </row>
    <row r="153" spans="1:42">
      <c r="A153" s="57" t="str">
        <f>'[4]TS BYDem'!A92</f>
        <v>*</v>
      </c>
      <c r="B153" s="185" t="s">
        <v>288</v>
      </c>
      <c r="C153" s="185" t="s">
        <v>137</v>
      </c>
      <c r="D153" s="185">
        <f>'[4]TS BYDem'!D92</f>
        <v>0</v>
      </c>
      <c r="E153" s="185" t="s">
        <v>137</v>
      </c>
      <c r="F153" s="185" t="s">
        <v>137</v>
      </c>
      <c r="G153" s="185" t="s">
        <v>137</v>
      </c>
      <c r="H153" s="185" t="s">
        <v>137</v>
      </c>
      <c r="I153" s="185">
        <v>0</v>
      </c>
      <c r="J153" s="185" t="str">
        <f>INDEX('[4]TS BYDem'!$J$10:$J$203,MATCH(D153,'[4]TS BYDem'!$D$10:$D$203,0))</f>
        <v/>
      </c>
      <c r="K153" s="185" t="e">
        <f t="shared" ca="1" si="58"/>
        <v>#VALUE!</v>
      </c>
      <c r="L153" s="185" t="e">
        <f t="shared" ca="1" si="58"/>
        <v>#VALUE!</v>
      </c>
      <c r="M153" s="185" t="e">
        <f t="shared" ca="1" si="58"/>
        <v>#VALUE!</v>
      </c>
      <c r="N153" s="185" t="e">
        <f t="shared" ca="1" si="58"/>
        <v>#VALUE!</v>
      </c>
      <c r="O153" s="185" t="e">
        <f t="shared" ca="1" si="58"/>
        <v>#VALUE!</v>
      </c>
      <c r="P153" s="185" t="e">
        <f t="shared" ca="1" si="64"/>
        <v>#VALUE!</v>
      </c>
      <c r="Q153" s="185" t="e">
        <f t="shared" ca="1" si="64"/>
        <v>#VALUE!</v>
      </c>
      <c r="R153" s="185" t="e">
        <f t="shared" ca="1" si="64"/>
        <v>#VALUE!</v>
      </c>
      <c r="S153" s="185" t="e">
        <f t="shared" ca="1" si="64"/>
        <v>#VALUE!</v>
      </c>
      <c r="T153" s="185" t="e">
        <f t="shared" ca="1" si="64"/>
        <v>#VALUE!</v>
      </c>
      <c r="U153" s="185" t="e">
        <f t="shared" ca="1" si="64"/>
        <v>#VALUE!</v>
      </c>
      <c r="V153" s="185" t="e">
        <f t="shared" ca="1" si="64"/>
        <v>#VALUE!</v>
      </c>
      <c r="W153" s="185" t="e">
        <f t="shared" ca="1" si="64"/>
        <v>#VALUE!</v>
      </c>
      <c r="X153" s="185" t="e">
        <f t="shared" ca="1" si="64"/>
        <v>#VALUE!</v>
      </c>
      <c r="Y153" s="185" t="e">
        <f t="shared" ca="1" si="64"/>
        <v>#VALUE!</v>
      </c>
      <c r="Z153" s="185" t="e">
        <f t="shared" ca="1" si="64"/>
        <v>#VALUE!</v>
      </c>
      <c r="AA153" s="185" t="e">
        <f t="shared" ca="1" si="61"/>
        <v>#VALUE!</v>
      </c>
      <c r="AB153" s="185" t="e">
        <f t="shared" ca="1" si="61"/>
        <v>#VALUE!</v>
      </c>
      <c r="AC153" s="185" t="e">
        <f t="shared" ca="1" si="61"/>
        <v>#VALUE!</v>
      </c>
      <c r="AD153" s="185" t="e">
        <f t="shared" ca="1" si="61"/>
        <v>#VALUE!</v>
      </c>
      <c r="AE153" s="185" t="e">
        <f t="shared" ca="1" si="61"/>
        <v>#VALUE!</v>
      </c>
      <c r="AF153" s="185" t="e">
        <f t="shared" ca="1" si="61"/>
        <v>#VALUE!</v>
      </c>
      <c r="AG153" s="185" t="e">
        <f t="shared" ca="1" si="61"/>
        <v>#VALUE!</v>
      </c>
      <c r="AH153" s="185" t="e">
        <f t="shared" ca="1" si="61"/>
        <v>#VALUE!</v>
      </c>
      <c r="AI153" s="185" t="e">
        <f t="shared" ca="1" si="61"/>
        <v>#VALUE!</v>
      </c>
      <c r="AJ153" s="185" t="e">
        <f t="shared" ca="1" si="61"/>
        <v>#VALUE!</v>
      </c>
      <c r="AK153" s="185" t="e">
        <f t="shared" ca="1" si="61"/>
        <v>#VALUE!</v>
      </c>
      <c r="AL153" s="185" t="e">
        <f t="shared" ca="1" si="61"/>
        <v>#VALUE!</v>
      </c>
      <c r="AM153" s="185" t="e">
        <f t="shared" ca="1" si="61"/>
        <v>#VALUE!</v>
      </c>
      <c r="AN153" s="185" t="e">
        <f t="shared" ca="1" si="61"/>
        <v>#VALUE!</v>
      </c>
      <c r="AO153" s="185" t="e">
        <f t="shared" ca="1" si="61"/>
        <v>#VALUE!</v>
      </c>
      <c r="AP153" s="185" t="e">
        <f t="shared" ca="1" si="61"/>
        <v>#VALUE!</v>
      </c>
    </row>
    <row r="154" spans="1:42" s="5" customFormat="1">
      <c r="A154" s="57" t="str">
        <f>'[4]TS BYDem'!A89</f>
        <v>*</v>
      </c>
      <c r="B154" s="5">
        <f>B133+1</f>
        <v>5</v>
      </c>
      <c r="C154" s="3" t="str">
        <f ca="1">OFFSET($C$9,$B154,0)</f>
        <v>Precious &amp; Non-Ferrous metals</v>
      </c>
      <c r="D154" s="3" t="str">
        <f ca="1">OFFSET($B$9,$B154,0)</f>
        <v>NF</v>
      </c>
      <c r="J154" s="5">
        <f ca="1">SUMIF($B$10:$B$22,$D154,J$10:J$22)*SUMIF($B$10:$B$22,$D154,J$41:J$53)</f>
        <v>10.112362730183554</v>
      </c>
      <c r="K154" s="5">
        <f t="shared" ref="K154:AP154" ca="1" si="65">SUMIF($B$10:$B$22,$D154,K$10:K$22)*SUMIF($B$10:$B$22,$D154,K$41:K$53)</f>
        <v>8.5809999999999995</v>
      </c>
      <c r="L154" s="5">
        <f t="shared" ca="1" si="65"/>
        <v>7.8769999999999998</v>
      </c>
      <c r="M154" s="5">
        <f t="shared" ca="1" si="65"/>
        <v>7.9880000000000004</v>
      </c>
      <c r="N154" s="5">
        <f t="shared" ca="1" si="65"/>
        <v>7.7750000000000004</v>
      </c>
      <c r="O154" s="5">
        <f t="shared" ca="1" si="65"/>
        <v>7.4850000000000003</v>
      </c>
      <c r="P154" s="5">
        <f t="shared" ca="1" si="65"/>
        <v>7.3470000000000004</v>
      </c>
      <c r="Q154" s="5">
        <f t="shared" ca="1" si="65"/>
        <v>7.0549999999999997</v>
      </c>
      <c r="R154" s="5">
        <f t="shared" ca="1" si="65"/>
        <v>5.7949999999999999</v>
      </c>
      <c r="S154" s="5">
        <f t="shared" ca="1" si="65"/>
        <v>6.518960252154204</v>
      </c>
      <c r="T154" s="5">
        <f t="shared" ca="1" si="65"/>
        <v>6.4270706798085069</v>
      </c>
      <c r="U154" s="5">
        <f t="shared" ca="1" si="65"/>
        <v>6.3526299448519064</v>
      </c>
      <c r="V154" s="5">
        <f t="shared" ca="1" si="65"/>
        <v>6.3175278563365467</v>
      </c>
      <c r="W154" s="5">
        <f t="shared" ca="1" si="65"/>
        <v>6.3170883768032464</v>
      </c>
      <c r="X154" s="5">
        <f t="shared" ca="1" si="65"/>
        <v>6.4660855827431662</v>
      </c>
      <c r="Y154" s="5">
        <f t="shared" ca="1" si="65"/>
        <v>6.6227413468262029</v>
      </c>
      <c r="Z154" s="5">
        <f t="shared" ca="1" si="65"/>
        <v>6.8003194350491345</v>
      </c>
      <c r="AA154" s="5">
        <f t="shared" ca="1" si="65"/>
        <v>7.0581063883289872</v>
      </c>
      <c r="AB154" s="5">
        <f ca="1">SUMIF($B$10:$B$22,$D154,AB$10:AB$22)*SUMIF($B$10:$B$22,$D154,AB$40:AB$53)</f>
        <v>7.2857135683160434</v>
      </c>
      <c r="AC154" s="5">
        <f t="shared" ca="1" si="65"/>
        <v>7.5992830661693977</v>
      </c>
      <c r="AD154" s="5">
        <f t="shared" ca="1" si="65"/>
        <v>7.9677573759525409</v>
      </c>
      <c r="AE154" s="5">
        <f t="shared" ca="1" si="65"/>
        <v>8.3384220275036629</v>
      </c>
      <c r="AF154" s="5">
        <f t="shared" ca="1" si="65"/>
        <v>8.7357461295881151</v>
      </c>
      <c r="AG154" s="5">
        <f t="shared" ca="1" si="65"/>
        <v>9.2381149671171627</v>
      </c>
      <c r="AH154" s="5">
        <f t="shared" ca="1" si="65"/>
        <v>9.6902800359668433</v>
      </c>
      <c r="AI154" s="5">
        <f t="shared" ca="1" si="65"/>
        <v>10.147488571310493</v>
      </c>
      <c r="AJ154" s="5">
        <f t="shared" ca="1" si="65"/>
        <v>10.588983829229196</v>
      </c>
      <c r="AK154" s="5">
        <f t="shared" ca="1" si="65"/>
        <v>11.035320346735213</v>
      </c>
      <c r="AL154" s="5">
        <f t="shared" ca="1" si="65"/>
        <v>11.495405668882599</v>
      </c>
      <c r="AM154" s="5">
        <f t="shared" ca="1" si="65"/>
        <v>13.697282500147978</v>
      </c>
      <c r="AN154" s="5">
        <f t="shared" ca="1" si="65"/>
        <v>15.663536521429563</v>
      </c>
      <c r="AO154" s="5">
        <f t="shared" ca="1" si="65"/>
        <v>19.870937842307171</v>
      </c>
      <c r="AP154" s="5">
        <f t="shared" ca="1" si="65"/>
        <v>24.039068694854109</v>
      </c>
    </row>
    <row r="155" spans="1:42">
      <c r="A155" s="57" t="str">
        <f>'[4]TS BYDem'!A94</f>
        <v/>
      </c>
      <c r="B155" s="185" t="s">
        <v>288</v>
      </c>
      <c r="C155" s="185" t="s">
        <v>137</v>
      </c>
      <c r="D155" s="185" t="str">
        <f>'[4]TS BYDem'!D94</f>
        <v>INFK</v>
      </c>
      <c r="E155" s="185" t="s">
        <v>137</v>
      </c>
      <c r="F155" s="185" t="s">
        <v>137</v>
      </c>
      <c r="G155" s="185" t="s">
        <v>137</v>
      </c>
      <c r="H155" s="185" t="s">
        <v>137</v>
      </c>
      <c r="I155" s="185">
        <v>0</v>
      </c>
      <c r="J155" s="185">
        <f>INDEX('[4]TS BYDem'!$J$10:$J$203,MATCH(D155,'[4]TS BYDem'!$D$10:$D$203,0))</f>
        <v>0.66789588210349726</v>
      </c>
      <c r="K155" s="185">
        <f ca="1">K$154/J$154*J155</f>
        <v>0.56675326204661181</v>
      </c>
      <c r="L155" s="185">
        <f t="shared" ref="L155:AP164" ca="1" si="66">L$154/K$154*K155</f>
        <v>0.52025584956778481</v>
      </c>
      <c r="M155" s="192">
        <f t="shared" ref="M155:M163" si="67">O155</f>
        <v>0.16707000000000002</v>
      </c>
      <c r="N155" s="192">
        <f t="shared" ref="N155:N163" si="68">O155</f>
        <v>0.16707000000000002</v>
      </c>
      <c r="O155" s="192">
        <f>INDEX('[4]TS BYDem'!$O$10:$O$203,MATCH(D155,'[4]TS BYDem'!$D$10:$D$203,0))</f>
        <v>0.16707000000000002</v>
      </c>
      <c r="P155" s="185">
        <f t="shared" ca="1" si="66"/>
        <v>0.16398975150300604</v>
      </c>
      <c r="Q155" s="185">
        <f t="shared" ca="1" si="66"/>
        <v>0.15747212424849702</v>
      </c>
      <c r="R155" s="185">
        <f t="shared" ca="1" si="66"/>
        <v>0.12934811623246498</v>
      </c>
      <c r="S155" s="185">
        <f t="shared" ca="1" si="66"/>
        <v>0.14550737332363436</v>
      </c>
      <c r="T155" s="185">
        <f t="shared" ca="1" si="66"/>
        <v>0.14345633914169775</v>
      </c>
      <c r="U155" s="185">
        <f t="shared" ca="1" si="66"/>
        <v>0.14179477419992098</v>
      </c>
      <c r="V155" s="185">
        <f t="shared" ca="1" si="66"/>
        <v>0.14101127307390079</v>
      </c>
      <c r="W155" s="185">
        <f t="shared" ca="1" si="66"/>
        <v>0.14100146360888699</v>
      </c>
      <c r="X155" s="185">
        <f t="shared" ca="1" si="66"/>
        <v>0.14432717679477644</v>
      </c>
      <c r="Y155" s="185">
        <f t="shared" ca="1" si="66"/>
        <v>0.14782383390972004</v>
      </c>
      <c r="Z155" s="185">
        <f t="shared" ca="1" si="66"/>
        <v>0.15178749071658781</v>
      </c>
      <c r="AA155" s="185">
        <f t="shared" ca="1" si="66"/>
        <v>0.15754146082807277</v>
      </c>
      <c r="AB155" s="185">
        <f t="shared" ca="1" si="66"/>
        <v>0.1626217990459001</v>
      </c>
      <c r="AC155" s="185">
        <f t="shared" ca="1" si="66"/>
        <v>0.16962087132463891</v>
      </c>
      <c r="AD155" s="185">
        <f t="shared" ca="1" si="66"/>
        <v>0.17784545421514922</v>
      </c>
      <c r="AE155" s="185">
        <f t="shared" ca="1" si="66"/>
        <v>0.18611892693854881</v>
      </c>
      <c r="AF155" s="185">
        <f t="shared" ca="1" si="66"/>
        <v>0.19498745569409315</v>
      </c>
      <c r="AG155" s="185">
        <f t="shared" ca="1" si="66"/>
        <v>0.20620065030811827</v>
      </c>
      <c r="AH155" s="185">
        <f t="shared" ca="1" si="66"/>
        <v>0.21629326461041837</v>
      </c>
      <c r="AI155" s="185">
        <f t="shared" ca="1" si="66"/>
        <v>0.226498452319151</v>
      </c>
      <c r="AJ155" s="185">
        <f t="shared" ca="1" si="66"/>
        <v>0.23635290959910796</v>
      </c>
      <c r="AK155" s="185">
        <f t="shared" ca="1" si="66"/>
        <v>0.24631542689766914</v>
      </c>
      <c r="AL155" s="185">
        <f t="shared" ca="1" si="66"/>
        <v>0.25658482633269436</v>
      </c>
      <c r="AM155" s="185">
        <f t="shared" ca="1" si="66"/>
        <v>0.30573212923176013</v>
      </c>
      <c r="AN155" s="185">
        <f t="shared" ca="1" si="66"/>
        <v>0.3496201799111876</v>
      </c>
      <c r="AO155" s="185">
        <f t="shared" ca="1" si="66"/>
        <v>0.44353207552628743</v>
      </c>
      <c r="AP155" s="185">
        <f t="shared" ca="1" si="66"/>
        <v>0.53656742910478006</v>
      </c>
    </row>
    <row r="156" spans="1:42">
      <c r="A156" s="57" t="str">
        <f>'[4]TS BYDem'!A95</f>
        <v/>
      </c>
      <c r="B156" s="185" t="s">
        <v>288</v>
      </c>
      <c r="C156" s="185" t="s">
        <v>137</v>
      </c>
      <c r="D156" s="185" t="str">
        <f>'[4]TS BYDem'!D95</f>
        <v>INFA</v>
      </c>
      <c r="E156" s="185" t="s">
        <v>137</v>
      </c>
      <c r="F156" s="185" t="s">
        <v>137</v>
      </c>
      <c r="G156" s="185" t="s">
        <v>137</v>
      </c>
      <c r="H156" s="185" t="s">
        <v>137</v>
      </c>
      <c r="I156" s="185">
        <v>0</v>
      </c>
      <c r="J156" s="185">
        <f>INDEX('[4]TS BYDem'!$J$10:$J$203,MATCH(D156,'[4]TS BYDem'!$D$10:$D$203,0))</f>
        <v>0</v>
      </c>
      <c r="K156" s="185">
        <f t="shared" ref="K156:N172" ca="1" si="69">K$154/J$154*J156</f>
        <v>0</v>
      </c>
      <c r="L156" s="185">
        <f t="shared" ca="1" si="66"/>
        <v>0</v>
      </c>
      <c r="M156" s="192">
        <f t="shared" si="67"/>
        <v>0</v>
      </c>
      <c r="N156" s="192">
        <f t="shared" si="68"/>
        <v>0</v>
      </c>
      <c r="O156" s="192">
        <f>INDEX('[4]TS BYDem'!$O$10:$O$203,MATCH(D156,'[4]TS BYDem'!$D$10:$D$203,0))</f>
        <v>0</v>
      </c>
      <c r="P156" s="185">
        <f t="shared" ca="1" si="66"/>
        <v>0</v>
      </c>
      <c r="Q156" s="185">
        <f t="shared" ca="1" si="66"/>
        <v>0</v>
      </c>
      <c r="R156" s="185">
        <f t="shared" ca="1" si="66"/>
        <v>0</v>
      </c>
      <c r="S156" s="185">
        <f t="shared" ca="1" si="66"/>
        <v>0</v>
      </c>
      <c r="T156" s="185">
        <f t="shared" ca="1" si="66"/>
        <v>0</v>
      </c>
      <c r="U156" s="185">
        <f t="shared" ca="1" si="66"/>
        <v>0</v>
      </c>
      <c r="V156" s="185">
        <f t="shared" ca="1" si="66"/>
        <v>0</v>
      </c>
      <c r="W156" s="185">
        <f t="shared" ca="1" si="66"/>
        <v>0</v>
      </c>
      <c r="X156" s="185">
        <f t="shared" ca="1" si="66"/>
        <v>0</v>
      </c>
      <c r="Y156" s="185">
        <f t="shared" ca="1" si="66"/>
        <v>0</v>
      </c>
      <c r="Z156" s="185">
        <f t="shared" ca="1" si="66"/>
        <v>0</v>
      </c>
      <c r="AA156" s="185">
        <f t="shared" ca="1" si="66"/>
        <v>0</v>
      </c>
      <c r="AB156" s="185">
        <f t="shared" ca="1" si="66"/>
        <v>0</v>
      </c>
      <c r="AC156" s="185">
        <f t="shared" ca="1" si="66"/>
        <v>0</v>
      </c>
      <c r="AD156" s="185">
        <f t="shared" ca="1" si="66"/>
        <v>0</v>
      </c>
      <c r="AE156" s="185">
        <f t="shared" ca="1" si="66"/>
        <v>0</v>
      </c>
      <c r="AF156" s="185">
        <f t="shared" ca="1" si="66"/>
        <v>0</v>
      </c>
      <c r="AG156" s="185">
        <f t="shared" ca="1" si="66"/>
        <v>0</v>
      </c>
      <c r="AH156" s="185">
        <f t="shared" ca="1" si="66"/>
        <v>0</v>
      </c>
      <c r="AI156" s="185">
        <f t="shared" ca="1" si="66"/>
        <v>0</v>
      </c>
      <c r="AJ156" s="185">
        <f t="shared" ca="1" si="66"/>
        <v>0</v>
      </c>
      <c r="AK156" s="185">
        <f t="shared" ca="1" si="66"/>
        <v>0</v>
      </c>
      <c r="AL156" s="185">
        <f t="shared" ca="1" si="66"/>
        <v>0</v>
      </c>
      <c r="AM156" s="185">
        <f t="shared" ca="1" si="66"/>
        <v>0</v>
      </c>
      <c r="AN156" s="185">
        <f t="shared" ca="1" si="66"/>
        <v>0</v>
      </c>
      <c r="AO156" s="185">
        <f t="shared" ca="1" si="66"/>
        <v>0</v>
      </c>
      <c r="AP156" s="185">
        <f t="shared" ca="1" si="66"/>
        <v>0</v>
      </c>
    </row>
    <row r="157" spans="1:42">
      <c r="A157" s="57" t="str">
        <f>'[4]TS BYDem'!A96</f>
        <v/>
      </c>
      <c r="B157" s="185" t="s">
        <v>288</v>
      </c>
      <c r="C157" s="185" t="s">
        <v>137</v>
      </c>
      <c r="D157" s="185" t="str">
        <f>'[4]TS BYDem'!D96</f>
        <v>INFL</v>
      </c>
      <c r="E157" s="185" t="s">
        <v>137</v>
      </c>
      <c r="F157" s="185" t="s">
        <v>137</v>
      </c>
      <c r="G157" s="185" t="s">
        <v>137</v>
      </c>
      <c r="H157" s="185" t="s">
        <v>137</v>
      </c>
      <c r="I157" s="185">
        <v>0</v>
      </c>
      <c r="J157" s="185">
        <f>INDEX('[4]TS BYDem'!$J$10:$J$203,MATCH(D157,'[4]TS BYDem'!$D$10:$D$203,0))</f>
        <v>0.20036876463104916</v>
      </c>
      <c r="K157" s="185">
        <f t="shared" ca="1" si="69"/>
        <v>0.17002597861398352</v>
      </c>
      <c r="L157" s="185">
        <f t="shared" ca="1" si="66"/>
        <v>0.15607675487033543</v>
      </c>
      <c r="M157" s="192">
        <f t="shared" si="67"/>
        <v>5.0121000000000006E-2</v>
      </c>
      <c r="N157" s="192">
        <f t="shared" si="68"/>
        <v>5.0121000000000006E-2</v>
      </c>
      <c r="O157" s="192">
        <f>INDEX('[4]TS BYDem'!$O$10:$O$203,MATCH(D157,'[4]TS BYDem'!$D$10:$D$203,0))</f>
        <v>5.0121000000000006E-2</v>
      </c>
      <c r="P157" s="185">
        <f t="shared" ca="1" si="66"/>
        <v>4.9196925450901804E-2</v>
      </c>
      <c r="Q157" s="185">
        <f t="shared" ca="1" si="66"/>
        <v>4.7241637274549095E-2</v>
      </c>
      <c r="R157" s="185">
        <f t="shared" ca="1" si="66"/>
        <v>3.8804434869739481E-2</v>
      </c>
      <c r="S157" s="185">
        <f t="shared" ca="1" si="66"/>
        <v>4.3652211997090296E-2</v>
      </c>
      <c r="T157" s="185">
        <f t="shared" ca="1" si="66"/>
        <v>4.3036901742509306E-2</v>
      </c>
      <c r="U157" s="185">
        <f t="shared" ca="1" si="66"/>
        <v>4.2538432259976271E-2</v>
      </c>
      <c r="V157" s="185">
        <f t="shared" ca="1" si="66"/>
        <v>4.2303381922170216E-2</v>
      </c>
      <c r="W157" s="185">
        <f t="shared" ca="1" si="66"/>
        <v>4.2300439082666071E-2</v>
      </c>
      <c r="X157" s="185">
        <f t="shared" ca="1" si="66"/>
        <v>4.3298153038432902E-2</v>
      </c>
      <c r="Y157" s="185">
        <f t="shared" ca="1" si="66"/>
        <v>4.4347150172915982E-2</v>
      </c>
      <c r="Z157" s="185">
        <f t="shared" ca="1" si="66"/>
        <v>4.553624721497631E-2</v>
      </c>
      <c r="AA157" s="185">
        <f t="shared" ca="1" si="66"/>
        <v>4.7262438248421801E-2</v>
      </c>
      <c r="AB157" s="185">
        <f t="shared" ca="1" si="66"/>
        <v>4.8786539713769998E-2</v>
      </c>
      <c r="AC157" s="185">
        <f t="shared" ca="1" si="66"/>
        <v>5.0886261397391636E-2</v>
      </c>
      <c r="AD157" s="185">
        <f t="shared" ca="1" si="66"/>
        <v>5.3353636264544729E-2</v>
      </c>
      <c r="AE157" s="185">
        <f t="shared" ca="1" si="66"/>
        <v>5.5835678081564602E-2</v>
      </c>
      <c r="AF157" s="185">
        <f t="shared" ca="1" si="66"/>
        <v>5.84962367082279E-2</v>
      </c>
      <c r="AG157" s="185">
        <f t="shared" ca="1" si="66"/>
        <v>6.1860195092435434E-2</v>
      </c>
      <c r="AH157" s="185">
        <f t="shared" ca="1" si="66"/>
        <v>6.488797938312546E-2</v>
      </c>
      <c r="AI157" s="185">
        <f t="shared" ca="1" si="66"/>
        <v>6.7949535695745245E-2</v>
      </c>
      <c r="AJ157" s="185">
        <f t="shared" ca="1" si="66"/>
        <v>7.0905872879732323E-2</v>
      </c>
      <c r="AK157" s="185">
        <f t="shared" ca="1" si="66"/>
        <v>7.389462806930068E-2</v>
      </c>
      <c r="AL157" s="185">
        <f t="shared" ca="1" si="66"/>
        <v>7.6975447899808244E-2</v>
      </c>
      <c r="AM157" s="185">
        <f t="shared" ca="1" si="66"/>
        <v>9.1719638769527961E-2</v>
      </c>
      <c r="AN157" s="185">
        <f t="shared" ca="1" si="66"/>
        <v>0.10488605397335619</v>
      </c>
      <c r="AO157" s="185">
        <f t="shared" ca="1" si="66"/>
        <v>0.13305962265788612</v>
      </c>
      <c r="AP157" s="185">
        <f t="shared" ca="1" si="66"/>
        <v>0.16097022873143388</v>
      </c>
    </row>
    <row r="158" spans="1:42">
      <c r="A158" s="57" t="str">
        <f>'[4]TS BYDem'!A97</f>
        <v/>
      </c>
      <c r="B158" s="185" t="s">
        <v>288</v>
      </c>
      <c r="C158" s="185" t="s">
        <v>137</v>
      </c>
      <c r="D158" s="185" t="str">
        <f>'[4]TS BYDem'!D97</f>
        <v>INFC</v>
      </c>
      <c r="E158" s="185" t="s">
        <v>137</v>
      </c>
      <c r="F158" s="185" t="s">
        <v>137</v>
      </c>
      <c r="G158" s="185" t="s">
        <v>137</v>
      </c>
      <c r="H158" s="185" t="s">
        <v>137</v>
      </c>
      <c r="I158" s="185">
        <v>0</v>
      </c>
      <c r="J158" s="185">
        <f>INDEX('[4]TS BYDem'!$J$10:$J$203,MATCH(D158,'[4]TS BYDem'!$D$10:$D$203,0))</f>
        <v>0</v>
      </c>
      <c r="K158" s="185">
        <f t="shared" ca="1" si="69"/>
        <v>0</v>
      </c>
      <c r="L158" s="185">
        <f t="shared" ca="1" si="66"/>
        <v>0</v>
      </c>
      <c r="M158" s="192">
        <f t="shared" si="67"/>
        <v>0</v>
      </c>
      <c r="N158" s="192">
        <f t="shared" si="68"/>
        <v>0</v>
      </c>
      <c r="O158" s="192">
        <f>INDEX('[4]TS BYDem'!$O$10:$O$203,MATCH(D158,'[4]TS BYDem'!$D$10:$D$203,0))</f>
        <v>0</v>
      </c>
      <c r="P158" s="185">
        <f t="shared" ca="1" si="66"/>
        <v>0</v>
      </c>
      <c r="Q158" s="185">
        <f t="shared" ca="1" si="66"/>
        <v>0</v>
      </c>
      <c r="R158" s="185">
        <f t="shared" ca="1" si="66"/>
        <v>0</v>
      </c>
      <c r="S158" s="185">
        <f t="shared" ca="1" si="66"/>
        <v>0</v>
      </c>
      <c r="T158" s="185">
        <f t="shared" ca="1" si="66"/>
        <v>0</v>
      </c>
      <c r="U158" s="185">
        <f t="shared" ca="1" si="66"/>
        <v>0</v>
      </c>
      <c r="V158" s="185">
        <f t="shared" ca="1" si="66"/>
        <v>0</v>
      </c>
      <c r="W158" s="185">
        <f t="shared" ca="1" si="66"/>
        <v>0</v>
      </c>
      <c r="X158" s="185">
        <f t="shared" ca="1" si="66"/>
        <v>0</v>
      </c>
      <c r="Y158" s="185">
        <f t="shared" ca="1" si="66"/>
        <v>0</v>
      </c>
      <c r="Z158" s="185">
        <f t="shared" ca="1" si="66"/>
        <v>0</v>
      </c>
      <c r="AA158" s="185">
        <f t="shared" ca="1" si="66"/>
        <v>0</v>
      </c>
      <c r="AB158" s="185">
        <f t="shared" ca="1" si="66"/>
        <v>0</v>
      </c>
      <c r="AC158" s="185">
        <f t="shared" ca="1" si="66"/>
        <v>0</v>
      </c>
      <c r="AD158" s="185">
        <f t="shared" ca="1" si="66"/>
        <v>0</v>
      </c>
      <c r="AE158" s="185">
        <f t="shared" ca="1" si="66"/>
        <v>0</v>
      </c>
      <c r="AF158" s="185">
        <f t="shared" ca="1" si="66"/>
        <v>0</v>
      </c>
      <c r="AG158" s="185">
        <f t="shared" ca="1" si="66"/>
        <v>0</v>
      </c>
      <c r="AH158" s="185">
        <f t="shared" ca="1" si="66"/>
        <v>0</v>
      </c>
      <c r="AI158" s="185">
        <f t="shared" ca="1" si="66"/>
        <v>0</v>
      </c>
      <c r="AJ158" s="185">
        <f t="shared" ca="1" si="66"/>
        <v>0</v>
      </c>
      <c r="AK158" s="185">
        <f t="shared" ca="1" si="66"/>
        <v>0</v>
      </c>
      <c r="AL158" s="185">
        <f t="shared" ca="1" si="66"/>
        <v>0</v>
      </c>
      <c r="AM158" s="185">
        <f t="shared" ca="1" si="66"/>
        <v>0</v>
      </c>
      <c r="AN158" s="185">
        <f t="shared" ca="1" si="66"/>
        <v>0</v>
      </c>
      <c r="AO158" s="185">
        <f t="shared" ca="1" si="66"/>
        <v>0</v>
      </c>
      <c r="AP158" s="185">
        <f t="shared" ca="1" si="66"/>
        <v>0</v>
      </c>
    </row>
    <row r="159" spans="1:42">
      <c r="A159" s="57" t="str">
        <f>'[4]TS BYDem'!A98</f>
        <v/>
      </c>
      <c r="B159" s="185" t="s">
        <v>288</v>
      </c>
      <c r="C159" s="185" t="s">
        <v>137</v>
      </c>
      <c r="D159" s="185" t="str">
        <f>'[4]TS BYDem'!D98</f>
        <v>INFH</v>
      </c>
      <c r="E159" s="185" t="s">
        <v>137</v>
      </c>
      <c r="F159" s="185" t="s">
        <v>137</v>
      </c>
      <c r="G159" s="185" t="s">
        <v>137</v>
      </c>
      <c r="H159" s="185" t="s">
        <v>137</v>
      </c>
      <c r="I159" s="185">
        <v>0</v>
      </c>
      <c r="J159" s="185">
        <f>INDEX('[4]TS BYDem'!$J$10:$J$203,MATCH(D159,'[4]TS BYDem'!$D$10:$D$203,0))</f>
        <v>0.60110629389314751</v>
      </c>
      <c r="K159" s="185">
        <f t="shared" ca="1" si="69"/>
        <v>0.5100779358419506</v>
      </c>
      <c r="L159" s="185">
        <f t="shared" ca="1" si="66"/>
        <v>0.46823026461100631</v>
      </c>
      <c r="M159" s="192">
        <f t="shared" si="67"/>
        <v>0.15036300000000002</v>
      </c>
      <c r="N159" s="192">
        <f t="shared" si="68"/>
        <v>0.15036300000000002</v>
      </c>
      <c r="O159" s="192">
        <f>INDEX('[4]TS BYDem'!$O$10:$O$203,MATCH(D159,'[4]TS BYDem'!$D$10:$D$203,0))</f>
        <v>0.15036300000000002</v>
      </c>
      <c r="P159" s="185">
        <f t="shared" ca="1" si="66"/>
        <v>0.14759077635270543</v>
      </c>
      <c r="Q159" s="185">
        <f t="shared" ca="1" si="66"/>
        <v>0.1417249118236473</v>
      </c>
      <c r="R159" s="185">
        <f t="shared" ca="1" si="66"/>
        <v>0.11641330460921845</v>
      </c>
      <c r="S159" s="185">
        <f t="shared" ca="1" si="66"/>
        <v>0.13095663599127089</v>
      </c>
      <c r="T159" s="185">
        <f t="shared" ca="1" si="66"/>
        <v>0.12911070522752793</v>
      </c>
      <c r="U159" s="185">
        <f t="shared" ca="1" si="66"/>
        <v>0.12761529677992883</v>
      </c>
      <c r="V159" s="185">
        <f t="shared" ca="1" si="66"/>
        <v>0.12691014576651066</v>
      </c>
      <c r="W159" s="185">
        <f t="shared" ca="1" si="66"/>
        <v>0.12690131724799822</v>
      </c>
      <c r="X159" s="185">
        <f t="shared" ca="1" si="66"/>
        <v>0.1298944591152987</v>
      </c>
      <c r="Y159" s="185">
        <f t="shared" ca="1" si="66"/>
        <v>0.13304145051874794</v>
      </c>
      <c r="Z159" s="185">
        <f t="shared" ca="1" si="66"/>
        <v>0.13660874164492892</v>
      </c>
      <c r="AA159" s="185">
        <f t="shared" ca="1" si="66"/>
        <v>0.14178731474526537</v>
      </c>
      <c r="AB159" s="185">
        <f t="shared" ca="1" si="66"/>
        <v>0.14635961914130996</v>
      </c>
      <c r="AC159" s="185">
        <f t="shared" ca="1" si="66"/>
        <v>0.15265878419217488</v>
      </c>
      <c r="AD159" s="185">
        <f t="shared" ca="1" si="66"/>
        <v>0.16006090879363416</v>
      </c>
      <c r="AE159" s="185">
        <f t="shared" ca="1" si="66"/>
        <v>0.16750703424469379</v>
      </c>
      <c r="AF159" s="185">
        <f t="shared" ca="1" si="66"/>
        <v>0.1754887101246837</v>
      </c>
      <c r="AG159" s="185">
        <f t="shared" ca="1" si="66"/>
        <v>0.18558058527730631</v>
      </c>
      <c r="AH159" s="185">
        <f t="shared" ca="1" si="66"/>
        <v>0.19466393814937638</v>
      </c>
      <c r="AI159" s="185">
        <f t="shared" ca="1" si="66"/>
        <v>0.20384860708723573</v>
      </c>
      <c r="AJ159" s="185">
        <f t="shared" ca="1" si="66"/>
        <v>0.212717618639197</v>
      </c>
      <c r="AK159" s="185">
        <f t="shared" ca="1" si="66"/>
        <v>0.22168388420790205</v>
      </c>
      <c r="AL159" s="185">
        <f t="shared" ca="1" si="66"/>
        <v>0.23092634369942472</v>
      </c>
      <c r="AM159" s="185">
        <f t="shared" ca="1" si="66"/>
        <v>0.27515891630858386</v>
      </c>
      <c r="AN159" s="185">
        <f t="shared" ca="1" si="66"/>
        <v>0.31465816192006857</v>
      </c>
      <c r="AO159" s="185">
        <f t="shared" ca="1" si="66"/>
        <v>0.39917886797365837</v>
      </c>
      <c r="AP159" s="185">
        <f t="shared" ca="1" si="66"/>
        <v>0.48291068619430166</v>
      </c>
    </row>
    <row r="160" spans="1:42">
      <c r="A160" s="57" t="str">
        <f>'[4]TS BYDem'!A99</f>
        <v/>
      </c>
      <c r="B160" s="185" t="s">
        <v>288</v>
      </c>
      <c r="C160" s="185" t="s">
        <v>137</v>
      </c>
      <c r="D160" s="185" t="str">
        <f>'[4]TS BYDem'!D99</f>
        <v>INFP</v>
      </c>
      <c r="E160" s="185" t="s">
        <v>137</v>
      </c>
      <c r="F160" s="185" t="s">
        <v>137</v>
      </c>
      <c r="G160" s="185" t="s">
        <v>137</v>
      </c>
      <c r="H160" s="185" t="s">
        <v>137</v>
      </c>
      <c r="I160" s="185">
        <v>0</v>
      </c>
      <c r="J160" s="185">
        <f>INDEX('[4]TS BYDem'!$J$10:$J$203,MATCH(D160,'[4]TS BYDem'!$D$10:$D$203,0))</f>
        <v>0</v>
      </c>
      <c r="K160" s="185">
        <f t="shared" ca="1" si="69"/>
        <v>0</v>
      </c>
      <c r="L160" s="185">
        <f t="shared" ca="1" si="66"/>
        <v>0</v>
      </c>
      <c r="M160" s="192">
        <f t="shared" si="67"/>
        <v>0</v>
      </c>
      <c r="N160" s="192">
        <f t="shared" si="68"/>
        <v>0</v>
      </c>
      <c r="O160" s="192">
        <f>INDEX('[4]TS BYDem'!$O$10:$O$203,MATCH(D160,'[4]TS BYDem'!$D$10:$D$203,0))</f>
        <v>0</v>
      </c>
      <c r="P160" s="185">
        <f t="shared" ca="1" si="66"/>
        <v>0</v>
      </c>
      <c r="Q160" s="185">
        <f t="shared" ca="1" si="66"/>
        <v>0</v>
      </c>
      <c r="R160" s="185">
        <f t="shared" ca="1" si="66"/>
        <v>0</v>
      </c>
      <c r="S160" s="185">
        <f t="shared" ca="1" si="66"/>
        <v>0</v>
      </c>
      <c r="T160" s="185">
        <f t="shared" ca="1" si="66"/>
        <v>0</v>
      </c>
      <c r="U160" s="185">
        <f t="shared" ca="1" si="66"/>
        <v>0</v>
      </c>
      <c r="V160" s="185">
        <f t="shared" ca="1" si="66"/>
        <v>0</v>
      </c>
      <c r="W160" s="185">
        <f t="shared" ca="1" si="66"/>
        <v>0</v>
      </c>
      <c r="X160" s="185">
        <f t="shared" ca="1" si="66"/>
        <v>0</v>
      </c>
      <c r="Y160" s="185">
        <f t="shared" ca="1" si="66"/>
        <v>0</v>
      </c>
      <c r="Z160" s="185">
        <f t="shared" ca="1" si="66"/>
        <v>0</v>
      </c>
      <c r="AA160" s="185">
        <f t="shared" ca="1" si="66"/>
        <v>0</v>
      </c>
      <c r="AB160" s="185">
        <f t="shared" ca="1" si="66"/>
        <v>0</v>
      </c>
      <c r="AC160" s="185">
        <f t="shared" ca="1" si="66"/>
        <v>0</v>
      </c>
      <c r="AD160" s="185">
        <f t="shared" ca="1" si="66"/>
        <v>0</v>
      </c>
      <c r="AE160" s="185">
        <f t="shared" ca="1" si="66"/>
        <v>0</v>
      </c>
      <c r="AF160" s="185">
        <f t="shared" ca="1" si="66"/>
        <v>0</v>
      </c>
      <c r="AG160" s="185">
        <f t="shared" ca="1" si="66"/>
        <v>0</v>
      </c>
      <c r="AH160" s="185">
        <f t="shared" ca="1" si="66"/>
        <v>0</v>
      </c>
      <c r="AI160" s="185">
        <f t="shared" ca="1" si="66"/>
        <v>0</v>
      </c>
      <c r="AJ160" s="185">
        <f t="shared" ca="1" si="66"/>
        <v>0</v>
      </c>
      <c r="AK160" s="185">
        <f t="shared" ca="1" si="66"/>
        <v>0</v>
      </c>
      <c r="AL160" s="185">
        <f t="shared" ca="1" si="66"/>
        <v>0</v>
      </c>
      <c r="AM160" s="185">
        <f t="shared" ca="1" si="66"/>
        <v>0</v>
      </c>
      <c r="AN160" s="185">
        <f t="shared" ca="1" si="66"/>
        <v>0</v>
      </c>
      <c r="AO160" s="185">
        <f t="shared" ca="1" si="66"/>
        <v>0</v>
      </c>
      <c r="AP160" s="185">
        <f t="shared" ca="1" si="66"/>
        <v>0</v>
      </c>
    </row>
    <row r="161" spans="1:42">
      <c r="A161" s="57" t="str">
        <f>'[4]TS BYDem'!A100</f>
        <v/>
      </c>
      <c r="B161" s="185" t="s">
        <v>288</v>
      </c>
      <c r="C161" s="185" t="s">
        <v>137</v>
      </c>
      <c r="D161" s="185" t="str">
        <f>'[4]TS BYDem'!D100</f>
        <v>INFF</v>
      </c>
      <c r="E161" s="185" t="s">
        <v>137</v>
      </c>
      <c r="F161" s="185" t="s">
        <v>137</v>
      </c>
      <c r="G161" s="185" t="s">
        <v>137</v>
      </c>
      <c r="H161" s="185" t="s">
        <v>137</v>
      </c>
      <c r="I161" s="185">
        <v>0</v>
      </c>
      <c r="J161" s="185">
        <f>INDEX('[4]TS BYDem'!$J$10:$J$203,MATCH(D161,'[4]TS BYDem'!$D$10:$D$203,0))</f>
        <v>0</v>
      </c>
      <c r="K161" s="185">
        <f t="shared" ca="1" si="69"/>
        <v>0</v>
      </c>
      <c r="L161" s="185">
        <f t="shared" ca="1" si="66"/>
        <v>0</v>
      </c>
      <c r="M161" s="192">
        <f t="shared" si="67"/>
        <v>0</v>
      </c>
      <c r="N161" s="192">
        <f t="shared" si="68"/>
        <v>0</v>
      </c>
      <c r="O161" s="192">
        <f>INDEX('[4]TS BYDem'!$O$10:$O$203,MATCH(D161,'[4]TS BYDem'!$D$10:$D$203,0))</f>
        <v>0</v>
      </c>
      <c r="P161" s="185">
        <f t="shared" ca="1" si="66"/>
        <v>0</v>
      </c>
      <c r="Q161" s="185">
        <f t="shared" ca="1" si="66"/>
        <v>0</v>
      </c>
      <c r="R161" s="185">
        <f t="shared" ca="1" si="66"/>
        <v>0</v>
      </c>
      <c r="S161" s="185">
        <f t="shared" ca="1" si="66"/>
        <v>0</v>
      </c>
      <c r="T161" s="185">
        <f t="shared" ca="1" si="66"/>
        <v>0</v>
      </c>
      <c r="U161" s="185">
        <f t="shared" ca="1" si="66"/>
        <v>0</v>
      </c>
      <c r="V161" s="185">
        <f t="shared" ca="1" si="66"/>
        <v>0</v>
      </c>
      <c r="W161" s="185">
        <f t="shared" ca="1" si="66"/>
        <v>0</v>
      </c>
      <c r="X161" s="185">
        <f t="shared" ca="1" si="66"/>
        <v>0</v>
      </c>
      <c r="Y161" s="185">
        <f t="shared" ca="1" si="66"/>
        <v>0</v>
      </c>
      <c r="Z161" s="185">
        <f t="shared" ca="1" si="66"/>
        <v>0</v>
      </c>
      <c r="AA161" s="185">
        <f t="shared" ca="1" si="66"/>
        <v>0</v>
      </c>
      <c r="AB161" s="185">
        <f t="shared" ca="1" si="66"/>
        <v>0</v>
      </c>
      <c r="AC161" s="185">
        <f t="shared" ca="1" si="66"/>
        <v>0</v>
      </c>
      <c r="AD161" s="185">
        <f t="shared" ca="1" si="66"/>
        <v>0</v>
      </c>
      <c r="AE161" s="185">
        <f t="shared" ca="1" si="66"/>
        <v>0</v>
      </c>
      <c r="AF161" s="185">
        <f t="shared" ca="1" si="66"/>
        <v>0</v>
      </c>
      <c r="AG161" s="185">
        <f t="shared" ca="1" si="66"/>
        <v>0</v>
      </c>
      <c r="AH161" s="185">
        <f t="shared" ca="1" si="66"/>
        <v>0</v>
      </c>
      <c r="AI161" s="185">
        <f t="shared" ca="1" si="66"/>
        <v>0</v>
      </c>
      <c r="AJ161" s="185">
        <f t="shared" ca="1" si="66"/>
        <v>0</v>
      </c>
      <c r="AK161" s="185">
        <f t="shared" ca="1" si="66"/>
        <v>0</v>
      </c>
      <c r="AL161" s="185">
        <f t="shared" ca="1" si="66"/>
        <v>0</v>
      </c>
      <c r="AM161" s="185">
        <f t="shared" ca="1" si="66"/>
        <v>0</v>
      </c>
      <c r="AN161" s="185">
        <f t="shared" ca="1" si="66"/>
        <v>0</v>
      </c>
      <c r="AO161" s="185">
        <f t="shared" ca="1" si="66"/>
        <v>0</v>
      </c>
      <c r="AP161" s="185">
        <f t="shared" ca="1" si="66"/>
        <v>0</v>
      </c>
    </row>
    <row r="162" spans="1:42">
      <c r="A162" s="57" t="str">
        <f>'[4]TS BYDem'!A101</f>
        <v/>
      </c>
      <c r="B162" s="185" t="s">
        <v>288</v>
      </c>
      <c r="C162" s="185" t="s">
        <v>137</v>
      </c>
      <c r="D162" s="185" t="str">
        <f>'[4]TS BYDem'!D101</f>
        <v>INFO</v>
      </c>
      <c r="E162" s="185" t="s">
        <v>137</v>
      </c>
      <c r="F162" s="185" t="s">
        <v>137</v>
      </c>
      <c r="G162" s="185" t="s">
        <v>137</v>
      </c>
      <c r="H162" s="185" t="s">
        <v>137</v>
      </c>
      <c r="I162" s="185">
        <v>0</v>
      </c>
      <c r="J162" s="185">
        <f>INDEX('[4]TS BYDem'!$J$10:$J$203,MATCH(D162,'[4]TS BYDem'!$D$10:$D$203,0))</f>
        <v>3.7402169397795855</v>
      </c>
      <c r="K162" s="185">
        <f t="shared" ca="1" si="69"/>
        <v>3.1738182674610265</v>
      </c>
      <c r="L162" s="185">
        <f t="shared" ca="1" si="66"/>
        <v>2.9134327575795953</v>
      </c>
      <c r="M162" s="192">
        <f t="shared" si="67"/>
        <v>0.9355920000000002</v>
      </c>
      <c r="N162" s="192">
        <f t="shared" si="68"/>
        <v>0.9355920000000002</v>
      </c>
      <c r="O162" s="192">
        <f>INDEX('[4]TS BYDem'!$O$10:$O$203,MATCH(D162,'[4]TS BYDem'!$D$10:$D$203,0))</f>
        <v>0.9355920000000002</v>
      </c>
      <c r="P162" s="185">
        <f t="shared" ca="1" si="66"/>
        <v>0.91834260841683379</v>
      </c>
      <c r="Q162" s="185">
        <f t="shared" ca="1" si="66"/>
        <v>0.88184389579158329</v>
      </c>
      <c r="R162" s="185">
        <f t="shared" ca="1" si="66"/>
        <v>0.7243494509018038</v>
      </c>
      <c r="S162" s="185">
        <f t="shared" ca="1" si="66"/>
        <v>0.81484129061235244</v>
      </c>
      <c r="T162" s="185">
        <f t="shared" ca="1" si="66"/>
        <v>0.80335549919350735</v>
      </c>
      <c r="U162" s="185">
        <f t="shared" ca="1" si="66"/>
        <v>0.7940507355195574</v>
      </c>
      <c r="V162" s="185">
        <f t="shared" ca="1" si="66"/>
        <v>0.78966312921384429</v>
      </c>
      <c r="W162" s="185">
        <f t="shared" ca="1" si="66"/>
        <v>0.78960819620976697</v>
      </c>
      <c r="X162" s="185">
        <f t="shared" ca="1" si="66"/>
        <v>0.80823219005074787</v>
      </c>
      <c r="Y162" s="185">
        <f t="shared" ca="1" si="66"/>
        <v>0.82781346989443205</v>
      </c>
      <c r="Z162" s="185">
        <f t="shared" ca="1" si="66"/>
        <v>0.85000994801289154</v>
      </c>
      <c r="AA162" s="185">
        <f t="shared" ca="1" si="66"/>
        <v>0.88223218063720732</v>
      </c>
      <c r="AB162" s="185">
        <f t="shared" ca="1" si="66"/>
        <v>0.91068207465704032</v>
      </c>
      <c r="AC162" s="185">
        <f t="shared" ca="1" si="66"/>
        <v>0.9498768794179776</v>
      </c>
      <c r="AD162" s="185">
        <f t="shared" ca="1" si="66"/>
        <v>0.99593454360483535</v>
      </c>
      <c r="AE162" s="185">
        <f t="shared" ca="1" si="66"/>
        <v>1.0422659908558729</v>
      </c>
      <c r="AF162" s="185">
        <f t="shared" ca="1" si="66"/>
        <v>1.0919297518869211</v>
      </c>
      <c r="AG162" s="185">
        <f t="shared" ca="1" si="66"/>
        <v>1.1547236417254618</v>
      </c>
      <c r="AH162" s="185">
        <f t="shared" ca="1" si="66"/>
        <v>1.2112422818183424</v>
      </c>
      <c r="AI162" s="185">
        <f t="shared" ca="1" si="66"/>
        <v>1.2683913329872452</v>
      </c>
      <c r="AJ162" s="185">
        <f t="shared" ca="1" si="66"/>
        <v>1.3235762937550042</v>
      </c>
      <c r="AK162" s="185">
        <f t="shared" ca="1" si="66"/>
        <v>1.3793663906269469</v>
      </c>
      <c r="AL162" s="185">
        <f t="shared" ca="1" si="66"/>
        <v>1.4368750274630879</v>
      </c>
      <c r="AM162" s="185">
        <f t="shared" ca="1" si="66"/>
        <v>1.712099923697856</v>
      </c>
      <c r="AN162" s="185">
        <f t="shared" ca="1" si="66"/>
        <v>1.9578730075026498</v>
      </c>
      <c r="AO162" s="185">
        <f t="shared" ca="1" si="66"/>
        <v>2.4837796229472087</v>
      </c>
      <c r="AP162" s="185">
        <f t="shared" ca="1" si="66"/>
        <v>3.004777602986767</v>
      </c>
    </row>
    <row r="163" spans="1:42">
      <c r="A163" s="57" t="str">
        <f>'[4]TS BYDem'!A102</f>
        <v/>
      </c>
      <c r="B163" s="185" t="s">
        <v>288</v>
      </c>
      <c r="C163" s="185" t="s">
        <v>137</v>
      </c>
      <c r="D163" s="185" t="str">
        <f>'[4]TS BYDem'!D102</f>
        <v>INFE</v>
      </c>
      <c r="E163" s="185" t="s">
        <v>137</v>
      </c>
      <c r="F163" s="185" t="s">
        <v>137</v>
      </c>
      <c r="G163" s="185" t="s">
        <v>137</v>
      </c>
      <c r="H163" s="185" t="s">
        <v>137</v>
      </c>
      <c r="I163" s="185">
        <v>0</v>
      </c>
      <c r="J163" s="185">
        <f>INDEX('[4]TS BYDem'!$J$10:$J$203,MATCH(D163,'[4]TS BYDem'!$D$10:$D$203,0))</f>
        <v>45.684078335879221</v>
      </c>
      <c r="K163" s="185">
        <f t="shared" ca="1" si="69"/>
        <v>38.765923123988252</v>
      </c>
      <c r="L163" s="185">
        <f t="shared" ca="1" si="66"/>
        <v>35.585500110436485</v>
      </c>
      <c r="M163" s="192">
        <f t="shared" si="67"/>
        <v>11.427588</v>
      </c>
      <c r="N163" s="192">
        <f t="shared" si="68"/>
        <v>11.427588</v>
      </c>
      <c r="O163" s="192">
        <f>INDEX('[4]TS BYDem'!$O$10:$O$203,MATCH(D163,'[4]TS BYDem'!$D$10:$D$203,0))</f>
        <v>11.427588</v>
      </c>
      <c r="P163" s="185">
        <f t="shared" ca="1" si="66"/>
        <v>11.216899002805611</v>
      </c>
      <c r="Q163" s="185">
        <f t="shared" ca="1" si="66"/>
        <v>10.771093298597194</v>
      </c>
      <c r="R163" s="185">
        <f t="shared" ca="1" si="66"/>
        <v>8.8474111503006014</v>
      </c>
      <c r="S163" s="185">
        <f t="shared" ca="1" si="66"/>
        <v>9.9527043353365876</v>
      </c>
      <c r="T163" s="185">
        <f t="shared" ca="1" si="66"/>
        <v>9.8124135972921227</v>
      </c>
      <c r="U163" s="185">
        <f t="shared" ca="1" si="66"/>
        <v>9.6987625552745911</v>
      </c>
      <c r="V163" s="185">
        <f t="shared" ca="1" si="66"/>
        <v>9.6451710782548101</v>
      </c>
      <c r="W163" s="185">
        <f t="shared" ca="1" si="66"/>
        <v>9.644500110847865</v>
      </c>
      <c r="X163" s="185">
        <f t="shared" ca="1" si="66"/>
        <v>9.8719788927627032</v>
      </c>
      <c r="Y163" s="185">
        <f t="shared" ca="1" si="66"/>
        <v>10.111150239424846</v>
      </c>
      <c r="Z163" s="185">
        <f t="shared" ca="1" si="66"/>
        <v>10.382264365014601</v>
      </c>
      <c r="AA163" s="185">
        <f t="shared" ca="1" si="66"/>
        <v>10.775835920640173</v>
      </c>
      <c r="AB163" s="185">
        <f t="shared" ca="1" si="66"/>
        <v>11.123331054739563</v>
      </c>
      <c r="AC163" s="185">
        <f t="shared" ca="1" si="66"/>
        <v>11.602067598605297</v>
      </c>
      <c r="AD163" s="185">
        <f t="shared" ca="1" si="66"/>
        <v>12.164629068316202</v>
      </c>
      <c r="AE163" s="185">
        <f t="shared" ca="1" si="66"/>
        <v>12.730534602596734</v>
      </c>
      <c r="AF163" s="185">
        <f t="shared" ca="1" si="66"/>
        <v>13.337141969475967</v>
      </c>
      <c r="AG163" s="185">
        <f t="shared" ca="1" si="66"/>
        <v>14.104124481075285</v>
      </c>
      <c r="AH163" s="185">
        <f t="shared" ca="1" si="66"/>
        <v>14.79445929935261</v>
      </c>
      <c r="AI163" s="185">
        <f t="shared" ca="1" si="66"/>
        <v>15.492494138629921</v>
      </c>
      <c r="AJ163" s="185">
        <f t="shared" ca="1" si="66"/>
        <v>16.166539016578977</v>
      </c>
      <c r="AK163" s="185">
        <f t="shared" ca="1" si="66"/>
        <v>16.847975199800562</v>
      </c>
      <c r="AL163" s="185">
        <f t="shared" ca="1" si="66"/>
        <v>17.550402121156285</v>
      </c>
      <c r="AM163" s="185">
        <f t="shared" ca="1" si="66"/>
        <v>20.912077639452381</v>
      </c>
      <c r="AN163" s="185">
        <f t="shared" ca="1" si="66"/>
        <v>23.91402030592522</v>
      </c>
      <c r="AO163" s="185">
        <f t="shared" ca="1" si="66"/>
        <v>30.337593965998046</v>
      </c>
      <c r="AP163" s="185">
        <f t="shared" ca="1" si="66"/>
        <v>36.701212150766942</v>
      </c>
    </row>
    <row r="164" spans="1:42">
      <c r="A164" s="57" t="str">
        <f>'[4]TS BYDem'!A103</f>
        <v>*</v>
      </c>
      <c r="B164" s="185" t="s">
        <v>288</v>
      </c>
      <c r="C164" s="185" t="s">
        <v>137</v>
      </c>
      <c r="D164" s="185" t="str">
        <f>'[4]TS BYDem'!D103</f>
        <v xml:space="preserve"> </v>
      </c>
      <c r="E164" s="185" t="s">
        <v>137</v>
      </c>
      <c r="F164" s="185" t="s">
        <v>137</v>
      </c>
      <c r="G164" s="185" t="s">
        <v>137</v>
      </c>
      <c r="H164" s="185" t="s">
        <v>137</v>
      </c>
      <c r="I164" s="185">
        <v>0</v>
      </c>
      <c r="J164" s="185" t="str">
        <f>INDEX('[4]TS BYDem'!$J$10:$J$203,MATCH(D164,'[4]TS BYDem'!$D$10:$D$203,0))</f>
        <v/>
      </c>
      <c r="K164" s="185" t="e">
        <f t="shared" ca="1" si="69"/>
        <v>#VALUE!</v>
      </c>
      <c r="L164" s="185" t="e">
        <f t="shared" ca="1" si="66"/>
        <v>#VALUE!</v>
      </c>
      <c r="M164" s="185" t="e">
        <f t="shared" ca="1" si="66"/>
        <v>#VALUE!</v>
      </c>
      <c r="N164" s="185" t="e">
        <f t="shared" ca="1" si="66"/>
        <v>#VALUE!</v>
      </c>
      <c r="O164" s="185" t="e">
        <f t="shared" ref="O164:AD172" ca="1" si="70">O$154/N$154*N164</f>
        <v>#VALUE!</v>
      </c>
      <c r="P164" s="185" t="e">
        <f t="shared" ca="1" si="70"/>
        <v>#VALUE!</v>
      </c>
      <c r="Q164" s="185" t="e">
        <f t="shared" ca="1" si="70"/>
        <v>#VALUE!</v>
      </c>
      <c r="R164" s="185" t="e">
        <f t="shared" ca="1" si="70"/>
        <v>#VALUE!</v>
      </c>
      <c r="S164" s="185" t="e">
        <f t="shared" ca="1" si="70"/>
        <v>#VALUE!</v>
      </c>
      <c r="T164" s="185" t="e">
        <f t="shared" ca="1" si="70"/>
        <v>#VALUE!</v>
      </c>
      <c r="U164" s="185" t="e">
        <f t="shared" ca="1" si="70"/>
        <v>#VALUE!</v>
      </c>
      <c r="V164" s="185" t="e">
        <f t="shared" ca="1" si="70"/>
        <v>#VALUE!</v>
      </c>
      <c r="W164" s="185" t="e">
        <f t="shared" ca="1" si="70"/>
        <v>#VALUE!</v>
      </c>
      <c r="X164" s="185" t="e">
        <f t="shared" ca="1" si="70"/>
        <v>#VALUE!</v>
      </c>
      <c r="Y164" s="185" t="e">
        <f t="shared" ca="1" si="70"/>
        <v>#VALUE!</v>
      </c>
      <c r="Z164" s="185" t="e">
        <f t="shared" ca="1" si="70"/>
        <v>#VALUE!</v>
      </c>
      <c r="AA164" s="185" t="e">
        <f t="shared" ca="1" si="70"/>
        <v>#VALUE!</v>
      </c>
      <c r="AB164" s="185" t="e">
        <f t="shared" ca="1" si="70"/>
        <v>#VALUE!</v>
      </c>
      <c r="AC164" s="185" t="e">
        <f t="shared" ca="1" si="70"/>
        <v>#VALUE!</v>
      </c>
      <c r="AD164" s="185" t="e">
        <f t="shared" ca="1" si="70"/>
        <v>#VALUE!</v>
      </c>
      <c r="AE164" s="185" t="e">
        <f t="shared" ref="AE164:AP172" ca="1" si="71">AE$154/AD$154*AD164</f>
        <v>#VALUE!</v>
      </c>
      <c r="AF164" s="185" t="e">
        <f t="shared" ca="1" si="71"/>
        <v>#VALUE!</v>
      </c>
      <c r="AG164" s="185" t="e">
        <f t="shared" ca="1" si="71"/>
        <v>#VALUE!</v>
      </c>
      <c r="AH164" s="185" t="e">
        <f t="shared" ca="1" si="71"/>
        <v>#VALUE!</v>
      </c>
      <c r="AI164" s="185" t="e">
        <f t="shared" ca="1" si="71"/>
        <v>#VALUE!</v>
      </c>
      <c r="AJ164" s="185" t="e">
        <f t="shared" ca="1" si="71"/>
        <v>#VALUE!</v>
      </c>
      <c r="AK164" s="185" t="e">
        <f t="shared" ca="1" si="71"/>
        <v>#VALUE!</v>
      </c>
      <c r="AL164" s="185" t="e">
        <f t="shared" ca="1" si="71"/>
        <v>#VALUE!</v>
      </c>
      <c r="AM164" s="185" t="e">
        <f t="shared" ca="1" si="71"/>
        <v>#VALUE!</v>
      </c>
      <c r="AN164" s="185" t="e">
        <f t="shared" ca="1" si="71"/>
        <v>#VALUE!</v>
      </c>
      <c r="AO164" s="185" t="e">
        <f t="shared" ca="1" si="71"/>
        <v>#VALUE!</v>
      </c>
      <c r="AP164" s="185" t="e">
        <f t="shared" ca="1" si="71"/>
        <v>#VALUE!</v>
      </c>
    </row>
    <row r="165" spans="1:42">
      <c r="A165" s="57" t="str">
        <f>'[4]TS BYDem'!A104</f>
        <v/>
      </c>
      <c r="B165" s="185" t="s">
        <v>288</v>
      </c>
      <c r="C165" s="185" t="s">
        <v>137</v>
      </c>
      <c r="D165" s="185" t="str">
        <f>'[4]TS BYDem'!D104</f>
        <v>INFS</v>
      </c>
      <c r="E165" s="185" t="s">
        <v>137</v>
      </c>
      <c r="F165" s="185" t="s">
        <v>137</v>
      </c>
      <c r="G165" s="185" t="s">
        <v>137</v>
      </c>
      <c r="H165" s="185" t="s">
        <v>137</v>
      </c>
      <c r="I165" s="185">
        <v>0</v>
      </c>
      <c r="J165" s="185">
        <f>INDEX('[4]TS BYDem'!$J$10:$J$203,MATCH(D165,'[4]TS BYDem'!$D$10:$D$203,0))</f>
        <v>2.487856608</v>
      </c>
      <c r="K165" s="185">
        <f t="shared" ca="1" si="69"/>
        <v>2.1111087609157093</v>
      </c>
      <c r="L165" s="185">
        <f t="shared" ca="1" si="69"/>
        <v>1.9379097668958214</v>
      </c>
      <c r="M165" s="192">
        <f t="shared" ref="M165" si="72">O165</f>
        <v>0.65368000000000004</v>
      </c>
      <c r="N165" s="192">
        <f t="shared" ref="N165" si="73">O165</f>
        <v>0.65368000000000004</v>
      </c>
      <c r="O165" s="192">
        <f>INDEX('[4]TS BYDem'!$O$10:$O$203,MATCH(D165,'[4]TS BYDem'!$D$10:$D$203,0))</f>
        <v>0.65368000000000004</v>
      </c>
      <c r="P165" s="185">
        <f t="shared" ca="1" si="70"/>
        <v>0.64162818436873748</v>
      </c>
      <c r="Q165" s="185">
        <f t="shared" ca="1" si="70"/>
        <v>0.61612724114896456</v>
      </c>
      <c r="R165" s="185">
        <f t="shared" ca="1" si="70"/>
        <v>0.50608892451569809</v>
      </c>
      <c r="S165" s="185">
        <f t="shared" ca="1" si="70"/>
        <v>0.56931381932239955</v>
      </c>
      <c r="T165" s="185">
        <f t="shared" ca="1" si="70"/>
        <v>0.56128891943583503</v>
      </c>
      <c r="U165" s="185">
        <f t="shared" ca="1" si="70"/>
        <v>0.55478786136951164</v>
      </c>
      <c r="V165" s="185">
        <f t="shared" ca="1" si="70"/>
        <v>0.55172232586908143</v>
      </c>
      <c r="W165" s="185">
        <f t="shared" ca="1" si="70"/>
        <v>0.55168394524365361</v>
      </c>
      <c r="X165" s="185">
        <f t="shared" ca="1" si="70"/>
        <v>0.56469616883467655</v>
      </c>
      <c r="Y165" s="185">
        <f t="shared" ca="1" si="70"/>
        <v>0.57837722960499038</v>
      </c>
      <c r="Z165" s="185">
        <f t="shared" ca="1" si="70"/>
        <v>0.59388547873118491</v>
      </c>
      <c r="AA165" s="185">
        <f t="shared" ca="1" si="70"/>
        <v>0.61639852824621155</v>
      </c>
      <c r="AB165" s="185">
        <f t="shared" ca="1" si="70"/>
        <v>0.63627591788067239</v>
      </c>
      <c r="AC165" s="185">
        <f t="shared" ca="1" si="70"/>
        <v>0.66366056842934051</v>
      </c>
      <c r="AD165" s="185">
        <f t="shared" ca="1" si="70"/>
        <v>0.69584016586675468</v>
      </c>
      <c r="AE165" s="185">
        <f t="shared" ca="1" si="71"/>
        <v>0.72821105022559729</v>
      </c>
      <c r="AF165" s="185">
        <f t="shared" ca="1" si="71"/>
        <v>0.7629101576471824</v>
      </c>
      <c r="AG165" s="185">
        <f t="shared" ca="1" si="71"/>
        <v>0.80678303162393428</v>
      </c>
      <c r="AH165" s="185">
        <f t="shared" ca="1" si="71"/>
        <v>0.84627151020852465</v>
      </c>
      <c r="AI165" s="185">
        <f t="shared" ca="1" si="71"/>
        <v>0.88620044479549021</v>
      </c>
      <c r="AJ165" s="185">
        <f t="shared" ca="1" si="71"/>
        <v>0.92475710748036632</v>
      </c>
      <c r="AK165" s="185">
        <f t="shared" ca="1" si="71"/>
        <v>0.96373656703458588</v>
      </c>
      <c r="AL165" s="185">
        <f t="shared" ca="1" si="71"/>
        <v>1.0039167371590083</v>
      </c>
      <c r="AM165" s="185">
        <f t="shared" ca="1" si="71"/>
        <v>1.196211038703638</v>
      </c>
      <c r="AN165" s="185">
        <f t="shared" ca="1" si="71"/>
        <v>1.3679279296363496</v>
      </c>
      <c r="AO165" s="185">
        <f t="shared" ca="1" si="71"/>
        <v>1.7353686905490113</v>
      </c>
      <c r="AP165" s="185">
        <f t="shared" ca="1" si="71"/>
        <v>2.0993798830263501</v>
      </c>
    </row>
    <row r="166" spans="1:42">
      <c r="A166" s="57" t="str">
        <f>'[4]TS BYDem'!A105</f>
        <v>*</v>
      </c>
      <c r="B166" s="185" t="s">
        <v>288</v>
      </c>
      <c r="C166" s="185" t="s">
        <v>137</v>
      </c>
      <c r="D166" s="185" t="str">
        <f>'[4]TS BYDem'!D105</f>
        <v>INFS</v>
      </c>
      <c r="E166" s="185" t="s">
        <v>137</v>
      </c>
      <c r="F166" s="185" t="s">
        <v>137</v>
      </c>
      <c r="G166" s="185" t="s">
        <v>137</v>
      </c>
      <c r="H166" s="185" t="s">
        <v>137</v>
      </c>
      <c r="I166" s="185">
        <v>0</v>
      </c>
      <c r="J166" s="185">
        <f>INDEX('[4]TS BYDem'!$J$10:$J$203,MATCH(D166,'[4]TS BYDem'!$D$10:$D$203,0))</f>
        <v>2.487856608</v>
      </c>
      <c r="K166" s="185">
        <f t="shared" ca="1" si="69"/>
        <v>2.1111087609157093</v>
      </c>
      <c r="L166" s="185">
        <f t="shared" ca="1" si="69"/>
        <v>1.9379097668958214</v>
      </c>
      <c r="M166" s="185">
        <f t="shared" ca="1" si="69"/>
        <v>1.965218131009753</v>
      </c>
      <c r="N166" s="185">
        <f t="shared" ca="1" si="69"/>
        <v>1.9128155944668037</v>
      </c>
      <c r="O166" s="185">
        <f t="shared" ca="1" si="70"/>
        <v>1.8414694179529292</v>
      </c>
      <c r="P166" s="185">
        <f t="shared" ca="1" si="70"/>
        <v>1.8075184787842578</v>
      </c>
      <c r="Q166" s="185">
        <f t="shared" ca="1" si="70"/>
        <v>1.735680259673736</v>
      </c>
      <c r="R166" s="185">
        <f t="shared" ca="1" si="70"/>
        <v>1.4256934237858683</v>
      </c>
      <c r="S166" s="185">
        <f t="shared" ca="1" si="70"/>
        <v>1.6038030649556021</v>
      </c>
      <c r="T166" s="185">
        <f t="shared" ca="1" si="70"/>
        <v>1.5811962730647038</v>
      </c>
      <c r="U166" s="185">
        <f t="shared" ca="1" si="70"/>
        <v>1.5628822668025102</v>
      </c>
      <c r="V166" s="185">
        <f t="shared" ca="1" si="70"/>
        <v>1.5542464054120879</v>
      </c>
      <c r="W166" s="185">
        <f t="shared" ca="1" si="70"/>
        <v>1.5541382840867188</v>
      </c>
      <c r="X166" s="185">
        <f t="shared" ca="1" si="70"/>
        <v>1.5907947701386624</v>
      </c>
      <c r="Y166" s="185">
        <f t="shared" ca="1" si="70"/>
        <v>1.629335424608263</v>
      </c>
      <c r="Z166" s="185">
        <f t="shared" ca="1" si="70"/>
        <v>1.6730234164267099</v>
      </c>
      <c r="AA166" s="185">
        <f t="shared" ca="1" si="70"/>
        <v>1.7364444973635313</v>
      </c>
      <c r="AB166" s="185">
        <f t="shared" ca="1" si="70"/>
        <v>1.792440711291744</v>
      </c>
      <c r="AC166" s="185">
        <f t="shared" ca="1" si="70"/>
        <v>1.8695854862683383</v>
      </c>
      <c r="AD166" s="185">
        <f t="shared" ca="1" si="70"/>
        <v>1.9602380143601181</v>
      </c>
      <c r="AE166" s="185">
        <f t="shared" ca="1" si="71"/>
        <v>2.0514294131774284</v>
      </c>
      <c r="AF166" s="185">
        <f t="shared" ca="1" si="71"/>
        <v>2.1491796046275455</v>
      </c>
      <c r="AG166" s="185">
        <f t="shared" ca="1" si="71"/>
        <v>2.2727730382738121</v>
      </c>
      <c r="AH166" s="185">
        <f t="shared" ca="1" si="71"/>
        <v>2.3840152755688377</v>
      </c>
      <c r="AI166" s="185">
        <f t="shared" ca="1" si="71"/>
        <v>2.4964983130387619</v>
      </c>
      <c r="AJ166" s="185">
        <f t="shared" ca="1" si="71"/>
        <v>2.6051155495956801</v>
      </c>
      <c r="AK166" s="185">
        <f t="shared" ca="1" si="71"/>
        <v>2.7149238391217914</v>
      </c>
      <c r="AL166" s="185">
        <f t="shared" ca="1" si="71"/>
        <v>2.8281146274161708</v>
      </c>
      <c r="AM166" s="185">
        <f t="shared" ca="1" si="71"/>
        <v>3.369823224192964</v>
      </c>
      <c r="AN166" s="185">
        <f t="shared" ca="1" si="71"/>
        <v>3.8535635913428647</v>
      </c>
      <c r="AO166" s="185">
        <f t="shared" ca="1" si="71"/>
        <v>4.8886739268740431</v>
      </c>
      <c r="AP166" s="185">
        <f t="shared" ca="1" si="71"/>
        <v>5.9141228908007299</v>
      </c>
    </row>
    <row r="167" spans="1:42">
      <c r="A167" s="57" t="str">
        <f>'[4]TS BYDem'!A106</f>
        <v>*</v>
      </c>
      <c r="B167" s="185" t="s">
        <v>288</v>
      </c>
      <c r="C167" s="185" t="s">
        <v>137</v>
      </c>
      <c r="D167" s="185" t="str">
        <f>'[4]TS BYDem'!D106</f>
        <v>INFS</v>
      </c>
      <c r="E167" s="185" t="s">
        <v>137</v>
      </c>
      <c r="F167" s="185" t="s">
        <v>137</v>
      </c>
      <c r="G167" s="185" t="s">
        <v>137</v>
      </c>
      <c r="H167" s="185" t="s">
        <v>137</v>
      </c>
      <c r="I167" s="185">
        <v>0</v>
      </c>
      <c r="J167" s="185">
        <f>INDEX('[4]TS BYDem'!$J$10:$J$203,MATCH(D167,'[4]TS BYDem'!$D$10:$D$203,0))</f>
        <v>2.487856608</v>
      </c>
      <c r="K167" s="185">
        <f t="shared" ca="1" si="69"/>
        <v>2.1111087609157093</v>
      </c>
      <c r="L167" s="185">
        <f t="shared" ca="1" si="69"/>
        <v>1.9379097668958214</v>
      </c>
      <c r="M167" s="185">
        <f t="shared" ca="1" si="69"/>
        <v>1.965218131009753</v>
      </c>
      <c r="N167" s="185">
        <f t="shared" ca="1" si="69"/>
        <v>1.9128155944668037</v>
      </c>
      <c r="O167" s="185">
        <f t="shared" ca="1" si="70"/>
        <v>1.8414694179529292</v>
      </c>
      <c r="P167" s="185">
        <f t="shared" ca="1" si="70"/>
        <v>1.8075184787842578</v>
      </c>
      <c r="Q167" s="185">
        <f t="shared" ca="1" si="70"/>
        <v>1.735680259673736</v>
      </c>
      <c r="R167" s="185">
        <f t="shared" ca="1" si="70"/>
        <v>1.4256934237858683</v>
      </c>
      <c r="S167" s="185">
        <f t="shared" ca="1" si="70"/>
        <v>1.6038030649556021</v>
      </c>
      <c r="T167" s="185">
        <f t="shared" ca="1" si="70"/>
        <v>1.5811962730647038</v>
      </c>
      <c r="U167" s="185">
        <f t="shared" ca="1" si="70"/>
        <v>1.5628822668025102</v>
      </c>
      <c r="V167" s="185">
        <f t="shared" ca="1" si="70"/>
        <v>1.5542464054120879</v>
      </c>
      <c r="W167" s="185">
        <f t="shared" ca="1" si="70"/>
        <v>1.5541382840867188</v>
      </c>
      <c r="X167" s="185">
        <f t="shared" ca="1" si="70"/>
        <v>1.5907947701386624</v>
      </c>
      <c r="Y167" s="185">
        <f t="shared" ca="1" si="70"/>
        <v>1.629335424608263</v>
      </c>
      <c r="Z167" s="185">
        <f t="shared" ca="1" si="70"/>
        <v>1.6730234164267099</v>
      </c>
      <c r="AA167" s="185">
        <f t="shared" ca="1" si="70"/>
        <v>1.7364444973635313</v>
      </c>
      <c r="AB167" s="185">
        <f t="shared" ca="1" si="70"/>
        <v>1.792440711291744</v>
      </c>
      <c r="AC167" s="185">
        <f t="shared" ca="1" si="70"/>
        <v>1.8695854862683383</v>
      </c>
      <c r="AD167" s="185">
        <f t="shared" ca="1" si="70"/>
        <v>1.9602380143601181</v>
      </c>
      <c r="AE167" s="185">
        <f t="shared" ca="1" si="71"/>
        <v>2.0514294131774284</v>
      </c>
      <c r="AF167" s="185">
        <f t="shared" ca="1" si="71"/>
        <v>2.1491796046275455</v>
      </c>
      <c r="AG167" s="185">
        <f t="shared" ca="1" si="71"/>
        <v>2.2727730382738121</v>
      </c>
      <c r="AH167" s="185">
        <f t="shared" ca="1" si="71"/>
        <v>2.3840152755688377</v>
      </c>
      <c r="AI167" s="185">
        <f t="shared" ca="1" si="71"/>
        <v>2.4964983130387619</v>
      </c>
      <c r="AJ167" s="185">
        <f t="shared" ca="1" si="71"/>
        <v>2.6051155495956801</v>
      </c>
      <c r="AK167" s="185">
        <f t="shared" ca="1" si="71"/>
        <v>2.7149238391217914</v>
      </c>
      <c r="AL167" s="185">
        <f t="shared" ca="1" si="71"/>
        <v>2.8281146274161708</v>
      </c>
      <c r="AM167" s="185">
        <f t="shared" ca="1" si="71"/>
        <v>3.369823224192964</v>
      </c>
      <c r="AN167" s="185">
        <f t="shared" ca="1" si="71"/>
        <v>3.8535635913428647</v>
      </c>
      <c r="AO167" s="185">
        <f t="shared" ca="1" si="71"/>
        <v>4.8886739268740431</v>
      </c>
      <c r="AP167" s="185">
        <f t="shared" ca="1" si="71"/>
        <v>5.9141228908007299</v>
      </c>
    </row>
    <row r="168" spans="1:42">
      <c r="A168" s="57" t="str">
        <f>'[4]TS BYDem'!A107</f>
        <v>*</v>
      </c>
      <c r="B168" s="185" t="s">
        <v>288</v>
      </c>
      <c r="C168" s="185" t="s">
        <v>137</v>
      </c>
      <c r="D168" s="185" t="str">
        <f>'[4]TS BYDem'!D107</f>
        <v>INFS</v>
      </c>
      <c r="E168" s="185" t="s">
        <v>137</v>
      </c>
      <c r="F168" s="185" t="s">
        <v>137</v>
      </c>
      <c r="G168" s="185" t="s">
        <v>137</v>
      </c>
      <c r="H168" s="185" t="s">
        <v>137</v>
      </c>
      <c r="I168" s="185">
        <v>0</v>
      </c>
      <c r="J168" s="185">
        <f>INDEX('[4]TS BYDem'!$J$10:$J$203,MATCH(D168,'[4]TS BYDem'!$D$10:$D$203,0))</f>
        <v>2.487856608</v>
      </c>
      <c r="K168" s="185">
        <f t="shared" ca="1" si="69"/>
        <v>2.1111087609157093</v>
      </c>
      <c r="L168" s="185">
        <f t="shared" ca="1" si="69"/>
        <v>1.9379097668958214</v>
      </c>
      <c r="M168" s="185">
        <f t="shared" ca="1" si="69"/>
        <v>1.965218131009753</v>
      </c>
      <c r="N168" s="185">
        <f t="shared" ca="1" si="69"/>
        <v>1.9128155944668037</v>
      </c>
      <c r="O168" s="185">
        <f t="shared" ca="1" si="70"/>
        <v>1.8414694179529292</v>
      </c>
      <c r="P168" s="185">
        <f t="shared" ca="1" si="70"/>
        <v>1.8075184787842578</v>
      </c>
      <c r="Q168" s="185">
        <f t="shared" ca="1" si="70"/>
        <v>1.735680259673736</v>
      </c>
      <c r="R168" s="185">
        <f t="shared" ca="1" si="70"/>
        <v>1.4256934237858683</v>
      </c>
      <c r="S168" s="185">
        <f t="shared" ca="1" si="70"/>
        <v>1.6038030649556021</v>
      </c>
      <c r="T168" s="185">
        <f t="shared" ca="1" si="70"/>
        <v>1.5811962730647038</v>
      </c>
      <c r="U168" s="185">
        <f t="shared" ca="1" si="70"/>
        <v>1.5628822668025102</v>
      </c>
      <c r="V168" s="185">
        <f t="shared" ca="1" si="70"/>
        <v>1.5542464054120879</v>
      </c>
      <c r="W168" s="185">
        <f t="shared" ca="1" si="70"/>
        <v>1.5541382840867188</v>
      </c>
      <c r="X168" s="185">
        <f t="shared" ca="1" si="70"/>
        <v>1.5907947701386624</v>
      </c>
      <c r="Y168" s="185">
        <f t="shared" ca="1" si="70"/>
        <v>1.629335424608263</v>
      </c>
      <c r="Z168" s="185">
        <f t="shared" ca="1" si="70"/>
        <v>1.6730234164267099</v>
      </c>
      <c r="AA168" s="185">
        <f t="shared" ca="1" si="70"/>
        <v>1.7364444973635313</v>
      </c>
      <c r="AB168" s="185">
        <f t="shared" ca="1" si="70"/>
        <v>1.792440711291744</v>
      </c>
      <c r="AC168" s="185">
        <f t="shared" ca="1" si="70"/>
        <v>1.8695854862683383</v>
      </c>
      <c r="AD168" s="185">
        <f t="shared" ca="1" si="70"/>
        <v>1.9602380143601181</v>
      </c>
      <c r="AE168" s="185">
        <f t="shared" ca="1" si="71"/>
        <v>2.0514294131774284</v>
      </c>
      <c r="AF168" s="185">
        <f t="shared" ca="1" si="71"/>
        <v>2.1491796046275455</v>
      </c>
      <c r="AG168" s="185">
        <f t="shared" ca="1" si="71"/>
        <v>2.2727730382738121</v>
      </c>
      <c r="AH168" s="185">
        <f t="shared" ca="1" si="71"/>
        <v>2.3840152755688377</v>
      </c>
      <c r="AI168" s="185">
        <f t="shared" ca="1" si="71"/>
        <v>2.4964983130387619</v>
      </c>
      <c r="AJ168" s="185">
        <f t="shared" ca="1" si="71"/>
        <v>2.6051155495956801</v>
      </c>
      <c r="AK168" s="185">
        <f t="shared" ca="1" si="71"/>
        <v>2.7149238391217914</v>
      </c>
      <c r="AL168" s="185">
        <f t="shared" ca="1" si="71"/>
        <v>2.8281146274161708</v>
      </c>
      <c r="AM168" s="185">
        <f t="shared" ca="1" si="71"/>
        <v>3.369823224192964</v>
      </c>
      <c r="AN168" s="185">
        <f t="shared" ca="1" si="71"/>
        <v>3.8535635913428647</v>
      </c>
      <c r="AO168" s="185">
        <f t="shared" ca="1" si="71"/>
        <v>4.8886739268740431</v>
      </c>
      <c r="AP168" s="185">
        <f t="shared" ca="1" si="71"/>
        <v>5.9141228908007299</v>
      </c>
    </row>
    <row r="169" spans="1:42">
      <c r="A169" s="57" t="str">
        <f>'[4]TS BYDem'!A108</f>
        <v>*</v>
      </c>
      <c r="B169" s="185" t="s">
        <v>288</v>
      </c>
      <c r="C169" s="185" t="s">
        <v>137</v>
      </c>
      <c r="D169" s="185" t="str">
        <f>'[4]TS BYDem'!D108</f>
        <v>INFS</v>
      </c>
      <c r="E169" s="185" t="s">
        <v>137</v>
      </c>
      <c r="F169" s="185" t="s">
        <v>137</v>
      </c>
      <c r="G169" s="185" t="s">
        <v>137</v>
      </c>
      <c r="H169" s="185" t="s">
        <v>137</v>
      </c>
      <c r="I169" s="185">
        <v>0</v>
      </c>
      <c r="J169" s="185">
        <f>INDEX('[4]TS BYDem'!$J$10:$J$203,MATCH(D169,'[4]TS BYDem'!$D$10:$D$203,0))</f>
        <v>2.487856608</v>
      </c>
      <c r="K169" s="185">
        <f t="shared" ca="1" si="69"/>
        <v>2.1111087609157093</v>
      </c>
      <c r="L169" s="185">
        <f t="shared" ca="1" si="69"/>
        <v>1.9379097668958214</v>
      </c>
      <c r="M169" s="185">
        <f t="shared" ca="1" si="69"/>
        <v>1.965218131009753</v>
      </c>
      <c r="N169" s="185">
        <f t="shared" ca="1" si="69"/>
        <v>1.9128155944668037</v>
      </c>
      <c r="O169" s="185">
        <f t="shared" ca="1" si="70"/>
        <v>1.8414694179529292</v>
      </c>
      <c r="P169" s="185">
        <f t="shared" ca="1" si="70"/>
        <v>1.8075184787842578</v>
      </c>
      <c r="Q169" s="185">
        <f t="shared" ca="1" si="70"/>
        <v>1.735680259673736</v>
      </c>
      <c r="R169" s="185">
        <f t="shared" ca="1" si="70"/>
        <v>1.4256934237858683</v>
      </c>
      <c r="S169" s="185">
        <f t="shared" ca="1" si="70"/>
        <v>1.6038030649556021</v>
      </c>
      <c r="T169" s="185">
        <f t="shared" ca="1" si="70"/>
        <v>1.5811962730647038</v>
      </c>
      <c r="U169" s="185">
        <f t="shared" ca="1" si="70"/>
        <v>1.5628822668025102</v>
      </c>
      <c r="V169" s="185">
        <f t="shared" ca="1" si="70"/>
        <v>1.5542464054120879</v>
      </c>
      <c r="W169" s="185">
        <f t="shared" ca="1" si="70"/>
        <v>1.5541382840867188</v>
      </c>
      <c r="X169" s="185">
        <f t="shared" ca="1" si="70"/>
        <v>1.5907947701386624</v>
      </c>
      <c r="Y169" s="185">
        <f t="shared" ca="1" si="70"/>
        <v>1.629335424608263</v>
      </c>
      <c r="Z169" s="185">
        <f t="shared" ca="1" si="70"/>
        <v>1.6730234164267099</v>
      </c>
      <c r="AA169" s="185">
        <f t="shared" ca="1" si="70"/>
        <v>1.7364444973635313</v>
      </c>
      <c r="AB169" s="185">
        <f t="shared" ca="1" si="70"/>
        <v>1.792440711291744</v>
      </c>
      <c r="AC169" s="185">
        <f t="shared" ca="1" si="70"/>
        <v>1.8695854862683383</v>
      </c>
      <c r="AD169" s="185">
        <f t="shared" ca="1" si="70"/>
        <v>1.9602380143601181</v>
      </c>
      <c r="AE169" s="185">
        <f t="shared" ca="1" si="71"/>
        <v>2.0514294131774284</v>
      </c>
      <c r="AF169" s="185">
        <f t="shared" ca="1" si="71"/>
        <v>2.1491796046275455</v>
      </c>
      <c r="AG169" s="185">
        <f t="shared" ca="1" si="71"/>
        <v>2.2727730382738121</v>
      </c>
      <c r="AH169" s="185">
        <f t="shared" ca="1" si="71"/>
        <v>2.3840152755688377</v>
      </c>
      <c r="AI169" s="185">
        <f t="shared" ca="1" si="71"/>
        <v>2.4964983130387619</v>
      </c>
      <c r="AJ169" s="185">
        <f t="shared" ca="1" si="71"/>
        <v>2.6051155495956801</v>
      </c>
      <c r="AK169" s="185">
        <f t="shared" ca="1" si="71"/>
        <v>2.7149238391217914</v>
      </c>
      <c r="AL169" s="185">
        <f t="shared" ca="1" si="71"/>
        <v>2.8281146274161708</v>
      </c>
      <c r="AM169" s="185">
        <f t="shared" ca="1" si="71"/>
        <v>3.369823224192964</v>
      </c>
      <c r="AN169" s="185">
        <f t="shared" ca="1" si="71"/>
        <v>3.8535635913428647</v>
      </c>
      <c r="AO169" s="185">
        <f t="shared" ca="1" si="71"/>
        <v>4.8886739268740431</v>
      </c>
      <c r="AP169" s="185">
        <f t="shared" ca="1" si="71"/>
        <v>5.9141228908007299</v>
      </c>
    </row>
    <row r="170" spans="1:42">
      <c r="A170" s="57" t="str">
        <f>'[4]TS BYDem'!A109</f>
        <v>*</v>
      </c>
      <c r="B170" s="185" t="s">
        <v>288</v>
      </c>
      <c r="C170" s="185" t="s">
        <v>137</v>
      </c>
      <c r="D170" s="185" t="str">
        <f>'[4]TS BYDem'!D109</f>
        <v>INFS</v>
      </c>
      <c r="E170" s="185" t="s">
        <v>137</v>
      </c>
      <c r="F170" s="185" t="s">
        <v>137</v>
      </c>
      <c r="G170" s="185" t="s">
        <v>137</v>
      </c>
      <c r="H170" s="185" t="s">
        <v>137</v>
      </c>
      <c r="I170" s="185">
        <v>0</v>
      </c>
      <c r="J170" s="185">
        <f>INDEX('[4]TS BYDem'!$J$10:$J$203,MATCH(D170,'[4]TS BYDem'!$D$10:$D$203,0))</f>
        <v>2.487856608</v>
      </c>
      <c r="K170" s="185">
        <f t="shared" ca="1" si="69"/>
        <v>2.1111087609157093</v>
      </c>
      <c r="L170" s="185">
        <f t="shared" ca="1" si="69"/>
        <v>1.9379097668958214</v>
      </c>
      <c r="M170" s="185">
        <f t="shared" ca="1" si="69"/>
        <v>1.965218131009753</v>
      </c>
      <c r="N170" s="185">
        <f t="shared" ca="1" si="69"/>
        <v>1.9128155944668037</v>
      </c>
      <c r="O170" s="185">
        <f t="shared" ca="1" si="70"/>
        <v>1.8414694179529292</v>
      </c>
      <c r="P170" s="185">
        <f t="shared" ca="1" si="70"/>
        <v>1.8075184787842578</v>
      </c>
      <c r="Q170" s="185">
        <f t="shared" ca="1" si="70"/>
        <v>1.735680259673736</v>
      </c>
      <c r="R170" s="185">
        <f t="shared" ca="1" si="70"/>
        <v>1.4256934237858683</v>
      </c>
      <c r="S170" s="185">
        <f t="shared" ca="1" si="70"/>
        <v>1.6038030649556021</v>
      </c>
      <c r="T170" s="185">
        <f t="shared" ca="1" si="70"/>
        <v>1.5811962730647038</v>
      </c>
      <c r="U170" s="185">
        <f t="shared" ca="1" si="70"/>
        <v>1.5628822668025102</v>
      </c>
      <c r="V170" s="185">
        <f t="shared" ca="1" si="70"/>
        <v>1.5542464054120879</v>
      </c>
      <c r="W170" s="185">
        <f t="shared" ca="1" si="70"/>
        <v>1.5541382840867188</v>
      </c>
      <c r="X170" s="185">
        <f t="shared" ca="1" si="70"/>
        <v>1.5907947701386624</v>
      </c>
      <c r="Y170" s="185">
        <f t="shared" ca="1" si="70"/>
        <v>1.629335424608263</v>
      </c>
      <c r="Z170" s="185">
        <f t="shared" ca="1" si="70"/>
        <v>1.6730234164267099</v>
      </c>
      <c r="AA170" s="185">
        <f t="shared" ca="1" si="70"/>
        <v>1.7364444973635313</v>
      </c>
      <c r="AB170" s="185">
        <f t="shared" ca="1" si="70"/>
        <v>1.792440711291744</v>
      </c>
      <c r="AC170" s="185">
        <f t="shared" ca="1" si="70"/>
        <v>1.8695854862683383</v>
      </c>
      <c r="AD170" s="185">
        <f t="shared" ca="1" si="70"/>
        <v>1.9602380143601181</v>
      </c>
      <c r="AE170" s="185">
        <f t="shared" ca="1" si="71"/>
        <v>2.0514294131774284</v>
      </c>
      <c r="AF170" s="185">
        <f t="shared" ca="1" si="71"/>
        <v>2.1491796046275455</v>
      </c>
      <c r="AG170" s="185">
        <f t="shared" ca="1" si="71"/>
        <v>2.2727730382738121</v>
      </c>
      <c r="AH170" s="185">
        <f t="shared" ca="1" si="71"/>
        <v>2.3840152755688377</v>
      </c>
      <c r="AI170" s="185">
        <f t="shared" ca="1" si="71"/>
        <v>2.4964983130387619</v>
      </c>
      <c r="AJ170" s="185">
        <f t="shared" ca="1" si="71"/>
        <v>2.6051155495956801</v>
      </c>
      <c r="AK170" s="185">
        <f t="shared" ca="1" si="71"/>
        <v>2.7149238391217914</v>
      </c>
      <c r="AL170" s="185">
        <f t="shared" ca="1" si="71"/>
        <v>2.8281146274161708</v>
      </c>
      <c r="AM170" s="185">
        <f t="shared" ca="1" si="71"/>
        <v>3.369823224192964</v>
      </c>
      <c r="AN170" s="185">
        <f t="shared" ca="1" si="71"/>
        <v>3.8535635913428647</v>
      </c>
      <c r="AO170" s="185">
        <f t="shared" ca="1" si="71"/>
        <v>4.8886739268740431</v>
      </c>
      <c r="AP170" s="185">
        <f t="shared" ca="1" si="71"/>
        <v>5.9141228908007299</v>
      </c>
    </row>
    <row r="171" spans="1:42">
      <c r="A171" s="57" t="str">
        <f>'[4]TS BYDem'!A110</f>
        <v>*</v>
      </c>
      <c r="B171" s="185" t="s">
        <v>288</v>
      </c>
      <c r="C171" s="185" t="s">
        <v>137</v>
      </c>
      <c r="D171" s="185" t="str">
        <f>'[4]TS BYDem'!D110</f>
        <v>Useful Energy Service</v>
      </c>
      <c r="E171" s="185" t="s">
        <v>137</v>
      </c>
      <c r="F171" s="185" t="s">
        <v>137</v>
      </c>
      <c r="G171" s="185" t="s">
        <v>137</v>
      </c>
      <c r="H171" s="185" t="s">
        <v>137</v>
      </c>
      <c r="I171" s="185">
        <v>0</v>
      </c>
      <c r="J171" s="185" t="str">
        <f>INDEX('[4]TS BYDem'!$J$10:$J$203,MATCH(D171,'[4]TS BYDem'!$D$10:$D$203,0))</f>
        <v/>
      </c>
      <c r="K171" s="185" t="e">
        <f t="shared" ca="1" si="69"/>
        <v>#VALUE!</v>
      </c>
      <c r="L171" s="185" t="e">
        <f t="shared" ca="1" si="69"/>
        <v>#VALUE!</v>
      </c>
      <c r="M171" s="185" t="e">
        <f t="shared" ca="1" si="69"/>
        <v>#VALUE!</v>
      </c>
      <c r="N171" s="185" t="e">
        <f t="shared" ca="1" si="69"/>
        <v>#VALUE!</v>
      </c>
      <c r="O171" s="185" t="e">
        <f t="shared" ca="1" si="70"/>
        <v>#VALUE!</v>
      </c>
      <c r="P171" s="185" t="e">
        <f t="shared" ca="1" si="70"/>
        <v>#VALUE!</v>
      </c>
      <c r="Q171" s="185" t="e">
        <f t="shared" ca="1" si="70"/>
        <v>#VALUE!</v>
      </c>
      <c r="R171" s="185" t="e">
        <f t="shared" ca="1" si="70"/>
        <v>#VALUE!</v>
      </c>
      <c r="S171" s="185" t="e">
        <f t="shared" ca="1" si="70"/>
        <v>#VALUE!</v>
      </c>
      <c r="T171" s="185" t="e">
        <f t="shared" ca="1" si="70"/>
        <v>#VALUE!</v>
      </c>
      <c r="U171" s="185" t="e">
        <f t="shared" ca="1" si="70"/>
        <v>#VALUE!</v>
      </c>
      <c r="V171" s="185" t="e">
        <f t="shared" ca="1" si="70"/>
        <v>#VALUE!</v>
      </c>
      <c r="W171" s="185" t="e">
        <f t="shared" ca="1" si="70"/>
        <v>#VALUE!</v>
      </c>
      <c r="X171" s="185" t="e">
        <f t="shared" ca="1" si="70"/>
        <v>#VALUE!</v>
      </c>
      <c r="Y171" s="185" t="e">
        <f t="shared" ca="1" si="70"/>
        <v>#VALUE!</v>
      </c>
      <c r="Z171" s="185" t="e">
        <f t="shared" ca="1" si="70"/>
        <v>#VALUE!</v>
      </c>
      <c r="AA171" s="185" t="e">
        <f t="shared" ca="1" si="70"/>
        <v>#VALUE!</v>
      </c>
      <c r="AB171" s="185" t="e">
        <f t="shared" ca="1" si="70"/>
        <v>#VALUE!</v>
      </c>
      <c r="AC171" s="185" t="e">
        <f t="shared" ca="1" si="70"/>
        <v>#VALUE!</v>
      </c>
      <c r="AD171" s="185" t="e">
        <f t="shared" ca="1" si="70"/>
        <v>#VALUE!</v>
      </c>
      <c r="AE171" s="185" t="e">
        <f t="shared" ca="1" si="71"/>
        <v>#VALUE!</v>
      </c>
      <c r="AF171" s="185" t="e">
        <f t="shared" ca="1" si="71"/>
        <v>#VALUE!</v>
      </c>
      <c r="AG171" s="185" t="e">
        <f t="shared" ca="1" si="71"/>
        <v>#VALUE!</v>
      </c>
      <c r="AH171" s="185" t="e">
        <f t="shared" ca="1" si="71"/>
        <v>#VALUE!</v>
      </c>
      <c r="AI171" s="185" t="e">
        <f t="shared" ca="1" si="71"/>
        <v>#VALUE!</v>
      </c>
      <c r="AJ171" s="185" t="e">
        <f t="shared" ca="1" si="71"/>
        <v>#VALUE!</v>
      </c>
      <c r="AK171" s="185" t="e">
        <f t="shared" ca="1" si="71"/>
        <v>#VALUE!</v>
      </c>
      <c r="AL171" s="185" t="e">
        <f t="shared" ca="1" si="71"/>
        <v>#VALUE!</v>
      </c>
      <c r="AM171" s="185" t="e">
        <f t="shared" ca="1" si="71"/>
        <v>#VALUE!</v>
      </c>
      <c r="AN171" s="185" t="e">
        <f t="shared" ca="1" si="71"/>
        <v>#VALUE!</v>
      </c>
      <c r="AO171" s="185" t="e">
        <f t="shared" ca="1" si="71"/>
        <v>#VALUE!</v>
      </c>
      <c r="AP171" s="185" t="e">
        <f t="shared" ca="1" si="71"/>
        <v>#VALUE!</v>
      </c>
    </row>
    <row r="172" spans="1:42">
      <c r="A172" s="57" t="str">
        <f>'[4]TS BYDem'!A111</f>
        <v>*</v>
      </c>
      <c r="B172" s="185" t="s">
        <v>288</v>
      </c>
      <c r="C172" s="185" t="s">
        <v>137</v>
      </c>
      <c r="D172" s="185">
        <f>'[4]TS BYDem'!D111</f>
        <v>0</v>
      </c>
      <c r="E172" s="185" t="s">
        <v>137</v>
      </c>
      <c r="F172" s="185" t="s">
        <v>137</v>
      </c>
      <c r="G172" s="185" t="s">
        <v>137</v>
      </c>
      <c r="H172" s="185" t="s">
        <v>137</v>
      </c>
      <c r="I172" s="185">
        <v>0</v>
      </c>
      <c r="J172" s="185" t="str">
        <f>INDEX('[4]TS BYDem'!$J$10:$J$203,MATCH(D172,'[4]TS BYDem'!$D$10:$D$203,0))</f>
        <v/>
      </c>
      <c r="K172" s="185" t="e">
        <f t="shared" ca="1" si="69"/>
        <v>#VALUE!</v>
      </c>
      <c r="L172" s="185" t="e">
        <f t="shared" ca="1" si="69"/>
        <v>#VALUE!</v>
      </c>
      <c r="M172" s="185" t="e">
        <f t="shared" ca="1" si="69"/>
        <v>#VALUE!</v>
      </c>
      <c r="N172" s="185" t="e">
        <f t="shared" ca="1" si="69"/>
        <v>#VALUE!</v>
      </c>
      <c r="O172" s="185" t="e">
        <f t="shared" ca="1" si="70"/>
        <v>#VALUE!</v>
      </c>
      <c r="P172" s="185" t="e">
        <f t="shared" ca="1" si="70"/>
        <v>#VALUE!</v>
      </c>
      <c r="Q172" s="185" t="e">
        <f t="shared" ca="1" si="70"/>
        <v>#VALUE!</v>
      </c>
      <c r="R172" s="185" t="e">
        <f t="shared" ca="1" si="70"/>
        <v>#VALUE!</v>
      </c>
      <c r="S172" s="185" t="e">
        <f t="shared" ca="1" si="70"/>
        <v>#VALUE!</v>
      </c>
      <c r="T172" s="185" t="e">
        <f t="shared" ca="1" si="70"/>
        <v>#VALUE!</v>
      </c>
      <c r="U172" s="185" t="e">
        <f t="shared" ca="1" si="70"/>
        <v>#VALUE!</v>
      </c>
      <c r="V172" s="185" t="e">
        <f t="shared" ca="1" si="70"/>
        <v>#VALUE!</v>
      </c>
      <c r="W172" s="185" t="e">
        <f t="shared" ca="1" si="70"/>
        <v>#VALUE!</v>
      </c>
      <c r="X172" s="185" t="e">
        <f t="shared" ca="1" si="70"/>
        <v>#VALUE!</v>
      </c>
      <c r="Y172" s="185" t="e">
        <f t="shared" ca="1" si="70"/>
        <v>#VALUE!</v>
      </c>
      <c r="Z172" s="185" t="e">
        <f t="shared" ca="1" si="70"/>
        <v>#VALUE!</v>
      </c>
      <c r="AA172" s="185" t="e">
        <f t="shared" ca="1" si="70"/>
        <v>#VALUE!</v>
      </c>
      <c r="AB172" s="185" t="e">
        <f t="shared" ca="1" si="70"/>
        <v>#VALUE!</v>
      </c>
      <c r="AC172" s="185" t="e">
        <f t="shared" ca="1" si="70"/>
        <v>#VALUE!</v>
      </c>
      <c r="AD172" s="185" t="e">
        <f t="shared" ca="1" si="70"/>
        <v>#VALUE!</v>
      </c>
      <c r="AE172" s="185" t="e">
        <f t="shared" ca="1" si="71"/>
        <v>#VALUE!</v>
      </c>
      <c r="AF172" s="185" t="e">
        <f t="shared" ca="1" si="71"/>
        <v>#VALUE!</v>
      </c>
      <c r="AG172" s="185" t="e">
        <f t="shared" ca="1" si="71"/>
        <v>#VALUE!</v>
      </c>
      <c r="AH172" s="185" t="e">
        <f t="shared" ca="1" si="71"/>
        <v>#VALUE!</v>
      </c>
      <c r="AI172" s="185" t="e">
        <f t="shared" ca="1" si="71"/>
        <v>#VALUE!</v>
      </c>
      <c r="AJ172" s="185" t="e">
        <f t="shared" ca="1" si="71"/>
        <v>#VALUE!</v>
      </c>
      <c r="AK172" s="185" t="e">
        <f t="shared" ca="1" si="71"/>
        <v>#VALUE!</v>
      </c>
      <c r="AL172" s="185" t="e">
        <f t="shared" ca="1" si="71"/>
        <v>#VALUE!</v>
      </c>
      <c r="AM172" s="185" t="e">
        <f t="shared" ca="1" si="71"/>
        <v>#VALUE!</v>
      </c>
      <c r="AN172" s="185" t="e">
        <f t="shared" ca="1" si="71"/>
        <v>#VALUE!</v>
      </c>
      <c r="AO172" s="185" t="e">
        <f t="shared" ca="1" si="71"/>
        <v>#VALUE!</v>
      </c>
      <c r="AP172" s="185" t="e">
        <f t="shared" ca="1" si="71"/>
        <v>#VALUE!</v>
      </c>
    </row>
    <row r="173" spans="1:42" s="5" customFormat="1">
      <c r="A173" s="57" t="str">
        <f>'[4]TS BYDem'!A108</f>
        <v>*</v>
      </c>
      <c r="B173" s="5">
        <f>B154+1</f>
        <v>6</v>
      </c>
      <c r="C173" s="3" t="str">
        <f ca="1">OFFSET($C$9,$B173,0)</f>
        <v>N.M.M Products</v>
      </c>
      <c r="D173" s="3" t="str">
        <f ca="1">OFFSET($B$9,$B173,0)</f>
        <v>NM</v>
      </c>
      <c r="J173" s="5">
        <f ca="1">SUMIF($B$10:$B$22,$D173,J$10:J$22)*SUMIF($B$10:$B$22,$D173,J$41:J$53)</f>
        <v>225.81360892991603</v>
      </c>
      <c r="K173" s="5">
        <f t="shared" ref="K173:AP173" ca="1" si="74">SUMIF($B$10:$B$22,$D173,K$10:K$22)*SUMIF($B$10:$B$22,$D173,K$41:K$53)</f>
        <v>231.92</v>
      </c>
      <c r="L173" s="5">
        <f t="shared" ca="1" si="74"/>
        <v>236.16</v>
      </c>
      <c r="M173" s="5">
        <f t="shared" ca="1" si="74"/>
        <v>239.98400000000001</v>
      </c>
      <c r="N173" s="5">
        <f t="shared" ca="1" si="74"/>
        <v>242.88</v>
      </c>
      <c r="O173" s="5">
        <f t="shared" ca="1" si="74"/>
        <v>245.696</v>
      </c>
      <c r="P173" s="5">
        <f t="shared" ca="1" si="74"/>
        <v>249.024</v>
      </c>
      <c r="Q173" s="5">
        <f t="shared" ca="1" si="74"/>
        <v>249.28</v>
      </c>
      <c r="R173" s="5">
        <f t="shared" ca="1" si="74"/>
        <v>228.8</v>
      </c>
      <c r="S173" s="5">
        <f t="shared" ca="1" si="74"/>
        <v>234.51959882978173</v>
      </c>
      <c r="T173" s="5">
        <f t="shared" ca="1" si="74"/>
        <v>240.3893521166641</v>
      </c>
      <c r="U173" s="5">
        <f t="shared" ca="1" si="74"/>
        <v>246.76763537113936</v>
      </c>
      <c r="V173" s="5">
        <f t="shared" ca="1" si="74"/>
        <v>253.61165501270955</v>
      </c>
      <c r="W173" s="5">
        <f t="shared" ca="1" si="74"/>
        <v>260.49392951885818</v>
      </c>
      <c r="X173" s="5">
        <f t="shared" ca="1" si="74"/>
        <v>268.06682367761528</v>
      </c>
      <c r="Y173" s="5">
        <f t="shared" ca="1" si="74"/>
        <v>275.69598936577381</v>
      </c>
      <c r="Z173" s="5">
        <f t="shared" ca="1" si="74"/>
        <v>283.82413636727955</v>
      </c>
      <c r="AA173" s="5">
        <f t="shared" ca="1" si="74"/>
        <v>292.3401439296851</v>
      </c>
      <c r="AB173" s="5">
        <f ca="1">SUMIF($B$10:$B$22,$D173,AB$10:AB$22)*SUMIF($B$10:$B$22,$D173,AB$40:AB$53)</f>
        <v>299.28362153401542</v>
      </c>
      <c r="AC173" s="5">
        <f t="shared" ca="1" si="74"/>
        <v>307.88098811566027</v>
      </c>
      <c r="AD173" s="5">
        <f t="shared" ca="1" si="74"/>
        <v>316.68334381745956</v>
      </c>
      <c r="AE173" s="5">
        <f t="shared" ca="1" si="74"/>
        <v>325.60753022262537</v>
      </c>
      <c r="AF173" s="5">
        <f t="shared" ca="1" si="74"/>
        <v>334.25488914801889</v>
      </c>
      <c r="AG173" s="5">
        <f t="shared" ca="1" si="74"/>
        <v>343.49220368358732</v>
      </c>
      <c r="AH173" s="5">
        <f t="shared" ca="1" si="74"/>
        <v>352.99188931072712</v>
      </c>
      <c r="AI173" s="5">
        <f t="shared" ca="1" si="74"/>
        <v>362.80191715679484</v>
      </c>
      <c r="AJ173" s="5">
        <f t="shared" ca="1" si="74"/>
        <v>372.44363508327342</v>
      </c>
      <c r="AK173" s="5">
        <f t="shared" ca="1" si="74"/>
        <v>382.42417277274029</v>
      </c>
      <c r="AL173" s="5">
        <f t="shared" ca="1" si="74"/>
        <v>393.00374761956721</v>
      </c>
      <c r="AM173" s="5">
        <f t="shared" ca="1" si="74"/>
        <v>453.67019618991446</v>
      </c>
      <c r="AN173" s="5">
        <f t="shared" ca="1" si="74"/>
        <v>522.20687563954471</v>
      </c>
      <c r="AO173" s="5">
        <f t="shared" ca="1" si="74"/>
        <v>650.09829851297764</v>
      </c>
      <c r="AP173" s="5">
        <f t="shared" ca="1" si="74"/>
        <v>779.30142653295479</v>
      </c>
    </row>
    <row r="174" spans="1:42">
      <c r="A174" s="57" t="str">
        <f>'[4]TS BYDem'!A113</f>
        <v>*</v>
      </c>
      <c r="B174" s="185" t="s">
        <v>288</v>
      </c>
      <c r="C174" s="185" t="s">
        <v>137</v>
      </c>
      <c r="D174" s="185" t="str">
        <f>'[4]TS BYDem'!D113</f>
        <v>INMK</v>
      </c>
      <c r="E174" s="185" t="s">
        <v>137</v>
      </c>
      <c r="F174" s="185" t="s">
        <v>137</v>
      </c>
      <c r="G174" s="185" t="s">
        <v>137</v>
      </c>
      <c r="H174" s="185" t="s">
        <v>137</v>
      </c>
      <c r="I174" s="185">
        <v>0</v>
      </c>
      <c r="J174" s="185" t="str">
        <f>INDEX('[4]TS BYDem'!$J$10:$J$203,MATCH(D174,'[4]TS BYDem'!$D$10:$D$203,0))</f>
        <v/>
      </c>
      <c r="K174" s="185" t="e">
        <f t="shared" ref="K174:Z189" ca="1" si="75">K$173/J$173*J174</f>
        <v>#VALUE!</v>
      </c>
      <c r="L174" s="185" t="e">
        <f t="shared" ca="1" si="75"/>
        <v>#VALUE!</v>
      </c>
      <c r="M174" s="185" t="e">
        <f t="shared" ca="1" si="75"/>
        <v>#VALUE!</v>
      </c>
      <c r="N174" s="185" t="e">
        <f t="shared" ca="1" si="75"/>
        <v>#VALUE!</v>
      </c>
      <c r="O174" s="185" t="e">
        <f t="shared" ca="1" si="75"/>
        <v>#VALUE!</v>
      </c>
      <c r="P174" s="185" t="e">
        <f t="shared" ca="1" si="75"/>
        <v>#VALUE!</v>
      </c>
      <c r="Q174" s="185" t="e">
        <f t="shared" ca="1" si="75"/>
        <v>#VALUE!</v>
      </c>
      <c r="R174" s="185" t="e">
        <f t="shared" ca="1" si="75"/>
        <v>#VALUE!</v>
      </c>
      <c r="S174" s="185" t="e">
        <f t="shared" ca="1" si="75"/>
        <v>#VALUE!</v>
      </c>
      <c r="T174" s="185" t="e">
        <f t="shared" ca="1" si="75"/>
        <v>#VALUE!</v>
      </c>
      <c r="U174" s="185" t="e">
        <f t="shared" ca="1" si="75"/>
        <v>#VALUE!</v>
      </c>
      <c r="V174" s="185" t="e">
        <f t="shared" ca="1" si="75"/>
        <v>#VALUE!</v>
      </c>
      <c r="W174" s="185" t="e">
        <f t="shared" ca="1" si="75"/>
        <v>#VALUE!</v>
      </c>
      <c r="X174" s="185" t="e">
        <f t="shared" ca="1" si="75"/>
        <v>#VALUE!</v>
      </c>
      <c r="Y174" s="185" t="e">
        <f t="shared" ca="1" si="75"/>
        <v>#VALUE!</v>
      </c>
      <c r="Z174" s="185" t="e">
        <f t="shared" ca="1" si="75"/>
        <v>#VALUE!</v>
      </c>
      <c r="AA174" s="185" t="e">
        <f t="shared" ref="AA174:AP189" ca="1" si="76">AA$173/Z$173*Z174</f>
        <v>#VALUE!</v>
      </c>
      <c r="AB174" s="185" t="e">
        <f t="shared" ca="1" si="76"/>
        <v>#VALUE!</v>
      </c>
      <c r="AC174" s="185" t="e">
        <f t="shared" ca="1" si="76"/>
        <v>#VALUE!</v>
      </c>
      <c r="AD174" s="185" t="e">
        <f t="shared" ca="1" si="76"/>
        <v>#VALUE!</v>
      </c>
      <c r="AE174" s="185" t="e">
        <f t="shared" ca="1" si="76"/>
        <v>#VALUE!</v>
      </c>
      <c r="AF174" s="185" t="e">
        <f t="shared" ca="1" si="76"/>
        <v>#VALUE!</v>
      </c>
      <c r="AG174" s="185" t="e">
        <f t="shared" ca="1" si="76"/>
        <v>#VALUE!</v>
      </c>
      <c r="AH174" s="185" t="e">
        <f t="shared" ca="1" si="76"/>
        <v>#VALUE!</v>
      </c>
      <c r="AI174" s="185" t="e">
        <f t="shared" ca="1" si="76"/>
        <v>#VALUE!</v>
      </c>
      <c r="AJ174" s="185" t="e">
        <f t="shared" ca="1" si="76"/>
        <v>#VALUE!</v>
      </c>
      <c r="AK174" s="185" t="e">
        <f t="shared" ca="1" si="76"/>
        <v>#VALUE!</v>
      </c>
      <c r="AL174" s="185" t="e">
        <f t="shared" ca="1" si="76"/>
        <v>#VALUE!</v>
      </c>
      <c r="AM174" s="185" t="e">
        <f t="shared" ca="1" si="76"/>
        <v>#VALUE!</v>
      </c>
      <c r="AN174" s="185" t="e">
        <f t="shared" ca="1" si="76"/>
        <v>#VALUE!</v>
      </c>
      <c r="AO174" s="185" t="e">
        <f t="shared" ca="1" si="76"/>
        <v>#VALUE!</v>
      </c>
      <c r="AP174" s="185" t="e">
        <f t="shared" ca="1" si="76"/>
        <v>#VALUE!</v>
      </c>
    </row>
    <row r="175" spans="1:42">
      <c r="A175" s="57" t="str">
        <f>'[4]TS BYDem'!A114</f>
        <v>*</v>
      </c>
      <c r="B175" s="185" t="s">
        <v>288</v>
      </c>
      <c r="C175" s="185" t="s">
        <v>137</v>
      </c>
      <c r="D175" s="185" t="str">
        <f>'[4]TS BYDem'!D114</f>
        <v>INMA</v>
      </c>
      <c r="E175" s="185" t="s">
        <v>137</v>
      </c>
      <c r="F175" s="185" t="s">
        <v>137</v>
      </c>
      <c r="G175" s="185" t="s">
        <v>137</v>
      </c>
      <c r="H175" s="185" t="s">
        <v>137</v>
      </c>
      <c r="I175" s="185">
        <v>0</v>
      </c>
      <c r="J175" s="185" t="str">
        <f>INDEX('[4]TS BYDem'!$J$10:$J$203,MATCH(D175,'[4]TS BYDem'!$D$10:$D$203,0))</f>
        <v/>
      </c>
      <c r="K175" s="185" t="e">
        <f t="shared" ca="1" si="75"/>
        <v>#VALUE!</v>
      </c>
      <c r="L175" s="185" t="e">
        <f t="shared" ca="1" si="75"/>
        <v>#VALUE!</v>
      </c>
      <c r="M175" s="185" t="e">
        <f t="shared" ca="1" si="75"/>
        <v>#VALUE!</v>
      </c>
      <c r="N175" s="185" t="e">
        <f t="shared" ca="1" si="75"/>
        <v>#VALUE!</v>
      </c>
      <c r="O175" s="185" t="e">
        <f t="shared" ca="1" si="75"/>
        <v>#VALUE!</v>
      </c>
      <c r="P175" s="185" t="e">
        <f t="shared" ca="1" si="75"/>
        <v>#VALUE!</v>
      </c>
      <c r="Q175" s="185" t="e">
        <f t="shared" ca="1" si="75"/>
        <v>#VALUE!</v>
      </c>
      <c r="R175" s="185" t="e">
        <f t="shared" ca="1" si="75"/>
        <v>#VALUE!</v>
      </c>
      <c r="S175" s="185" t="e">
        <f t="shared" ca="1" si="75"/>
        <v>#VALUE!</v>
      </c>
      <c r="T175" s="185" t="e">
        <f t="shared" ca="1" si="75"/>
        <v>#VALUE!</v>
      </c>
      <c r="U175" s="185" t="e">
        <f t="shared" ca="1" si="75"/>
        <v>#VALUE!</v>
      </c>
      <c r="V175" s="185" t="e">
        <f t="shared" ca="1" si="75"/>
        <v>#VALUE!</v>
      </c>
      <c r="W175" s="185" t="e">
        <f t="shared" ca="1" si="75"/>
        <v>#VALUE!</v>
      </c>
      <c r="X175" s="185" t="e">
        <f t="shared" ca="1" si="75"/>
        <v>#VALUE!</v>
      </c>
      <c r="Y175" s="185" t="e">
        <f t="shared" ca="1" si="75"/>
        <v>#VALUE!</v>
      </c>
      <c r="Z175" s="185" t="e">
        <f t="shared" ca="1" si="75"/>
        <v>#VALUE!</v>
      </c>
      <c r="AA175" s="185" t="e">
        <f t="shared" ca="1" si="76"/>
        <v>#VALUE!</v>
      </c>
      <c r="AB175" s="185" t="e">
        <f t="shared" ca="1" si="76"/>
        <v>#VALUE!</v>
      </c>
      <c r="AC175" s="185" t="e">
        <f t="shared" ca="1" si="76"/>
        <v>#VALUE!</v>
      </c>
      <c r="AD175" s="185" t="e">
        <f t="shared" ca="1" si="76"/>
        <v>#VALUE!</v>
      </c>
      <c r="AE175" s="185" t="e">
        <f t="shared" ca="1" si="76"/>
        <v>#VALUE!</v>
      </c>
      <c r="AF175" s="185" t="e">
        <f t="shared" ca="1" si="76"/>
        <v>#VALUE!</v>
      </c>
      <c r="AG175" s="185" t="e">
        <f t="shared" ca="1" si="76"/>
        <v>#VALUE!</v>
      </c>
      <c r="AH175" s="185" t="e">
        <f t="shared" ca="1" si="76"/>
        <v>#VALUE!</v>
      </c>
      <c r="AI175" s="185" t="e">
        <f t="shared" ca="1" si="76"/>
        <v>#VALUE!</v>
      </c>
      <c r="AJ175" s="185" t="e">
        <f t="shared" ca="1" si="76"/>
        <v>#VALUE!</v>
      </c>
      <c r="AK175" s="185" t="e">
        <f t="shared" ca="1" si="76"/>
        <v>#VALUE!</v>
      </c>
      <c r="AL175" s="185" t="e">
        <f t="shared" ca="1" si="76"/>
        <v>#VALUE!</v>
      </c>
      <c r="AM175" s="185" t="e">
        <f t="shared" ca="1" si="76"/>
        <v>#VALUE!</v>
      </c>
      <c r="AN175" s="185" t="e">
        <f t="shared" ca="1" si="76"/>
        <v>#VALUE!</v>
      </c>
      <c r="AO175" s="185" t="e">
        <f t="shared" ca="1" si="76"/>
        <v>#VALUE!</v>
      </c>
      <c r="AP175" s="185" t="e">
        <f t="shared" ca="1" si="76"/>
        <v>#VALUE!</v>
      </c>
    </row>
    <row r="176" spans="1:42">
      <c r="A176" s="57" t="str">
        <f>'[4]TS BYDem'!A115</f>
        <v>*</v>
      </c>
      <c r="B176" s="185" t="s">
        <v>288</v>
      </c>
      <c r="C176" s="185" t="s">
        <v>137</v>
      </c>
      <c r="D176" s="185" t="str">
        <f>'[4]TS BYDem'!D115</f>
        <v>INML</v>
      </c>
      <c r="E176" s="185" t="s">
        <v>137</v>
      </c>
      <c r="F176" s="185" t="s">
        <v>137</v>
      </c>
      <c r="G176" s="185" t="s">
        <v>137</v>
      </c>
      <c r="H176" s="185" t="s">
        <v>137</v>
      </c>
      <c r="I176" s="185">
        <v>0</v>
      </c>
      <c r="J176" s="185" t="str">
        <f>INDEX('[4]TS BYDem'!$J$10:$J$203,MATCH(D176,'[4]TS BYDem'!$D$10:$D$203,0))</f>
        <v/>
      </c>
      <c r="K176" s="185" t="e">
        <f t="shared" ca="1" si="75"/>
        <v>#VALUE!</v>
      </c>
      <c r="L176" s="185" t="e">
        <f t="shared" ca="1" si="75"/>
        <v>#VALUE!</v>
      </c>
      <c r="M176" s="185" t="e">
        <f t="shared" ca="1" si="75"/>
        <v>#VALUE!</v>
      </c>
      <c r="N176" s="185" t="e">
        <f t="shared" ca="1" si="75"/>
        <v>#VALUE!</v>
      </c>
      <c r="O176" s="185" t="e">
        <f t="shared" ca="1" si="75"/>
        <v>#VALUE!</v>
      </c>
      <c r="P176" s="185" t="e">
        <f t="shared" ca="1" si="75"/>
        <v>#VALUE!</v>
      </c>
      <c r="Q176" s="185" t="e">
        <f t="shared" ca="1" si="75"/>
        <v>#VALUE!</v>
      </c>
      <c r="R176" s="185" t="e">
        <f t="shared" ca="1" si="75"/>
        <v>#VALUE!</v>
      </c>
      <c r="S176" s="185" t="e">
        <f t="shared" ca="1" si="75"/>
        <v>#VALUE!</v>
      </c>
      <c r="T176" s="185" t="e">
        <f t="shared" ca="1" si="75"/>
        <v>#VALUE!</v>
      </c>
      <c r="U176" s="185" t="e">
        <f t="shared" ca="1" si="75"/>
        <v>#VALUE!</v>
      </c>
      <c r="V176" s="185" t="e">
        <f t="shared" ca="1" si="75"/>
        <v>#VALUE!</v>
      </c>
      <c r="W176" s="185" t="e">
        <f t="shared" ca="1" si="75"/>
        <v>#VALUE!</v>
      </c>
      <c r="X176" s="185" t="e">
        <f t="shared" ca="1" si="75"/>
        <v>#VALUE!</v>
      </c>
      <c r="Y176" s="185" t="e">
        <f t="shared" ca="1" si="75"/>
        <v>#VALUE!</v>
      </c>
      <c r="Z176" s="185" t="e">
        <f t="shared" ca="1" si="75"/>
        <v>#VALUE!</v>
      </c>
      <c r="AA176" s="185" t="e">
        <f t="shared" ca="1" si="76"/>
        <v>#VALUE!</v>
      </c>
      <c r="AB176" s="185" t="e">
        <f t="shared" ca="1" si="76"/>
        <v>#VALUE!</v>
      </c>
      <c r="AC176" s="185" t="e">
        <f t="shared" ca="1" si="76"/>
        <v>#VALUE!</v>
      </c>
      <c r="AD176" s="185" t="e">
        <f t="shared" ca="1" si="76"/>
        <v>#VALUE!</v>
      </c>
      <c r="AE176" s="185" t="e">
        <f t="shared" ca="1" si="76"/>
        <v>#VALUE!</v>
      </c>
      <c r="AF176" s="185" t="e">
        <f t="shared" ca="1" si="76"/>
        <v>#VALUE!</v>
      </c>
      <c r="AG176" s="185" t="e">
        <f t="shared" ca="1" si="76"/>
        <v>#VALUE!</v>
      </c>
      <c r="AH176" s="185" t="e">
        <f t="shared" ca="1" si="76"/>
        <v>#VALUE!</v>
      </c>
      <c r="AI176" s="185" t="e">
        <f t="shared" ca="1" si="76"/>
        <v>#VALUE!</v>
      </c>
      <c r="AJ176" s="185" t="e">
        <f t="shared" ca="1" si="76"/>
        <v>#VALUE!</v>
      </c>
      <c r="AK176" s="185" t="e">
        <f t="shared" ca="1" si="76"/>
        <v>#VALUE!</v>
      </c>
      <c r="AL176" s="185" t="e">
        <f t="shared" ca="1" si="76"/>
        <v>#VALUE!</v>
      </c>
      <c r="AM176" s="185" t="e">
        <f t="shared" ca="1" si="76"/>
        <v>#VALUE!</v>
      </c>
      <c r="AN176" s="185" t="e">
        <f t="shared" ca="1" si="76"/>
        <v>#VALUE!</v>
      </c>
      <c r="AO176" s="185" t="e">
        <f t="shared" ca="1" si="76"/>
        <v>#VALUE!</v>
      </c>
      <c r="AP176" s="185" t="e">
        <f t="shared" ca="1" si="76"/>
        <v>#VALUE!</v>
      </c>
    </row>
    <row r="177" spans="1:42">
      <c r="A177" s="57" t="str">
        <f>'[4]TS BYDem'!A116</f>
        <v>*</v>
      </c>
      <c r="B177" s="185" t="s">
        <v>288</v>
      </c>
      <c r="C177" s="185" t="s">
        <v>137</v>
      </c>
      <c r="D177" s="185" t="str">
        <f>'[4]TS BYDem'!D116</f>
        <v>INMC</v>
      </c>
      <c r="E177" s="185" t="s">
        <v>137</v>
      </c>
      <c r="F177" s="185" t="s">
        <v>137</v>
      </c>
      <c r="G177" s="185" t="s">
        <v>137</v>
      </c>
      <c r="H177" s="185" t="s">
        <v>137</v>
      </c>
      <c r="I177" s="185">
        <v>0</v>
      </c>
      <c r="J177" s="185" t="str">
        <f>INDEX('[4]TS BYDem'!$J$10:$J$203,MATCH(D177,'[4]TS BYDem'!$D$10:$D$203,0))</f>
        <v/>
      </c>
      <c r="K177" s="185" t="e">
        <f t="shared" ca="1" si="75"/>
        <v>#VALUE!</v>
      </c>
      <c r="L177" s="185" t="e">
        <f t="shared" ca="1" si="75"/>
        <v>#VALUE!</v>
      </c>
      <c r="M177" s="185" t="e">
        <f t="shared" ca="1" si="75"/>
        <v>#VALUE!</v>
      </c>
      <c r="N177" s="185" t="e">
        <f t="shared" ca="1" si="75"/>
        <v>#VALUE!</v>
      </c>
      <c r="O177" s="185" t="e">
        <f t="shared" ca="1" si="75"/>
        <v>#VALUE!</v>
      </c>
      <c r="P177" s="185" t="e">
        <f t="shared" ca="1" si="75"/>
        <v>#VALUE!</v>
      </c>
      <c r="Q177" s="185" t="e">
        <f t="shared" ca="1" si="75"/>
        <v>#VALUE!</v>
      </c>
      <c r="R177" s="185" t="e">
        <f t="shared" ca="1" si="75"/>
        <v>#VALUE!</v>
      </c>
      <c r="S177" s="185" t="e">
        <f t="shared" ca="1" si="75"/>
        <v>#VALUE!</v>
      </c>
      <c r="T177" s="185" t="e">
        <f t="shared" ca="1" si="75"/>
        <v>#VALUE!</v>
      </c>
      <c r="U177" s="185" t="e">
        <f t="shared" ca="1" si="75"/>
        <v>#VALUE!</v>
      </c>
      <c r="V177" s="185" t="e">
        <f t="shared" ca="1" si="75"/>
        <v>#VALUE!</v>
      </c>
      <c r="W177" s="185" t="e">
        <f t="shared" ca="1" si="75"/>
        <v>#VALUE!</v>
      </c>
      <c r="X177" s="185" t="e">
        <f t="shared" ca="1" si="75"/>
        <v>#VALUE!</v>
      </c>
      <c r="Y177" s="185" t="e">
        <f t="shared" ca="1" si="75"/>
        <v>#VALUE!</v>
      </c>
      <c r="Z177" s="185" t="e">
        <f t="shared" ca="1" si="75"/>
        <v>#VALUE!</v>
      </c>
      <c r="AA177" s="185" t="e">
        <f t="shared" ca="1" si="76"/>
        <v>#VALUE!</v>
      </c>
      <c r="AB177" s="185" t="e">
        <f t="shared" ca="1" si="76"/>
        <v>#VALUE!</v>
      </c>
      <c r="AC177" s="185" t="e">
        <f t="shared" ca="1" si="76"/>
        <v>#VALUE!</v>
      </c>
      <c r="AD177" s="185" t="e">
        <f t="shared" ca="1" si="76"/>
        <v>#VALUE!</v>
      </c>
      <c r="AE177" s="185" t="e">
        <f t="shared" ca="1" si="76"/>
        <v>#VALUE!</v>
      </c>
      <c r="AF177" s="185" t="e">
        <f t="shared" ca="1" si="76"/>
        <v>#VALUE!</v>
      </c>
      <c r="AG177" s="185" t="e">
        <f t="shared" ca="1" si="76"/>
        <v>#VALUE!</v>
      </c>
      <c r="AH177" s="185" t="e">
        <f t="shared" ca="1" si="76"/>
        <v>#VALUE!</v>
      </c>
      <c r="AI177" s="185" t="e">
        <f t="shared" ca="1" si="76"/>
        <v>#VALUE!</v>
      </c>
      <c r="AJ177" s="185" t="e">
        <f t="shared" ca="1" si="76"/>
        <v>#VALUE!</v>
      </c>
      <c r="AK177" s="185" t="e">
        <f t="shared" ca="1" si="76"/>
        <v>#VALUE!</v>
      </c>
      <c r="AL177" s="185" t="e">
        <f t="shared" ca="1" si="76"/>
        <v>#VALUE!</v>
      </c>
      <c r="AM177" s="185" t="e">
        <f t="shared" ca="1" si="76"/>
        <v>#VALUE!</v>
      </c>
      <c r="AN177" s="185" t="e">
        <f t="shared" ca="1" si="76"/>
        <v>#VALUE!</v>
      </c>
      <c r="AO177" s="185" t="e">
        <f t="shared" ca="1" si="76"/>
        <v>#VALUE!</v>
      </c>
      <c r="AP177" s="185" t="e">
        <f t="shared" ca="1" si="76"/>
        <v>#VALUE!</v>
      </c>
    </row>
    <row r="178" spans="1:42">
      <c r="A178" s="57" t="str">
        <f>'[4]TS BYDem'!A117</f>
        <v>*</v>
      </c>
      <c r="B178" s="185" t="s">
        <v>288</v>
      </c>
      <c r="C178" s="185" t="s">
        <v>137</v>
      </c>
      <c r="D178" s="185" t="str">
        <f>'[4]TS BYDem'!D117</f>
        <v>INMH</v>
      </c>
      <c r="E178" s="185" t="s">
        <v>137</v>
      </c>
      <c r="F178" s="185" t="s">
        <v>137</v>
      </c>
      <c r="G178" s="185" t="s">
        <v>137</v>
      </c>
      <c r="H178" s="185" t="s">
        <v>137</v>
      </c>
      <c r="I178" s="185">
        <v>0</v>
      </c>
      <c r="J178" s="185" t="str">
        <f>INDEX('[4]TS BYDem'!$J$10:$J$203,MATCH(D178,'[4]TS BYDem'!$D$10:$D$203,0))</f>
        <v/>
      </c>
      <c r="K178" s="185" t="e">
        <f t="shared" ca="1" si="75"/>
        <v>#VALUE!</v>
      </c>
      <c r="L178" s="185" t="e">
        <f t="shared" ca="1" si="75"/>
        <v>#VALUE!</v>
      </c>
      <c r="M178" s="185" t="e">
        <f t="shared" ca="1" si="75"/>
        <v>#VALUE!</v>
      </c>
      <c r="N178" s="185" t="e">
        <f t="shared" ca="1" si="75"/>
        <v>#VALUE!</v>
      </c>
      <c r="O178" s="185" t="e">
        <f t="shared" ca="1" si="75"/>
        <v>#VALUE!</v>
      </c>
      <c r="P178" s="185" t="e">
        <f t="shared" ca="1" si="75"/>
        <v>#VALUE!</v>
      </c>
      <c r="Q178" s="185" t="e">
        <f t="shared" ca="1" si="75"/>
        <v>#VALUE!</v>
      </c>
      <c r="R178" s="185" t="e">
        <f t="shared" ca="1" si="75"/>
        <v>#VALUE!</v>
      </c>
      <c r="S178" s="185" t="e">
        <f t="shared" ca="1" si="75"/>
        <v>#VALUE!</v>
      </c>
      <c r="T178" s="185" t="e">
        <f t="shared" ca="1" si="75"/>
        <v>#VALUE!</v>
      </c>
      <c r="U178" s="185" t="e">
        <f t="shared" ca="1" si="75"/>
        <v>#VALUE!</v>
      </c>
      <c r="V178" s="185" t="e">
        <f t="shared" ca="1" si="75"/>
        <v>#VALUE!</v>
      </c>
      <c r="W178" s="185" t="e">
        <f t="shared" ca="1" si="75"/>
        <v>#VALUE!</v>
      </c>
      <c r="X178" s="185" t="e">
        <f t="shared" ca="1" si="75"/>
        <v>#VALUE!</v>
      </c>
      <c r="Y178" s="185" t="e">
        <f t="shared" ca="1" si="75"/>
        <v>#VALUE!</v>
      </c>
      <c r="Z178" s="185" t="e">
        <f t="shared" ca="1" si="75"/>
        <v>#VALUE!</v>
      </c>
      <c r="AA178" s="185" t="e">
        <f t="shared" ca="1" si="76"/>
        <v>#VALUE!</v>
      </c>
      <c r="AB178" s="185" t="e">
        <f t="shared" ca="1" si="76"/>
        <v>#VALUE!</v>
      </c>
      <c r="AC178" s="185" t="e">
        <f t="shared" ca="1" si="76"/>
        <v>#VALUE!</v>
      </c>
      <c r="AD178" s="185" t="e">
        <f t="shared" ca="1" si="76"/>
        <v>#VALUE!</v>
      </c>
      <c r="AE178" s="185" t="e">
        <f t="shared" ca="1" si="76"/>
        <v>#VALUE!</v>
      </c>
      <c r="AF178" s="185" t="e">
        <f t="shared" ca="1" si="76"/>
        <v>#VALUE!</v>
      </c>
      <c r="AG178" s="185" t="e">
        <f t="shared" ca="1" si="76"/>
        <v>#VALUE!</v>
      </c>
      <c r="AH178" s="185" t="e">
        <f t="shared" ca="1" si="76"/>
        <v>#VALUE!</v>
      </c>
      <c r="AI178" s="185" t="e">
        <f t="shared" ca="1" si="76"/>
        <v>#VALUE!</v>
      </c>
      <c r="AJ178" s="185" t="e">
        <f t="shared" ca="1" si="76"/>
        <v>#VALUE!</v>
      </c>
      <c r="AK178" s="185" t="e">
        <f t="shared" ca="1" si="76"/>
        <v>#VALUE!</v>
      </c>
      <c r="AL178" s="185" t="e">
        <f t="shared" ca="1" si="76"/>
        <v>#VALUE!</v>
      </c>
      <c r="AM178" s="185" t="e">
        <f t="shared" ca="1" si="76"/>
        <v>#VALUE!</v>
      </c>
      <c r="AN178" s="185" t="e">
        <f t="shared" ca="1" si="76"/>
        <v>#VALUE!</v>
      </c>
      <c r="AO178" s="185" t="e">
        <f t="shared" ca="1" si="76"/>
        <v>#VALUE!</v>
      </c>
      <c r="AP178" s="185" t="e">
        <f t="shared" ca="1" si="76"/>
        <v>#VALUE!</v>
      </c>
    </row>
    <row r="179" spans="1:42">
      <c r="A179" s="57" t="str">
        <f>'[4]TS BYDem'!A118</f>
        <v>*</v>
      </c>
      <c r="B179" s="185" t="s">
        <v>288</v>
      </c>
      <c r="C179" s="185" t="s">
        <v>137</v>
      </c>
      <c r="D179" s="185" t="str">
        <f>'[4]TS BYDem'!D118</f>
        <v>INMP</v>
      </c>
      <c r="E179" s="185" t="s">
        <v>137</v>
      </c>
      <c r="F179" s="185" t="s">
        <v>137</v>
      </c>
      <c r="G179" s="185" t="s">
        <v>137</v>
      </c>
      <c r="H179" s="185" t="s">
        <v>137</v>
      </c>
      <c r="I179" s="185">
        <v>0</v>
      </c>
      <c r="J179" s="185" t="str">
        <f>INDEX('[4]TS BYDem'!$J$10:$J$203,MATCH(D179,'[4]TS BYDem'!$D$10:$D$203,0))</f>
        <v/>
      </c>
      <c r="K179" s="185" t="e">
        <f t="shared" ca="1" si="75"/>
        <v>#VALUE!</v>
      </c>
      <c r="L179" s="185" t="e">
        <f t="shared" ca="1" si="75"/>
        <v>#VALUE!</v>
      </c>
      <c r="M179" s="185" t="e">
        <f t="shared" ca="1" si="75"/>
        <v>#VALUE!</v>
      </c>
      <c r="N179" s="185" t="e">
        <f t="shared" ca="1" si="75"/>
        <v>#VALUE!</v>
      </c>
      <c r="O179" s="185" t="e">
        <f t="shared" ca="1" si="75"/>
        <v>#VALUE!</v>
      </c>
      <c r="P179" s="185" t="e">
        <f t="shared" ca="1" si="75"/>
        <v>#VALUE!</v>
      </c>
      <c r="Q179" s="185" t="e">
        <f t="shared" ca="1" si="75"/>
        <v>#VALUE!</v>
      </c>
      <c r="R179" s="185" t="e">
        <f t="shared" ca="1" si="75"/>
        <v>#VALUE!</v>
      </c>
      <c r="S179" s="185" t="e">
        <f t="shared" ca="1" si="75"/>
        <v>#VALUE!</v>
      </c>
      <c r="T179" s="185" t="e">
        <f t="shared" ca="1" si="75"/>
        <v>#VALUE!</v>
      </c>
      <c r="U179" s="185" t="e">
        <f t="shared" ca="1" si="75"/>
        <v>#VALUE!</v>
      </c>
      <c r="V179" s="185" t="e">
        <f t="shared" ca="1" si="75"/>
        <v>#VALUE!</v>
      </c>
      <c r="W179" s="185" t="e">
        <f t="shared" ca="1" si="75"/>
        <v>#VALUE!</v>
      </c>
      <c r="X179" s="185" t="e">
        <f t="shared" ca="1" si="75"/>
        <v>#VALUE!</v>
      </c>
      <c r="Y179" s="185" t="e">
        <f t="shared" ca="1" si="75"/>
        <v>#VALUE!</v>
      </c>
      <c r="Z179" s="185" t="e">
        <f t="shared" ca="1" si="75"/>
        <v>#VALUE!</v>
      </c>
      <c r="AA179" s="185" t="e">
        <f t="shared" ca="1" si="76"/>
        <v>#VALUE!</v>
      </c>
      <c r="AB179" s="185" t="e">
        <f t="shared" ca="1" si="76"/>
        <v>#VALUE!</v>
      </c>
      <c r="AC179" s="185" t="e">
        <f t="shared" ca="1" si="76"/>
        <v>#VALUE!</v>
      </c>
      <c r="AD179" s="185" t="e">
        <f t="shared" ca="1" si="76"/>
        <v>#VALUE!</v>
      </c>
      <c r="AE179" s="185" t="e">
        <f t="shared" ca="1" si="76"/>
        <v>#VALUE!</v>
      </c>
      <c r="AF179" s="185" t="e">
        <f t="shared" ca="1" si="76"/>
        <v>#VALUE!</v>
      </c>
      <c r="AG179" s="185" t="e">
        <f t="shared" ca="1" si="76"/>
        <v>#VALUE!</v>
      </c>
      <c r="AH179" s="185" t="e">
        <f t="shared" ca="1" si="76"/>
        <v>#VALUE!</v>
      </c>
      <c r="AI179" s="185" t="e">
        <f t="shared" ca="1" si="76"/>
        <v>#VALUE!</v>
      </c>
      <c r="AJ179" s="185" t="e">
        <f t="shared" ca="1" si="76"/>
        <v>#VALUE!</v>
      </c>
      <c r="AK179" s="185" t="e">
        <f t="shared" ca="1" si="76"/>
        <v>#VALUE!</v>
      </c>
      <c r="AL179" s="185" t="e">
        <f t="shared" ca="1" si="76"/>
        <v>#VALUE!</v>
      </c>
      <c r="AM179" s="185" t="e">
        <f t="shared" ca="1" si="76"/>
        <v>#VALUE!</v>
      </c>
      <c r="AN179" s="185" t="e">
        <f t="shared" ca="1" si="76"/>
        <v>#VALUE!</v>
      </c>
      <c r="AO179" s="185" t="e">
        <f t="shared" ca="1" si="76"/>
        <v>#VALUE!</v>
      </c>
      <c r="AP179" s="185" t="e">
        <f t="shared" ca="1" si="76"/>
        <v>#VALUE!</v>
      </c>
    </row>
    <row r="180" spans="1:42">
      <c r="A180" s="57" t="str">
        <f>'[4]TS BYDem'!A119</f>
        <v>*</v>
      </c>
      <c r="B180" s="185" t="s">
        <v>288</v>
      </c>
      <c r="C180" s="185" t="s">
        <v>137</v>
      </c>
      <c r="D180" s="185" t="str">
        <f>'[4]TS BYDem'!D119</f>
        <v>INMF</v>
      </c>
      <c r="E180" s="185" t="s">
        <v>137</v>
      </c>
      <c r="F180" s="185" t="s">
        <v>137</v>
      </c>
      <c r="G180" s="185" t="s">
        <v>137</v>
      </c>
      <c r="H180" s="185" t="s">
        <v>137</v>
      </c>
      <c r="I180" s="185">
        <v>0</v>
      </c>
      <c r="J180" s="185" t="str">
        <f>INDEX('[4]TS BYDem'!$J$10:$J$203,MATCH(D180,'[4]TS BYDem'!$D$10:$D$203,0))</f>
        <v/>
      </c>
      <c r="K180" s="185" t="e">
        <f t="shared" ca="1" si="75"/>
        <v>#VALUE!</v>
      </c>
      <c r="L180" s="185" t="e">
        <f t="shared" ca="1" si="75"/>
        <v>#VALUE!</v>
      </c>
      <c r="M180" s="185" t="e">
        <f t="shared" ca="1" si="75"/>
        <v>#VALUE!</v>
      </c>
      <c r="N180" s="185" t="e">
        <f t="shared" ca="1" si="75"/>
        <v>#VALUE!</v>
      </c>
      <c r="O180" s="185" t="e">
        <f t="shared" ca="1" si="75"/>
        <v>#VALUE!</v>
      </c>
      <c r="P180" s="185" t="e">
        <f t="shared" ca="1" si="75"/>
        <v>#VALUE!</v>
      </c>
      <c r="Q180" s="185" t="e">
        <f t="shared" ca="1" si="75"/>
        <v>#VALUE!</v>
      </c>
      <c r="R180" s="185" t="e">
        <f t="shared" ca="1" si="75"/>
        <v>#VALUE!</v>
      </c>
      <c r="S180" s="185" t="e">
        <f t="shared" ca="1" si="75"/>
        <v>#VALUE!</v>
      </c>
      <c r="T180" s="185" t="e">
        <f t="shared" ca="1" si="75"/>
        <v>#VALUE!</v>
      </c>
      <c r="U180" s="185" t="e">
        <f t="shared" ca="1" si="75"/>
        <v>#VALUE!</v>
      </c>
      <c r="V180" s="185" t="e">
        <f t="shared" ca="1" si="75"/>
        <v>#VALUE!</v>
      </c>
      <c r="W180" s="185" t="e">
        <f t="shared" ca="1" si="75"/>
        <v>#VALUE!</v>
      </c>
      <c r="X180" s="185" t="e">
        <f t="shared" ca="1" si="75"/>
        <v>#VALUE!</v>
      </c>
      <c r="Y180" s="185" t="e">
        <f t="shared" ca="1" si="75"/>
        <v>#VALUE!</v>
      </c>
      <c r="Z180" s="185" t="e">
        <f t="shared" ca="1" si="75"/>
        <v>#VALUE!</v>
      </c>
      <c r="AA180" s="185" t="e">
        <f t="shared" ca="1" si="76"/>
        <v>#VALUE!</v>
      </c>
      <c r="AB180" s="185" t="e">
        <f t="shared" ca="1" si="76"/>
        <v>#VALUE!</v>
      </c>
      <c r="AC180" s="185" t="e">
        <f t="shared" ca="1" si="76"/>
        <v>#VALUE!</v>
      </c>
      <c r="AD180" s="185" t="e">
        <f t="shared" ca="1" si="76"/>
        <v>#VALUE!</v>
      </c>
      <c r="AE180" s="185" t="e">
        <f t="shared" ca="1" si="76"/>
        <v>#VALUE!</v>
      </c>
      <c r="AF180" s="185" t="e">
        <f t="shared" ca="1" si="76"/>
        <v>#VALUE!</v>
      </c>
      <c r="AG180" s="185" t="e">
        <f t="shared" ca="1" si="76"/>
        <v>#VALUE!</v>
      </c>
      <c r="AH180" s="185" t="e">
        <f t="shared" ca="1" si="76"/>
        <v>#VALUE!</v>
      </c>
      <c r="AI180" s="185" t="e">
        <f t="shared" ca="1" si="76"/>
        <v>#VALUE!</v>
      </c>
      <c r="AJ180" s="185" t="e">
        <f t="shared" ca="1" si="76"/>
        <v>#VALUE!</v>
      </c>
      <c r="AK180" s="185" t="e">
        <f t="shared" ca="1" si="76"/>
        <v>#VALUE!</v>
      </c>
      <c r="AL180" s="185" t="e">
        <f t="shared" ca="1" si="76"/>
        <v>#VALUE!</v>
      </c>
      <c r="AM180" s="185" t="e">
        <f t="shared" ca="1" si="76"/>
        <v>#VALUE!</v>
      </c>
      <c r="AN180" s="185" t="e">
        <f t="shared" ca="1" si="76"/>
        <v>#VALUE!</v>
      </c>
      <c r="AO180" s="185" t="e">
        <f t="shared" ca="1" si="76"/>
        <v>#VALUE!</v>
      </c>
      <c r="AP180" s="185" t="e">
        <f t="shared" ca="1" si="76"/>
        <v>#VALUE!</v>
      </c>
    </row>
    <row r="181" spans="1:42">
      <c r="A181" s="57" t="str">
        <f>'[4]TS BYDem'!A120</f>
        <v>*</v>
      </c>
      <c r="B181" s="185" t="s">
        <v>288</v>
      </c>
      <c r="C181" s="185" t="s">
        <v>137</v>
      </c>
      <c r="D181" s="185" t="str">
        <f>'[4]TS BYDem'!D120</f>
        <v>INMO</v>
      </c>
      <c r="E181" s="185" t="s">
        <v>137</v>
      </c>
      <c r="F181" s="185" t="s">
        <v>137</v>
      </c>
      <c r="G181" s="185" t="s">
        <v>137</v>
      </c>
      <c r="H181" s="185" t="s">
        <v>137</v>
      </c>
      <c r="I181" s="185">
        <v>0</v>
      </c>
      <c r="J181" s="185" t="str">
        <f>INDEX('[4]TS BYDem'!$J$10:$J$203,MATCH(D181,'[4]TS BYDem'!$D$10:$D$203,0))</f>
        <v/>
      </c>
      <c r="K181" s="185" t="e">
        <f t="shared" ca="1" si="75"/>
        <v>#VALUE!</v>
      </c>
      <c r="L181" s="185" t="e">
        <f t="shared" ca="1" si="75"/>
        <v>#VALUE!</v>
      </c>
      <c r="M181" s="185" t="e">
        <f t="shared" ca="1" si="75"/>
        <v>#VALUE!</v>
      </c>
      <c r="N181" s="185" t="e">
        <f t="shared" ca="1" si="75"/>
        <v>#VALUE!</v>
      </c>
      <c r="O181" s="185" t="e">
        <f t="shared" ca="1" si="75"/>
        <v>#VALUE!</v>
      </c>
      <c r="P181" s="185" t="e">
        <f t="shared" ca="1" si="75"/>
        <v>#VALUE!</v>
      </c>
      <c r="Q181" s="185" t="e">
        <f t="shared" ca="1" si="75"/>
        <v>#VALUE!</v>
      </c>
      <c r="R181" s="185" t="e">
        <f t="shared" ca="1" si="75"/>
        <v>#VALUE!</v>
      </c>
      <c r="S181" s="185" t="e">
        <f t="shared" ca="1" si="75"/>
        <v>#VALUE!</v>
      </c>
      <c r="T181" s="185" t="e">
        <f t="shared" ca="1" si="75"/>
        <v>#VALUE!</v>
      </c>
      <c r="U181" s="185" t="e">
        <f t="shared" ca="1" si="75"/>
        <v>#VALUE!</v>
      </c>
      <c r="V181" s="185" t="e">
        <f t="shared" ca="1" si="75"/>
        <v>#VALUE!</v>
      </c>
      <c r="W181" s="185" t="e">
        <f t="shared" ca="1" si="75"/>
        <v>#VALUE!</v>
      </c>
      <c r="X181" s="185" t="e">
        <f t="shared" ca="1" si="75"/>
        <v>#VALUE!</v>
      </c>
      <c r="Y181" s="185" t="e">
        <f t="shared" ca="1" si="75"/>
        <v>#VALUE!</v>
      </c>
      <c r="Z181" s="185" t="e">
        <f t="shared" ca="1" si="75"/>
        <v>#VALUE!</v>
      </c>
      <c r="AA181" s="185" t="e">
        <f t="shared" ca="1" si="76"/>
        <v>#VALUE!</v>
      </c>
      <c r="AB181" s="185" t="e">
        <f t="shared" ca="1" si="76"/>
        <v>#VALUE!</v>
      </c>
      <c r="AC181" s="185" t="e">
        <f t="shared" ca="1" si="76"/>
        <v>#VALUE!</v>
      </c>
      <c r="AD181" s="185" t="e">
        <f t="shared" ca="1" si="76"/>
        <v>#VALUE!</v>
      </c>
      <c r="AE181" s="185" t="e">
        <f t="shared" ca="1" si="76"/>
        <v>#VALUE!</v>
      </c>
      <c r="AF181" s="185" t="e">
        <f t="shared" ca="1" si="76"/>
        <v>#VALUE!</v>
      </c>
      <c r="AG181" s="185" t="e">
        <f t="shared" ca="1" si="76"/>
        <v>#VALUE!</v>
      </c>
      <c r="AH181" s="185" t="e">
        <f t="shared" ca="1" si="76"/>
        <v>#VALUE!</v>
      </c>
      <c r="AI181" s="185" t="e">
        <f t="shared" ca="1" si="76"/>
        <v>#VALUE!</v>
      </c>
      <c r="AJ181" s="185" t="e">
        <f t="shared" ca="1" si="76"/>
        <v>#VALUE!</v>
      </c>
      <c r="AK181" s="185" t="e">
        <f t="shared" ca="1" si="76"/>
        <v>#VALUE!</v>
      </c>
      <c r="AL181" s="185" t="e">
        <f t="shared" ca="1" si="76"/>
        <v>#VALUE!</v>
      </c>
      <c r="AM181" s="185" t="e">
        <f t="shared" ca="1" si="76"/>
        <v>#VALUE!</v>
      </c>
      <c r="AN181" s="185" t="e">
        <f t="shared" ca="1" si="76"/>
        <v>#VALUE!</v>
      </c>
      <c r="AO181" s="185" t="e">
        <f t="shared" ca="1" si="76"/>
        <v>#VALUE!</v>
      </c>
      <c r="AP181" s="185" t="e">
        <f t="shared" ca="1" si="76"/>
        <v>#VALUE!</v>
      </c>
    </row>
    <row r="182" spans="1:42">
      <c r="A182" s="57" t="str">
        <f>'[4]TS BYDem'!A121</f>
        <v>*</v>
      </c>
      <c r="B182" s="185" t="s">
        <v>288</v>
      </c>
      <c r="C182" s="185" t="s">
        <v>137</v>
      </c>
      <c r="D182" s="185" t="str">
        <f>'[4]TS BYDem'!D121</f>
        <v>INME</v>
      </c>
      <c r="E182" s="185" t="s">
        <v>137</v>
      </c>
      <c r="F182" s="185" t="s">
        <v>137</v>
      </c>
      <c r="G182" s="185" t="s">
        <v>137</v>
      </c>
      <c r="H182" s="185" t="s">
        <v>137</v>
      </c>
      <c r="I182" s="185">
        <v>0</v>
      </c>
      <c r="J182" s="185" t="str">
        <f>INDEX('[4]TS BYDem'!$J$10:$J$203,MATCH(D182,'[4]TS BYDem'!$D$10:$D$203,0))</f>
        <v/>
      </c>
      <c r="K182" s="185" t="e">
        <f t="shared" ca="1" si="75"/>
        <v>#VALUE!</v>
      </c>
      <c r="L182" s="185" t="e">
        <f t="shared" ca="1" si="75"/>
        <v>#VALUE!</v>
      </c>
      <c r="M182" s="185" t="e">
        <f t="shared" ca="1" si="75"/>
        <v>#VALUE!</v>
      </c>
      <c r="N182" s="185" t="e">
        <f t="shared" ca="1" si="75"/>
        <v>#VALUE!</v>
      </c>
      <c r="O182" s="185" t="e">
        <f t="shared" ca="1" si="75"/>
        <v>#VALUE!</v>
      </c>
      <c r="P182" s="185" t="e">
        <f t="shared" ca="1" si="75"/>
        <v>#VALUE!</v>
      </c>
      <c r="Q182" s="185" t="e">
        <f t="shared" ca="1" si="75"/>
        <v>#VALUE!</v>
      </c>
      <c r="R182" s="185" t="e">
        <f t="shared" ca="1" si="75"/>
        <v>#VALUE!</v>
      </c>
      <c r="S182" s="185" t="e">
        <f t="shared" ca="1" si="75"/>
        <v>#VALUE!</v>
      </c>
      <c r="T182" s="185" t="e">
        <f t="shared" ca="1" si="75"/>
        <v>#VALUE!</v>
      </c>
      <c r="U182" s="185" t="e">
        <f t="shared" ca="1" si="75"/>
        <v>#VALUE!</v>
      </c>
      <c r="V182" s="185" t="e">
        <f t="shared" ca="1" si="75"/>
        <v>#VALUE!</v>
      </c>
      <c r="W182" s="185" t="e">
        <f t="shared" ca="1" si="75"/>
        <v>#VALUE!</v>
      </c>
      <c r="X182" s="185" t="e">
        <f t="shared" ca="1" si="75"/>
        <v>#VALUE!</v>
      </c>
      <c r="Y182" s="185" t="e">
        <f t="shared" ca="1" si="75"/>
        <v>#VALUE!</v>
      </c>
      <c r="Z182" s="185" t="e">
        <f t="shared" ca="1" si="75"/>
        <v>#VALUE!</v>
      </c>
      <c r="AA182" s="185" t="e">
        <f t="shared" ca="1" si="76"/>
        <v>#VALUE!</v>
      </c>
      <c r="AB182" s="185" t="e">
        <f t="shared" ca="1" si="76"/>
        <v>#VALUE!</v>
      </c>
      <c r="AC182" s="185" t="e">
        <f t="shared" ca="1" si="76"/>
        <v>#VALUE!</v>
      </c>
      <c r="AD182" s="185" t="e">
        <f t="shared" ca="1" si="76"/>
        <v>#VALUE!</v>
      </c>
      <c r="AE182" s="185" t="e">
        <f t="shared" ca="1" si="76"/>
        <v>#VALUE!</v>
      </c>
      <c r="AF182" s="185" t="e">
        <f t="shared" ca="1" si="76"/>
        <v>#VALUE!</v>
      </c>
      <c r="AG182" s="185" t="e">
        <f t="shared" ca="1" si="76"/>
        <v>#VALUE!</v>
      </c>
      <c r="AH182" s="185" t="e">
        <f t="shared" ca="1" si="76"/>
        <v>#VALUE!</v>
      </c>
      <c r="AI182" s="185" t="e">
        <f t="shared" ca="1" si="76"/>
        <v>#VALUE!</v>
      </c>
      <c r="AJ182" s="185" t="e">
        <f t="shared" ca="1" si="76"/>
        <v>#VALUE!</v>
      </c>
      <c r="AK182" s="185" t="e">
        <f t="shared" ca="1" si="76"/>
        <v>#VALUE!</v>
      </c>
      <c r="AL182" s="185" t="e">
        <f t="shared" ca="1" si="76"/>
        <v>#VALUE!</v>
      </c>
      <c r="AM182" s="185" t="e">
        <f t="shared" ca="1" si="76"/>
        <v>#VALUE!</v>
      </c>
      <c r="AN182" s="185" t="e">
        <f t="shared" ca="1" si="76"/>
        <v>#VALUE!</v>
      </c>
      <c r="AO182" s="185" t="e">
        <f t="shared" ca="1" si="76"/>
        <v>#VALUE!</v>
      </c>
      <c r="AP182" s="185" t="e">
        <f t="shared" ca="1" si="76"/>
        <v>#VALUE!</v>
      </c>
    </row>
    <row r="183" spans="1:42">
      <c r="A183" s="57" t="str">
        <f>'[4]TS BYDem'!A122</f>
        <v>*</v>
      </c>
      <c r="B183" s="185" t="s">
        <v>288</v>
      </c>
      <c r="C183" s="185" t="s">
        <v>137</v>
      </c>
      <c r="D183" s="185" t="str">
        <f>'[4]TS BYDem'!D122</f>
        <v xml:space="preserve"> </v>
      </c>
      <c r="E183" s="185" t="s">
        <v>137</v>
      </c>
      <c r="F183" s="185" t="s">
        <v>137</v>
      </c>
      <c r="G183" s="185" t="s">
        <v>137</v>
      </c>
      <c r="H183" s="185" t="s">
        <v>137</v>
      </c>
      <c r="I183" s="185">
        <v>0</v>
      </c>
      <c r="J183" s="185" t="str">
        <f>INDEX('[4]TS BYDem'!$J$10:$J$203,MATCH(D183,'[4]TS BYDem'!$D$10:$D$203,0))</f>
        <v/>
      </c>
      <c r="K183" s="185" t="e">
        <f t="shared" ca="1" si="75"/>
        <v>#VALUE!</v>
      </c>
      <c r="L183" s="185" t="e">
        <f t="shared" ca="1" si="75"/>
        <v>#VALUE!</v>
      </c>
      <c r="M183" s="185" t="e">
        <f t="shared" ca="1" si="75"/>
        <v>#VALUE!</v>
      </c>
      <c r="N183" s="185" t="e">
        <f t="shared" ca="1" si="75"/>
        <v>#VALUE!</v>
      </c>
      <c r="O183" s="185" t="e">
        <f t="shared" ca="1" si="75"/>
        <v>#VALUE!</v>
      </c>
      <c r="P183" s="185" t="e">
        <f t="shared" ca="1" si="75"/>
        <v>#VALUE!</v>
      </c>
      <c r="Q183" s="185" t="e">
        <f t="shared" ca="1" si="75"/>
        <v>#VALUE!</v>
      </c>
      <c r="R183" s="185" t="e">
        <f t="shared" ca="1" si="75"/>
        <v>#VALUE!</v>
      </c>
      <c r="S183" s="185" t="e">
        <f t="shared" ca="1" si="75"/>
        <v>#VALUE!</v>
      </c>
      <c r="T183" s="185" t="e">
        <f t="shared" ca="1" si="75"/>
        <v>#VALUE!</v>
      </c>
      <c r="U183" s="185" t="e">
        <f t="shared" ca="1" si="75"/>
        <v>#VALUE!</v>
      </c>
      <c r="V183" s="185" t="e">
        <f t="shared" ca="1" si="75"/>
        <v>#VALUE!</v>
      </c>
      <c r="W183" s="185" t="e">
        <f t="shared" ca="1" si="75"/>
        <v>#VALUE!</v>
      </c>
      <c r="X183" s="185" t="e">
        <f t="shared" ca="1" si="75"/>
        <v>#VALUE!</v>
      </c>
      <c r="Y183" s="185" t="e">
        <f t="shared" ca="1" si="75"/>
        <v>#VALUE!</v>
      </c>
      <c r="Z183" s="185" t="e">
        <f t="shared" ca="1" si="75"/>
        <v>#VALUE!</v>
      </c>
      <c r="AA183" s="185" t="e">
        <f t="shared" ca="1" si="76"/>
        <v>#VALUE!</v>
      </c>
      <c r="AB183" s="185" t="e">
        <f t="shared" ca="1" si="76"/>
        <v>#VALUE!</v>
      </c>
      <c r="AC183" s="185" t="e">
        <f t="shared" ca="1" si="76"/>
        <v>#VALUE!</v>
      </c>
      <c r="AD183" s="185" t="e">
        <f t="shared" ca="1" si="76"/>
        <v>#VALUE!</v>
      </c>
      <c r="AE183" s="185" t="e">
        <f t="shared" ca="1" si="76"/>
        <v>#VALUE!</v>
      </c>
      <c r="AF183" s="185" t="e">
        <f t="shared" ca="1" si="76"/>
        <v>#VALUE!</v>
      </c>
      <c r="AG183" s="185" t="e">
        <f t="shared" ca="1" si="76"/>
        <v>#VALUE!</v>
      </c>
      <c r="AH183" s="185" t="e">
        <f t="shared" ca="1" si="76"/>
        <v>#VALUE!</v>
      </c>
      <c r="AI183" s="185" t="e">
        <f t="shared" ca="1" si="76"/>
        <v>#VALUE!</v>
      </c>
      <c r="AJ183" s="185" t="e">
        <f t="shared" ca="1" si="76"/>
        <v>#VALUE!</v>
      </c>
      <c r="AK183" s="185" t="e">
        <f t="shared" ca="1" si="76"/>
        <v>#VALUE!</v>
      </c>
      <c r="AL183" s="185" t="e">
        <f t="shared" ca="1" si="76"/>
        <v>#VALUE!</v>
      </c>
      <c r="AM183" s="185" t="e">
        <f t="shared" ca="1" si="76"/>
        <v>#VALUE!</v>
      </c>
      <c r="AN183" s="185" t="e">
        <f t="shared" ca="1" si="76"/>
        <v>#VALUE!</v>
      </c>
      <c r="AO183" s="185" t="e">
        <f t="shared" ca="1" si="76"/>
        <v>#VALUE!</v>
      </c>
      <c r="AP183" s="185" t="e">
        <f t="shared" ca="1" si="76"/>
        <v>#VALUE!</v>
      </c>
    </row>
    <row r="184" spans="1:42">
      <c r="A184" s="57" t="str">
        <f>'[4]TS BYDem'!A123</f>
        <v>*</v>
      </c>
      <c r="B184" s="185" t="s">
        <v>288</v>
      </c>
      <c r="C184" s="185" t="s">
        <v>137</v>
      </c>
      <c r="D184" s="185" t="str">
        <f>'[4]TS BYDem'!D123</f>
        <v>INMS</v>
      </c>
      <c r="E184" s="185" t="s">
        <v>137</v>
      </c>
      <c r="F184" s="185" t="s">
        <v>137</v>
      </c>
      <c r="G184" s="185" t="s">
        <v>137</v>
      </c>
      <c r="H184" s="185" t="s">
        <v>137</v>
      </c>
      <c r="I184" s="185">
        <v>0</v>
      </c>
      <c r="J184" s="185" t="str">
        <f>INDEX('[4]TS BYDem'!$J$10:$J$203,MATCH(D184,'[4]TS BYDem'!$D$10:$D$203,0))</f>
        <v/>
      </c>
      <c r="K184" s="185" t="e">
        <f t="shared" ca="1" si="75"/>
        <v>#VALUE!</v>
      </c>
      <c r="L184" s="185" t="e">
        <f t="shared" ca="1" si="75"/>
        <v>#VALUE!</v>
      </c>
      <c r="M184" s="185" t="e">
        <f t="shared" ca="1" si="75"/>
        <v>#VALUE!</v>
      </c>
      <c r="N184" s="185" t="e">
        <f t="shared" ca="1" si="75"/>
        <v>#VALUE!</v>
      </c>
      <c r="O184" s="185" t="e">
        <f t="shared" ca="1" si="75"/>
        <v>#VALUE!</v>
      </c>
      <c r="P184" s="185" t="e">
        <f t="shared" ca="1" si="75"/>
        <v>#VALUE!</v>
      </c>
      <c r="Q184" s="185" t="e">
        <f t="shared" ca="1" si="75"/>
        <v>#VALUE!</v>
      </c>
      <c r="R184" s="185" t="e">
        <f t="shared" ca="1" si="75"/>
        <v>#VALUE!</v>
      </c>
      <c r="S184" s="185" t="e">
        <f t="shared" ca="1" si="75"/>
        <v>#VALUE!</v>
      </c>
      <c r="T184" s="185" t="e">
        <f t="shared" ca="1" si="75"/>
        <v>#VALUE!</v>
      </c>
      <c r="U184" s="185" t="e">
        <f t="shared" ca="1" si="75"/>
        <v>#VALUE!</v>
      </c>
      <c r="V184" s="185" t="e">
        <f t="shared" ca="1" si="75"/>
        <v>#VALUE!</v>
      </c>
      <c r="W184" s="185" t="e">
        <f t="shared" ca="1" si="75"/>
        <v>#VALUE!</v>
      </c>
      <c r="X184" s="185" t="e">
        <f t="shared" ca="1" si="75"/>
        <v>#VALUE!</v>
      </c>
      <c r="Y184" s="185" t="e">
        <f t="shared" ca="1" si="75"/>
        <v>#VALUE!</v>
      </c>
      <c r="Z184" s="185" t="e">
        <f t="shared" ca="1" si="75"/>
        <v>#VALUE!</v>
      </c>
      <c r="AA184" s="185" t="e">
        <f t="shared" ca="1" si="76"/>
        <v>#VALUE!</v>
      </c>
      <c r="AB184" s="185" t="e">
        <f t="shared" ca="1" si="76"/>
        <v>#VALUE!</v>
      </c>
      <c r="AC184" s="185" t="e">
        <f t="shared" ca="1" si="76"/>
        <v>#VALUE!</v>
      </c>
      <c r="AD184" s="185" t="e">
        <f t="shared" ca="1" si="76"/>
        <v>#VALUE!</v>
      </c>
      <c r="AE184" s="185" t="e">
        <f t="shared" ca="1" si="76"/>
        <v>#VALUE!</v>
      </c>
      <c r="AF184" s="185" t="e">
        <f t="shared" ca="1" si="76"/>
        <v>#VALUE!</v>
      </c>
      <c r="AG184" s="185" t="e">
        <f t="shared" ca="1" si="76"/>
        <v>#VALUE!</v>
      </c>
      <c r="AH184" s="185" t="e">
        <f t="shared" ca="1" si="76"/>
        <v>#VALUE!</v>
      </c>
      <c r="AI184" s="185" t="e">
        <f t="shared" ca="1" si="76"/>
        <v>#VALUE!</v>
      </c>
      <c r="AJ184" s="185" t="e">
        <f t="shared" ca="1" si="76"/>
        <v>#VALUE!</v>
      </c>
      <c r="AK184" s="185" t="e">
        <f t="shared" ca="1" si="76"/>
        <v>#VALUE!</v>
      </c>
      <c r="AL184" s="185" t="e">
        <f t="shared" ca="1" si="76"/>
        <v>#VALUE!</v>
      </c>
      <c r="AM184" s="185" t="e">
        <f t="shared" ca="1" si="76"/>
        <v>#VALUE!</v>
      </c>
      <c r="AN184" s="185" t="e">
        <f t="shared" ca="1" si="76"/>
        <v>#VALUE!</v>
      </c>
      <c r="AO184" s="185" t="e">
        <f t="shared" ca="1" si="76"/>
        <v>#VALUE!</v>
      </c>
      <c r="AP184" s="185" t="e">
        <f t="shared" ca="1" si="76"/>
        <v>#VALUE!</v>
      </c>
    </row>
    <row r="185" spans="1:42">
      <c r="A185" s="57" t="str">
        <f>'[4]TS BYDem'!A124</f>
        <v>*</v>
      </c>
      <c r="B185" s="185" t="s">
        <v>288</v>
      </c>
      <c r="C185" s="185" t="s">
        <v>137</v>
      </c>
      <c r="D185" s="185" t="str">
        <f>'[4]TS BYDem'!D124</f>
        <v>INMS</v>
      </c>
      <c r="E185" s="185" t="s">
        <v>137</v>
      </c>
      <c r="F185" s="185" t="s">
        <v>137</v>
      </c>
      <c r="G185" s="185" t="s">
        <v>137</v>
      </c>
      <c r="H185" s="185" t="s">
        <v>137</v>
      </c>
      <c r="I185" s="185">
        <v>0</v>
      </c>
      <c r="J185" s="185" t="str">
        <f>INDEX('[4]TS BYDem'!$J$10:$J$203,MATCH(D185,'[4]TS BYDem'!$D$10:$D$203,0))</f>
        <v/>
      </c>
      <c r="K185" s="185" t="e">
        <f t="shared" ca="1" si="75"/>
        <v>#VALUE!</v>
      </c>
      <c r="L185" s="185" t="e">
        <f t="shared" ca="1" si="75"/>
        <v>#VALUE!</v>
      </c>
      <c r="M185" s="185" t="e">
        <f t="shared" ca="1" si="75"/>
        <v>#VALUE!</v>
      </c>
      <c r="N185" s="185" t="e">
        <f t="shared" ca="1" si="75"/>
        <v>#VALUE!</v>
      </c>
      <c r="O185" s="185" t="e">
        <f t="shared" ca="1" si="75"/>
        <v>#VALUE!</v>
      </c>
      <c r="P185" s="185" t="e">
        <f t="shared" ca="1" si="75"/>
        <v>#VALUE!</v>
      </c>
      <c r="Q185" s="185" t="e">
        <f t="shared" ca="1" si="75"/>
        <v>#VALUE!</v>
      </c>
      <c r="R185" s="185" t="e">
        <f t="shared" ca="1" si="75"/>
        <v>#VALUE!</v>
      </c>
      <c r="S185" s="185" t="e">
        <f t="shared" ca="1" si="75"/>
        <v>#VALUE!</v>
      </c>
      <c r="T185" s="185" t="e">
        <f t="shared" ca="1" si="75"/>
        <v>#VALUE!</v>
      </c>
      <c r="U185" s="185" t="e">
        <f t="shared" ca="1" si="75"/>
        <v>#VALUE!</v>
      </c>
      <c r="V185" s="185" t="e">
        <f t="shared" ca="1" si="75"/>
        <v>#VALUE!</v>
      </c>
      <c r="W185" s="185" t="e">
        <f t="shared" ca="1" si="75"/>
        <v>#VALUE!</v>
      </c>
      <c r="X185" s="185" t="e">
        <f t="shared" ca="1" si="75"/>
        <v>#VALUE!</v>
      </c>
      <c r="Y185" s="185" t="e">
        <f t="shared" ca="1" si="75"/>
        <v>#VALUE!</v>
      </c>
      <c r="Z185" s="185" t="e">
        <f t="shared" ca="1" si="75"/>
        <v>#VALUE!</v>
      </c>
      <c r="AA185" s="185" t="e">
        <f t="shared" ca="1" si="76"/>
        <v>#VALUE!</v>
      </c>
      <c r="AB185" s="185" t="e">
        <f t="shared" ca="1" si="76"/>
        <v>#VALUE!</v>
      </c>
      <c r="AC185" s="185" t="e">
        <f t="shared" ca="1" si="76"/>
        <v>#VALUE!</v>
      </c>
      <c r="AD185" s="185" t="e">
        <f t="shared" ca="1" si="76"/>
        <v>#VALUE!</v>
      </c>
      <c r="AE185" s="185" t="e">
        <f t="shared" ca="1" si="76"/>
        <v>#VALUE!</v>
      </c>
      <c r="AF185" s="185" t="e">
        <f t="shared" ca="1" si="76"/>
        <v>#VALUE!</v>
      </c>
      <c r="AG185" s="185" t="e">
        <f t="shared" ca="1" si="76"/>
        <v>#VALUE!</v>
      </c>
      <c r="AH185" s="185" t="e">
        <f t="shared" ca="1" si="76"/>
        <v>#VALUE!</v>
      </c>
      <c r="AI185" s="185" t="e">
        <f t="shared" ca="1" si="76"/>
        <v>#VALUE!</v>
      </c>
      <c r="AJ185" s="185" t="e">
        <f t="shared" ca="1" si="76"/>
        <v>#VALUE!</v>
      </c>
      <c r="AK185" s="185" t="e">
        <f t="shared" ca="1" si="76"/>
        <v>#VALUE!</v>
      </c>
      <c r="AL185" s="185" t="e">
        <f t="shared" ca="1" si="76"/>
        <v>#VALUE!</v>
      </c>
      <c r="AM185" s="185" t="e">
        <f t="shared" ca="1" si="76"/>
        <v>#VALUE!</v>
      </c>
      <c r="AN185" s="185" t="e">
        <f t="shared" ca="1" si="76"/>
        <v>#VALUE!</v>
      </c>
      <c r="AO185" s="185" t="e">
        <f t="shared" ca="1" si="76"/>
        <v>#VALUE!</v>
      </c>
      <c r="AP185" s="185" t="e">
        <f t="shared" ca="1" si="76"/>
        <v>#VALUE!</v>
      </c>
    </row>
    <row r="186" spans="1:42">
      <c r="A186" s="57" t="str">
        <f>'[4]TS BYDem'!A125</f>
        <v>*</v>
      </c>
      <c r="B186" s="185" t="s">
        <v>288</v>
      </c>
      <c r="C186" s="185" t="s">
        <v>137</v>
      </c>
      <c r="D186" s="185" t="str">
        <f>'[4]TS BYDem'!D125</f>
        <v>INMS</v>
      </c>
      <c r="E186" s="185" t="s">
        <v>137</v>
      </c>
      <c r="F186" s="185" t="s">
        <v>137</v>
      </c>
      <c r="G186" s="185" t="s">
        <v>137</v>
      </c>
      <c r="H186" s="185" t="s">
        <v>137</v>
      </c>
      <c r="I186" s="185">
        <v>0</v>
      </c>
      <c r="J186" s="185" t="str">
        <f>INDEX('[4]TS BYDem'!$J$10:$J$203,MATCH(D186,'[4]TS BYDem'!$D$10:$D$203,0))</f>
        <v/>
      </c>
      <c r="K186" s="185" t="e">
        <f t="shared" ca="1" si="75"/>
        <v>#VALUE!</v>
      </c>
      <c r="L186" s="185" t="e">
        <f t="shared" ca="1" si="75"/>
        <v>#VALUE!</v>
      </c>
      <c r="M186" s="185" t="e">
        <f t="shared" ca="1" si="75"/>
        <v>#VALUE!</v>
      </c>
      <c r="N186" s="185" t="e">
        <f t="shared" ca="1" si="75"/>
        <v>#VALUE!</v>
      </c>
      <c r="O186" s="185" t="e">
        <f t="shared" ca="1" si="75"/>
        <v>#VALUE!</v>
      </c>
      <c r="P186" s="185" t="e">
        <f t="shared" ca="1" si="75"/>
        <v>#VALUE!</v>
      </c>
      <c r="Q186" s="185" t="e">
        <f t="shared" ca="1" si="75"/>
        <v>#VALUE!</v>
      </c>
      <c r="R186" s="185" t="e">
        <f t="shared" ca="1" si="75"/>
        <v>#VALUE!</v>
      </c>
      <c r="S186" s="185" t="e">
        <f t="shared" ca="1" si="75"/>
        <v>#VALUE!</v>
      </c>
      <c r="T186" s="185" t="e">
        <f t="shared" ca="1" si="75"/>
        <v>#VALUE!</v>
      </c>
      <c r="U186" s="185" t="e">
        <f t="shared" ca="1" si="75"/>
        <v>#VALUE!</v>
      </c>
      <c r="V186" s="185" t="e">
        <f t="shared" ca="1" si="75"/>
        <v>#VALUE!</v>
      </c>
      <c r="W186" s="185" t="e">
        <f t="shared" ca="1" si="75"/>
        <v>#VALUE!</v>
      </c>
      <c r="X186" s="185" t="e">
        <f t="shared" ca="1" si="75"/>
        <v>#VALUE!</v>
      </c>
      <c r="Y186" s="185" t="e">
        <f t="shared" ca="1" si="75"/>
        <v>#VALUE!</v>
      </c>
      <c r="Z186" s="185" t="e">
        <f t="shared" ca="1" si="75"/>
        <v>#VALUE!</v>
      </c>
      <c r="AA186" s="185" t="e">
        <f t="shared" ca="1" si="76"/>
        <v>#VALUE!</v>
      </c>
      <c r="AB186" s="185" t="e">
        <f t="shared" ca="1" si="76"/>
        <v>#VALUE!</v>
      </c>
      <c r="AC186" s="185" t="e">
        <f t="shared" ca="1" si="76"/>
        <v>#VALUE!</v>
      </c>
      <c r="AD186" s="185" t="e">
        <f t="shared" ca="1" si="76"/>
        <v>#VALUE!</v>
      </c>
      <c r="AE186" s="185" t="e">
        <f t="shared" ca="1" si="76"/>
        <v>#VALUE!</v>
      </c>
      <c r="AF186" s="185" t="e">
        <f t="shared" ca="1" si="76"/>
        <v>#VALUE!</v>
      </c>
      <c r="AG186" s="185" t="e">
        <f t="shared" ca="1" si="76"/>
        <v>#VALUE!</v>
      </c>
      <c r="AH186" s="185" t="e">
        <f t="shared" ca="1" si="76"/>
        <v>#VALUE!</v>
      </c>
      <c r="AI186" s="185" t="e">
        <f t="shared" ca="1" si="76"/>
        <v>#VALUE!</v>
      </c>
      <c r="AJ186" s="185" t="e">
        <f t="shared" ca="1" si="76"/>
        <v>#VALUE!</v>
      </c>
      <c r="AK186" s="185" t="e">
        <f t="shared" ca="1" si="76"/>
        <v>#VALUE!</v>
      </c>
      <c r="AL186" s="185" t="e">
        <f t="shared" ca="1" si="76"/>
        <v>#VALUE!</v>
      </c>
      <c r="AM186" s="185" t="e">
        <f t="shared" ca="1" si="76"/>
        <v>#VALUE!</v>
      </c>
      <c r="AN186" s="185" t="e">
        <f t="shared" ca="1" si="76"/>
        <v>#VALUE!</v>
      </c>
      <c r="AO186" s="185" t="e">
        <f t="shared" ca="1" si="76"/>
        <v>#VALUE!</v>
      </c>
      <c r="AP186" s="185" t="e">
        <f t="shared" ca="1" si="76"/>
        <v>#VALUE!</v>
      </c>
    </row>
    <row r="187" spans="1:42">
      <c r="A187" s="57" t="str">
        <f>'[4]TS BYDem'!A126</f>
        <v>*</v>
      </c>
      <c r="B187" s="185" t="s">
        <v>288</v>
      </c>
      <c r="C187" s="185" t="s">
        <v>137</v>
      </c>
      <c r="D187" s="185" t="str">
        <f>'[4]TS BYDem'!D126</f>
        <v>INMS</v>
      </c>
      <c r="E187" s="185" t="s">
        <v>137</v>
      </c>
      <c r="F187" s="185" t="s">
        <v>137</v>
      </c>
      <c r="G187" s="185" t="s">
        <v>137</v>
      </c>
      <c r="H187" s="185" t="s">
        <v>137</v>
      </c>
      <c r="I187" s="185">
        <v>0</v>
      </c>
      <c r="J187" s="185" t="str">
        <f>INDEX('[4]TS BYDem'!$J$10:$J$203,MATCH(D187,'[4]TS BYDem'!$D$10:$D$203,0))</f>
        <v/>
      </c>
      <c r="K187" s="185" t="e">
        <f t="shared" ca="1" si="75"/>
        <v>#VALUE!</v>
      </c>
      <c r="L187" s="185" t="e">
        <f t="shared" ca="1" si="75"/>
        <v>#VALUE!</v>
      </c>
      <c r="M187" s="185" t="e">
        <f t="shared" ca="1" si="75"/>
        <v>#VALUE!</v>
      </c>
      <c r="N187" s="185" t="e">
        <f t="shared" ca="1" si="75"/>
        <v>#VALUE!</v>
      </c>
      <c r="O187" s="185" t="e">
        <f t="shared" ca="1" si="75"/>
        <v>#VALUE!</v>
      </c>
      <c r="P187" s="185" t="e">
        <f t="shared" ca="1" si="75"/>
        <v>#VALUE!</v>
      </c>
      <c r="Q187" s="185" t="e">
        <f t="shared" ca="1" si="75"/>
        <v>#VALUE!</v>
      </c>
      <c r="R187" s="185" t="e">
        <f t="shared" ca="1" si="75"/>
        <v>#VALUE!</v>
      </c>
      <c r="S187" s="185" t="e">
        <f t="shared" ca="1" si="75"/>
        <v>#VALUE!</v>
      </c>
      <c r="T187" s="185" t="e">
        <f t="shared" ca="1" si="75"/>
        <v>#VALUE!</v>
      </c>
      <c r="U187" s="185" t="e">
        <f t="shared" ca="1" si="75"/>
        <v>#VALUE!</v>
      </c>
      <c r="V187" s="185" t="e">
        <f t="shared" ca="1" si="75"/>
        <v>#VALUE!</v>
      </c>
      <c r="W187" s="185" t="e">
        <f t="shared" ca="1" si="75"/>
        <v>#VALUE!</v>
      </c>
      <c r="X187" s="185" t="e">
        <f t="shared" ca="1" si="75"/>
        <v>#VALUE!</v>
      </c>
      <c r="Y187" s="185" t="e">
        <f t="shared" ca="1" si="75"/>
        <v>#VALUE!</v>
      </c>
      <c r="Z187" s="185" t="e">
        <f t="shared" ca="1" si="75"/>
        <v>#VALUE!</v>
      </c>
      <c r="AA187" s="185" t="e">
        <f t="shared" ca="1" si="76"/>
        <v>#VALUE!</v>
      </c>
      <c r="AB187" s="185" t="e">
        <f t="shared" ca="1" si="76"/>
        <v>#VALUE!</v>
      </c>
      <c r="AC187" s="185" t="e">
        <f t="shared" ca="1" si="76"/>
        <v>#VALUE!</v>
      </c>
      <c r="AD187" s="185" t="e">
        <f t="shared" ca="1" si="76"/>
        <v>#VALUE!</v>
      </c>
      <c r="AE187" s="185" t="e">
        <f t="shared" ca="1" si="76"/>
        <v>#VALUE!</v>
      </c>
      <c r="AF187" s="185" t="e">
        <f t="shared" ca="1" si="76"/>
        <v>#VALUE!</v>
      </c>
      <c r="AG187" s="185" t="e">
        <f t="shared" ca="1" si="76"/>
        <v>#VALUE!</v>
      </c>
      <c r="AH187" s="185" t="e">
        <f t="shared" ca="1" si="76"/>
        <v>#VALUE!</v>
      </c>
      <c r="AI187" s="185" t="e">
        <f t="shared" ca="1" si="76"/>
        <v>#VALUE!</v>
      </c>
      <c r="AJ187" s="185" t="e">
        <f t="shared" ca="1" si="76"/>
        <v>#VALUE!</v>
      </c>
      <c r="AK187" s="185" t="e">
        <f t="shared" ca="1" si="76"/>
        <v>#VALUE!</v>
      </c>
      <c r="AL187" s="185" t="e">
        <f t="shared" ca="1" si="76"/>
        <v>#VALUE!</v>
      </c>
      <c r="AM187" s="185" t="e">
        <f t="shared" ca="1" si="76"/>
        <v>#VALUE!</v>
      </c>
      <c r="AN187" s="185" t="e">
        <f t="shared" ca="1" si="76"/>
        <v>#VALUE!</v>
      </c>
      <c r="AO187" s="185" t="e">
        <f t="shared" ca="1" si="76"/>
        <v>#VALUE!</v>
      </c>
      <c r="AP187" s="185" t="e">
        <f t="shared" ca="1" si="76"/>
        <v>#VALUE!</v>
      </c>
    </row>
    <row r="188" spans="1:42">
      <c r="A188" s="57" t="str">
        <f>'[4]TS BYDem'!A127</f>
        <v>*</v>
      </c>
      <c r="B188" s="185" t="s">
        <v>288</v>
      </c>
      <c r="C188" s="185" t="s">
        <v>137</v>
      </c>
      <c r="D188" s="185" t="str">
        <f>'[4]TS BYDem'!D127</f>
        <v>INMS</v>
      </c>
      <c r="E188" s="185" t="s">
        <v>137</v>
      </c>
      <c r="F188" s="185" t="s">
        <v>137</v>
      </c>
      <c r="G188" s="185" t="s">
        <v>137</v>
      </c>
      <c r="H188" s="185" t="s">
        <v>137</v>
      </c>
      <c r="I188" s="185">
        <v>0</v>
      </c>
      <c r="J188" s="185" t="str">
        <f>INDEX('[4]TS BYDem'!$J$10:$J$203,MATCH(D188,'[4]TS BYDem'!$D$10:$D$203,0))</f>
        <v/>
      </c>
      <c r="K188" s="185" t="e">
        <f t="shared" ca="1" si="75"/>
        <v>#VALUE!</v>
      </c>
      <c r="L188" s="185" t="e">
        <f t="shared" ca="1" si="75"/>
        <v>#VALUE!</v>
      </c>
      <c r="M188" s="185" t="e">
        <f t="shared" ca="1" si="75"/>
        <v>#VALUE!</v>
      </c>
      <c r="N188" s="185" t="e">
        <f t="shared" ca="1" si="75"/>
        <v>#VALUE!</v>
      </c>
      <c r="O188" s="185" t="e">
        <f t="shared" ca="1" si="75"/>
        <v>#VALUE!</v>
      </c>
      <c r="P188" s="185" t="e">
        <f t="shared" ca="1" si="75"/>
        <v>#VALUE!</v>
      </c>
      <c r="Q188" s="185" t="e">
        <f t="shared" ca="1" si="75"/>
        <v>#VALUE!</v>
      </c>
      <c r="R188" s="185" t="e">
        <f t="shared" ca="1" si="75"/>
        <v>#VALUE!</v>
      </c>
      <c r="S188" s="185" t="e">
        <f t="shared" ca="1" si="75"/>
        <v>#VALUE!</v>
      </c>
      <c r="T188" s="185" t="e">
        <f t="shared" ca="1" si="75"/>
        <v>#VALUE!</v>
      </c>
      <c r="U188" s="185" t="e">
        <f t="shared" ca="1" si="75"/>
        <v>#VALUE!</v>
      </c>
      <c r="V188" s="185" t="e">
        <f t="shared" ca="1" si="75"/>
        <v>#VALUE!</v>
      </c>
      <c r="W188" s="185" t="e">
        <f t="shared" ca="1" si="75"/>
        <v>#VALUE!</v>
      </c>
      <c r="X188" s="185" t="e">
        <f t="shared" ca="1" si="75"/>
        <v>#VALUE!</v>
      </c>
      <c r="Y188" s="185" t="e">
        <f t="shared" ca="1" si="75"/>
        <v>#VALUE!</v>
      </c>
      <c r="Z188" s="185" t="e">
        <f t="shared" ca="1" si="75"/>
        <v>#VALUE!</v>
      </c>
      <c r="AA188" s="185" t="e">
        <f t="shared" ca="1" si="76"/>
        <v>#VALUE!</v>
      </c>
      <c r="AB188" s="185" t="e">
        <f t="shared" ca="1" si="76"/>
        <v>#VALUE!</v>
      </c>
      <c r="AC188" s="185" t="e">
        <f t="shared" ca="1" si="76"/>
        <v>#VALUE!</v>
      </c>
      <c r="AD188" s="185" t="e">
        <f t="shared" ca="1" si="76"/>
        <v>#VALUE!</v>
      </c>
      <c r="AE188" s="185" t="e">
        <f t="shared" ca="1" si="76"/>
        <v>#VALUE!</v>
      </c>
      <c r="AF188" s="185" t="e">
        <f t="shared" ca="1" si="76"/>
        <v>#VALUE!</v>
      </c>
      <c r="AG188" s="185" t="e">
        <f t="shared" ca="1" si="76"/>
        <v>#VALUE!</v>
      </c>
      <c r="AH188" s="185" t="e">
        <f t="shared" ca="1" si="76"/>
        <v>#VALUE!</v>
      </c>
      <c r="AI188" s="185" t="e">
        <f t="shared" ca="1" si="76"/>
        <v>#VALUE!</v>
      </c>
      <c r="AJ188" s="185" t="e">
        <f t="shared" ca="1" si="76"/>
        <v>#VALUE!</v>
      </c>
      <c r="AK188" s="185" t="e">
        <f t="shared" ca="1" si="76"/>
        <v>#VALUE!</v>
      </c>
      <c r="AL188" s="185" t="e">
        <f t="shared" ca="1" si="76"/>
        <v>#VALUE!</v>
      </c>
      <c r="AM188" s="185" t="e">
        <f t="shared" ca="1" si="76"/>
        <v>#VALUE!</v>
      </c>
      <c r="AN188" s="185" t="e">
        <f t="shared" ca="1" si="76"/>
        <v>#VALUE!</v>
      </c>
      <c r="AO188" s="185" t="e">
        <f t="shared" ca="1" si="76"/>
        <v>#VALUE!</v>
      </c>
      <c r="AP188" s="185" t="e">
        <f t="shared" ca="1" si="76"/>
        <v>#VALUE!</v>
      </c>
    </row>
    <row r="189" spans="1:42">
      <c r="A189" s="57" t="str">
        <f>'[4]TS BYDem'!A128</f>
        <v>*</v>
      </c>
      <c r="B189" s="185" t="s">
        <v>288</v>
      </c>
      <c r="C189" s="185" t="s">
        <v>137</v>
      </c>
      <c r="D189" s="185" t="str">
        <f>'[4]TS BYDem'!D128</f>
        <v>INMS</v>
      </c>
      <c r="E189" s="185" t="s">
        <v>137</v>
      </c>
      <c r="F189" s="185" t="s">
        <v>137</v>
      </c>
      <c r="G189" s="185" t="s">
        <v>137</v>
      </c>
      <c r="H189" s="185" t="s">
        <v>137</v>
      </c>
      <c r="I189" s="185">
        <v>0</v>
      </c>
      <c r="J189" s="185" t="str">
        <f>INDEX('[4]TS BYDem'!$J$10:$J$203,MATCH(D189,'[4]TS BYDem'!$D$10:$D$203,0))</f>
        <v/>
      </c>
      <c r="K189" s="185" t="e">
        <f t="shared" ca="1" si="75"/>
        <v>#VALUE!</v>
      </c>
      <c r="L189" s="185" t="e">
        <f t="shared" ca="1" si="75"/>
        <v>#VALUE!</v>
      </c>
      <c r="M189" s="185" t="e">
        <f t="shared" ca="1" si="75"/>
        <v>#VALUE!</v>
      </c>
      <c r="N189" s="185" t="e">
        <f t="shared" ca="1" si="75"/>
        <v>#VALUE!</v>
      </c>
      <c r="O189" s="185" t="e">
        <f t="shared" ca="1" si="75"/>
        <v>#VALUE!</v>
      </c>
      <c r="P189" s="185" t="e">
        <f t="shared" ca="1" si="75"/>
        <v>#VALUE!</v>
      </c>
      <c r="Q189" s="185" t="e">
        <f t="shared" ca="1" si="75"/>
        <v>#VALUE!</v>
      </c>
      <c r="R189" s="185" t="e">
        <f t="shared" ca="1" si="75"/>
        <v>#VALUE!</v>
      </c>
      <c r="S189" s="185" t="e">
        <f t="shared" ca="1" si="75"/>
        <v>#VALUE!</v>
      </c>
      <c r="T189" s="185" t="e">
        <f t="shared" ca="1" si="75"/>
        <v>#VALUE!</v>
      </c>
      <c r="U189" s="185" t="e">
        <f t="shared" ca="1" si="75"/>
        <v>#VALUE!</v>
      </c>
      <c r="V189" s="185" t="e">
        <f t="shared" ca="1" si="75"/>
        <v>#VALUE!</v>
      </c>
      <c r="W189" s="185" t="e">
        <f t="shared" ca="1" si="75"/>
        <v>#VALUE!</v>
      </c>
      <c r="X189" s="185" t="e">
        <f t="shared" ca="1" si="75"/>
        <v>#VALUE!</v>
      </c>
      <c r="Y189" s="185" t="e">
        <f t="shared" ca="1" si="75"/>
        <v>#VALUE!</v>
      </c>
      <c r="Z189" s="185" t="e">
        <f t="shared" ref="Z189:AO189" ca="1" si="77">Z$173/Y$173*Y189</f>
        <v>#VALUE!</v>
      </c>
      <c r="AA189" s="185" t="e">
        <f t="shared" ca="1" si="77"/>
        <v>#VALUE!</v>
      </c>
      <c r="AB189" s="185" t="e">
        <f t="shared" ca="1" si="77"/>
        <v>#VALUE!</v>
      </c>
      <c r="AC189" s="185" t="e">
        <f t="shared" ca="1" si="77"/>
        <v>#VALUE!</v>
      </c>
      <c r="AD189" s="185" t="e">
        <f t="shared" ca="1" si="77"/>
        <v>#VALUE!</v>
      </c>
      <c r="AE189" s="185" t="e">
        <f t="shared" ca="1" si="77"/>
        <v>#VALUE!</v>
      </c>
      <c r="AF189" s="185" t="e">
        <f t="shared" ca="1" si="77"/>
        <v>#VALUE!</v>
      </c>
      <c r="AG189" s="185" t="e">
        <f t="shared" ca="1" si="77"/>
        <v>#VALUE!</v>
      </c>
      <c r="AH189" s="185" t="e">
        <f t="shared" ca="1" si="77"/>
        <v>#VALUE!</v>
      </c>
      <c r="AI189" s="185" t="e">
        <f t="shared" ca="1" si="77"/>
        <v>#VALUE!</v>
      </c>
      <c r="AJ189" s="185" t="e">
        <f t="shared" ca="1" si="77"/>
        <v>#VALUE!</v>
      </c>
      <c r="AK189" s="185" t="e">
        <f t="shared" ca="1" si="77"/>
        <v>#VALUE!</v>
      </c>
      <c r="AL189" s="185" t="e">
        <f t="shared" ca="1" si="77"/>
        <v>#VALUE!</v>
      </c>
      <c r="AM189" s="185" t="e">
        <f t="shared" ca="1" si="77"/>
        <v>#VALUE!</v>
      </c>
      <c r="AN189" s="185" t="e">
        <f t="shared" ca="1" si="77"/>
        <v>#VALUE!</v>
      </c>
      <c r="AO189" s="185" t="e">
        <f t="shared" ca="1" si="77"/>
        <v>#VALUE!</v>
      </c>
      <c r="AP189" s="185" t="e">
        <f t="shared" ca="1" si="76"/>
        <v>#VALUE!</v>
      </c>
    </row>
    <row r="190" spans="1:42">
      <c r="A190" s="57" t="str">
        <f>'[4]TS BYDem'!A129</f>
        <v>*</v>
      </c>
      <c r="B190" s="185" t="s">
        <v>288</v>
      </c>
      <c r="C190" s="185" t="s">
        <v>137</v>
      </c>
      <c r="D190" s="185" t="str">
        <f>'[4]TS BYDem'!D129</f>
        <v>Useful Energy Service</v>
      </c>
      <c r="E190" s="185" t="s">
        <v>137</v>
      </c>
      <c r="F190" s="185" t="s">
        <v>137</v>
      </c>
      <c r="G190" s="185" t="s">
        <v>137</v>
      </c>
      <c r="H190" s="185" t="s">
        <v>137</v>
      </c>
      <c r="I190" s="185">
        <v>0</v>
      </c>
      <c r="J190" s="185" t="str">
        <f>INDEX('[4]TS BYDem'!$J$10:$J$203,MATCH(D190,'[4]TS BYDem'!$D$10:$D$203,0))</f>
        <v/>
      </c>
    </row>
    <row r="191" spans="1:42">
      <c r="A191" s="57" t="str">
        <f>'[4]TS BYDem'!A130</f>
        <v>*</v>
      </c>
      <c r="B191" s="185" t="s">
        <v>288</v>
      </c>
      <c r="C191" s="185" t="s">
        <v>137</v>
      </c>
      <c r="D191" s="185">
        <f>'[4]TS BYDem'!D130</f>
        <v>0</v>
      </c>
      <c r="E191" s="185" t="s">
        <v>137</v>
      </c>
      <c r="F191" s="185" t="s">
        <v>137</v>
      </c>
      <c r="G191" s="185" t="s">
        <v>137</v>
      </c>
      <c r="H191" s="185" t="s">
        <v>137</v>
      </c>
      <c r="I191" s="185">
        <v>0</v>
      </c>
      <c r="J191" s="185" t="str">
        <f>INDEX('[4]TS BYDem'!$J$10:$J$203,MATCH(D191,'[4]TS BYDem'!$D$10:$D$203,0))</f>
        <v/>
      </c>
    </row>
    <row r="192" spans="1:42" s="5" customFormat="1">
      <c r="A192" s="57" t="str">
        <f>'[4]TS BYDem'!A127</f>
        <v>*</v>
      </c>
      <c r="B192" s="5">
        <v>10</v>
      </c>
      <c r="C192" s="3" t="str">
        <f ca="1">OFFSET($C$9,$B192,0)</f>
        <v>Food, Beverage &amp; Tabacco</v>
      </c>
      <c r="D192" s="3" t="str">
        <f ca="1">OFFSET($B$9,$B192,0)</f>
        <v>FB</v>
      </c>
      <c r="J192" s="5">
        <f ca="1">SUMIF($B$10:$B$22,$D192,J$10:J$22)*SUMIF($B$10:$B$22,$D192,J$41:J$53)</f>
        <v>93.09690942833015</v>
      </c>
      <c r="K192" s="5">
        <f t="shared" ref="K192:AP192" ca="1" si="78">SUMIF($B$10:$B$22,$D192,K$10:K$22)*SUMIF($B$10:$B$22,$D192,K$41:K$53)</f>
        <v>96.522000000000006</v>
      </c>
      <c r="L192" s="5">
        <f t="shared" ca="1" si="78"/>
        <v>99.097999999999999</v>
      </c>
      <c r="M192" s="5">
        <f t="shared" ca="1" si="78"/>
        <v>100.31</v>
      </c>
      <c r="N192" s="5">
        <f t="shared" ca="1" si="78"/>
        <v>102.387</v>
      </c>
      <c r="O192" s="5">
        <f t="shared" ca="1" si="78"/>
        <v>103.53100000000001</v>
      </c>
      <c r="P192" s="5">
        <f t="shared" ca="1" si="78"/>
        <v>105.003</v>
      </c>
      <c r="Q192" s="5">
        <f t="shared" ca="1" si="78"/>
        <v>104.664</v>
      </c>
      <c r="R192" s="5">
        <f t="shared" ca="1" si="78"/>
        <v>99.796999999999997</v>
      </c>
      <c r="S192" s="5">
        <f t="shared" ca="1" si="78"/>
        <v>104.71930889240174</v>
      </c>
      <c r="T192" s="5">
        <f t="shared" ca="1" si="78"/>
        <v>106.82127285992847</v>
      </c>
      <c r="U192" s="5">
        <f t="shared" ca="1" si="78"/>
        <v>108.71268159350912</v>
      </c>
      <c r="V192" s="5">
        <f t="shared" ca="1" si="78"/>
        <v>110.6813646078068</v>
      </c>
      <c r="W192" s="5">
        <f t="shared" ca="1" si="78"/>
        <v>112.67346926743795</v>
      </c>
      <c r="X192" s="5">
        <f t="shared" ca="1" si="78"/>
        <v>115.34121171944236</v>
      </c>
      <c r="Y192" s="5">
        <f t="shared" ca="1" si="78"/>
        <v>117.94095188094238</v>
      </c>
      <c r="Z192" s="5">
        <f t="shared" ca="1" si="78"/>
        <v>120.67327288108554</v>
      </c>
      <c r="AA192" s="5">
        <f t="shared" ca="1" si="78"/>
        <v>123.37488866273767</v>
      </c>
      <c r="AB192" s="5">
        <f ca="1">SUMIF($B$10:$B$22,$D192,AB$10:AB$22)*SUMIF($B$10:$B$22,$D192,AB$40:AB$53)</f>
        <v>125.73427076274204</v>
      </c>
      <c r="AC192" s="5">
        <f t="shared" ca="1" si="78"/>
        <v>128.62927041441671</v>
      </c>
      <c r="AD192" s="5">
        <f t="shared" ca="1" si="78"/>
        <v>131.56211600801402</v>
      </c>
      <c r="AE192" s="5">
        <f t="shared" ca="1" si="78"/>
        <v>134.36542766837559</v>
      </c>
      <c r="AF192" s="5">
        <f t="shared" ca="1" si="78"/>
        <v>137.08611789583711</v>
      </c>
      <c r="AG192" s="5">
        <f t="shared" ca="1" si="78"/>
        <v>140.27590085253956</v>
      </c>
      <c r="AH192" s="5">
        <f t="shared" ca="1" si="78"/>
        <v>143.21803780563229</v>
      </c>
      <c r="AI192" s="5">
        <f t="shared" ca="1" si="78"/>
        <v>146.22211211981949</v>
      </c>
      <c r="AJ192" s="5">
        <f t="shared" ca="1" si="78"/>
        <v>149.0801110245722</v>
      </c>
      <c r="AK192" s="5">
        <f t="shared" ca="1" si="78"/>
        <v>152.00630507710386</v>
      </c>
      <c r="AL192" s="5">
        <f t="shared" ca="1" si="78"/>
        <v>155.07174759921938</v>
      </c>
      <c r="AM192" s="5">
        <f t="shared" ca="1" si="78"/>
        <v>171.77306646677394</v>
      </c>
      <c r="AN192" s="5">
        <f t="shared" ca="1" si="78"/>
        <v>189.70229183869614</v>
      </c>
      <c r="AO192" s="5">
        <f t="shared" ca="1" si="78"/>
        <v>224.12818499411151</v>
      </c>
      <c r="AP192" s="5">
        <f t="shared" ca="1" si="78"/>
        <v>258.75872923358838</v>
      </c>
    </row>
    <row r="193" spans="1:42">
      <c r="A193" s="57" t="str">
        <f>'[4]TS BYDem'!A132</f>
        <v/>
      </c>
      <c r="B193" s="185" t="s">
        <v>288</v>
      </c>
      <c r="C193" s="185" t="s">
        <v>137</v>
      </c>
      <c r="D193" s="185" t="str">
        <f>'[4]TS BYDem'!D132</f>
        <v>IFBK</v>
      </c>
      <c r="E193" s="185" t="s">
        <v>137</v>
      </c>
      <c r="F193" s="185" t="s">
        <v>137</v>
      </c>
      <c r="G193" s="185" t="s">
        <v>137</v>
      </c>
      <c r="H193" s="185" t="s">
        <v>137</v>
      </c>
      <c r="I193" s="185">
        <v>0</v>
      </c>
      <c r="J193" s="185">
        <f>INDEX('[4]TS BYDem'!$J$10:$J$203,MATCH(D193,'[4]TS BYDem'!$D$10:$D$203,0))</f>
        <v>1.1176071642017353</v>
      </c>
      <c r="K193" s="185">
        <f t="shared" ref="K193:Z208" ca="1" si="79">K$192/J$192*J193</f>
        <v>1.1587245953220986</v>
      </c>
      <c r="L193" s="185">
        <f t="shared" ca="1" si="79"/>
        <v>1.1896488877896161</v>
      </c>
      <c r="M193" s="192">
        <f t="shared" ref="M193:M201" si="80">O193</f>
        <v>1.04664</v>
      </c>
      <c r="N193" s="192">
        <f t="shared" ref="N193:N201" si="81">O193</f>
        <v>1.04664</v>
      </c>
      <c r="O193" s="192">
        <f>INDEX('[4]TS BYDem'!$O$10:$O$203,MATCH(D193,'[4]TS BYDem'!$D$10:$D$203,0))</f>
        <v>1.04664</v>
      </c>
      <c r="P193" s="185">
        <f t="shared" ca="1" si="79"/>
        <v>1.0615210895287404</v>
      </c>
      <c r="Q193" s="185">
        <f t="shared" ca="1" si="79"/>
        <v>1.0580939907853688</v>
      </c>
      <c r="R193" s="185">
        <f t="shared" ca="1" si="79"/>
        <v>1.0088913666438073</v>
      </c>
      <c r="S193" s="185">
        <f t="shared" ca="1" si="79"/>
        <v>1.0586531324834434</v>
      </c>
      <c r="T193" s="185">
        <f t="shared" ca="1" si="79"/>
        <v>1.0799028023115351</v>
      </c>
      <c r="U193" s="185">
        <f t="shared" ca="1" si="79"/>
        <v>1.0990238775152408</v>
      </c>
      <c r="V193" s="185">
        <f t="shared" ca="1" si="79"/>
        <v>1.1189261521004812</v>
      </c>
      <c r="W193" s="185">
        <f t="shared" ca="1" si="79"/>
        <v>1.1390652063060462</v>
      </c>
      <c r="X193" s="185">
        <f t="shared" ca="1" si="79"/>
        <v>1.1660345774119554</v>
      </c>
      <c r="Y193" s="185">
        <f t="shared" ca="1" si="79"/>
        <v>1.1923164837263192</v>
      </c>
      <c r="Z193" s="185">
        <f t="shared" ca="1" si="79"/>
        <v>1.2199387075200605</v>
      </c>
      <c r="AA193" s="185">
        <f t="shared" ref="AA193:AP208" ca="1" si="82">AA$192/Z$192*Z193</f>
        <v>1.2472505188780922</v>
      </c>
      <c r="AB193" s="185">
        <f t="shared" ca="1" si="82"/>
        <v>1.2711025407956682</v>
      </c>
      <c r="AC193" s="185">
        <f t="shared" ca="1" si="82"/>
        <v>1.3003693539765393</v>
      </c>
      <c r="AD193" s="185">
        <f t="shared" ca="1" si="82"/>
        <v>1.3300187682783686</v>
      </c>
      <c r="AE193" s="185">
        <f t="shared" ca="1" si="82"/>
        <v>1.3583586675954895</v>
      </c>
      <c r="AF193" s="185">
        <f t="shared" ca="1" si="82"/>
        <v>1.3858633108392555</v>
      </c>
      <c r="AG193" s="185">
        <f t="shared" ca="1" si="82"/>
        <v>1.4181102169234532</v>
      </c>
      <c r="AH193" s="185">
        <f t="shared" ca="1" si="82"/>
        <v>1.4478535616277926</v>
      </c>
      <c r="AI193" s="185">
        <f t="shared" ca="1" si="82"/>
        <v>1.4782230581090483</v>
      </c>
      <c r="AJ193" s="185">
        <f t="shared" ca="1" si="82"/>
        <v>1.5071158146135772</v>
      </c>
      <c r="AK193" s="185">
        <f t="shared" ca="1" si="82"/>
        <v>1.5366979855878917</v>
      </c>
      <c r="AL193" s="185">
        <f t="shared" ca="1" si="82"/>
        <v>1.5676878800286582</v>
      </c>
      <c r="AM193" s="185">
        <f t="shared" ca="1" si="82"/>
        <v>1.7365287912488465</v>
      </c>
      <c r="AN193" s="185">
        <f t="shared" ca="1" si="82"/>
        <v>1.9177831444693181</v>
      </c>
      <c r="AO193" s="185">
        <f t="shared" ca="1" si="82"/>
        <v>2.2658095019099296</v>
      </c>
      <c r="AP193" s="185">
        <f t="shared" ca="1" si="82"/>
        <v>2.6159047663505905</v>
      </c>
    </row>
    <row r="194" spans="1:42">
      <c r="A194" s="57" t="str">
        <f>'[4]TS BYDem'!A133</f>
        <v/>
      </c>
      <c r="B194" s="185" t="s">
        <v>288</v>
      </c>
      <c r="C194" s="185" t="s">
        <v>137</v>
      </c>
      <c r="D194" s="185" t="str">
        <f>'[4]TS BYDem'!D133</f>
        <v>IFBA</v>
      </c>
      <c r="E194" s="185" t="s">
        <v>137</v>
      </c>
      <c r="F194" s="185" t="s">
        <v>137</v>
      </c>
      <c r="G194" s="185" t="s">
        <v>137</v>
      </c>
      <c r="H194" s="185" t="s">
        <v>137</v>
      </c>
      <c r="I194" s="185">
        <v>0</v>
      </c>
      <c r="J194" s="185">
        <f>INDEX('[4]TS BYDem'!$J$10:$J$203,MATCH(D194,'[4]TS BYDem'!$D$10:$D$203,0))</f>
        <v>3.1931633262906718E-2</v>
      </c>
      <c r="K194" s="185">
        <f t="shared" ca="1" si="79"/>
        <v>3.3106417009202811E-2</v>
      </c>
      <c r="L194" s="185">
        <f t="shared" ca="1" si="79"/>
        <v>3.3989968222560452E-2</v>
      </c>
      <c r="M194" s="192">
        <f t="shared" si="80"/>
        <v>2.9904000000000003E-2</v>
      </c>
      <c r="N194" s="192">
        <f t="shared" si="81"/>
        <v>2.9904000000000003E-2</v>
      </c>
      <c r="O194" s="192">
        <f>INDEX('[4]TS BYDem'!$O$10:$O$203,MATCH(D194,'[4]TS BYDem'!$D$10:$D$203,0))</f>
        <v>2.9904000000000003E-2</v>
      </c>
      <c r="P194" s="185">
        <f t="shared" ca="1" si="79"/>
        <v>3.0329173986535438E-2</v>
      </c>
      <c r="Q194" s="185">
        <f t="shared" ca="1" si="79"/>
        <v>3.0231256879581964E-2</v>
      </c>
      <c r="R194" s="185">
        <f t="shared" ca="1" si="79"/>
        <v>2.8825467618394492E-2</v>
      </c>
      <c r="S194" s="185">
        <f t="shared" ca="1" si="79"/>
        <v>3.0247232356669807E-2</v>
      </c>
      <c r="T194" s="185">
        <f t="shared" ca="1" si="79"/>
        <v>3.085436578032957E-2</v>
      </c>
      <c r="U194" s="185">
        <f t="shared" ca="1" si="79"/>
        <v>3.1400682214721157E-2</v>
      </c>
      <c r="V194" s="185">
        <f t="shared" ca="1" si="79"/>
        <v>3.1969318631442312E-2</v>
      </c>
      <c r="W194" s="185">
        <f t="shared" ca="1" si="79"/>
        <v>3.2544720180172737E-2</v>
      </c>
      <c r="X194" s="185">
        <f t="shared" ca="1" si="79"/>
        <v>3.3315273640341571E-2</v>
      </c>
      <c r="Y194" s="185">
        <f t="shared" ca="1" si="79"/>
        <v>3.4066185249323387E-2</v>
      </c>
      <c r="Z194" s="185">
        <f t="shared" ca="1" si="79"/>
        <v>3.4855391643430281E-2</v>
      </c>
      <c r="AA194" s="185">
        <f t="shared" ca="1" si="82"/>
        <v>3.5635729110802622E-2</v>
      </c>
      <c r="AB194" s="185">
        <f t="shared" ca="1" si="82"/>
        <v>3.6317215451304792E-2</v>
      </c>
      <c r="AC194" s="185">
        <f t="shared" ca="1" si="82"/>
        <v>3.71534101136154E-2</v>
      </c>
      <c r="AD194" s="185">
        <f t="shared" ca="1" si="82"/>
        <v>3.8000536236524808E-2</v>
      </c>
      <c r="AE194" s="185">
        <f t="shared" ca="1" si="82"/>
        <v>3.8810247645585404E-2</v>
      </c>
      <c r="AF194" s="185">
        <f t="shared" ca="1" si="82"/>
        <v>3.9596094595407291E-2</v>
      </c>
      <c r="AG194" s="185">
        <f t="shared" ca="1" si="82"/>
        <v>4.0517434769241509E-2</v>
      </c>
      <c r="AH194" s="185">
        <f t="shared" ca="1" si="82"/>
        <v>4.1367244617936921E-2</v>
      </c>
      <c r="AI194" s="185">
        <f t="shared" ca="1" si="82"/>
        <v>4.2234944517401368E-2</v>
      </c>
      <c r="AJ194" s="185">
        <f t="shared" ca="1" si="82"/>
        <v>4.3060451846102195E-2</v>
      </c>
      <c r="AK194" s="185">
        <f t="shared" ca="1" si="82"/>
        <v>4.3905656731082605E-2</v>
      </c>
      <c r="AL194" s="185">
        <f t="shared" ca="1" si="82"/>
        <v>4.4791082286533071E-2</v>
      </c>
      <c r="AM194" s="185">
        <f t="shared" ca="1" si="82"/>
        <v>4.9615108321395596E-2</v>
      </c>
      <c r="AN194" s="185">
        <f t="shared" ca="1" si="82"/>
        <v>5.4793804127694787E-2</v>
      </c>
      <c r="AO194" s="185">
        <f t="shared" ca="1" si="82"/>
        <v>6.4737414340283683E-2</v>
      </c>
      <c r="AP194" s="185">
        <f t="shared" ca="1" si="82"/>
        <v>7.4740136181445427E-2</v>
      </c>
    </row>
    <row r="195" spans="1:42">
      <c r="A195" s="57" t="str">
        <f>'[4]TS BYDem'!A134</f>
        <v/>
      </c>
      <c r="B195" s="185" t="s">
        <v>288</v>
      </c>
      <c r="C195" s="185" t="s">
        <v>137</v>
      </c>
      <c r="D195" s="185" t="str">
        <f>'[4]TS BYDem'!D134</f>
        <v>IFBL</v>
      </c>
      <c r="E195" s="185" t="s">
        <v>137</v>
      </c>
      <c r="F195" s="185" t="s">
        <v>137</v>
      </c>
      <c r="G195" s="185" t="s">
        <v>137</v>
      </c>
      <c r="H195" s="185" t="s">
        <v>137</v>
      </c>
      <c r="I195" s="185">
        <v>0</v>
      </c>
      <c r="J195" s="185">
        <f>INDEX('[4]TS BYDem'!$J$10:$J$203,MATCH(D195,'[4]TS BYDem'!$D$10:$D$203,0))</f>
        <v>0.23948724947180039</v>
      </c>
      <c r="K195" s="185">
        <f t="shared" ca="1" si="79"/>
        <v>0.24829812756902106</v>
      </c>
      <c r="L195" s="185">
        <f t="shared" ca="1" si="79"/>
        <v>0.25492476166920336</v>
      </c>
      <c r="M195" s="192">
        <f t="shared" si="80"/>
        <v>0.22428000000000001</v>
      </c>
      <c r="N195" s="192">
        <f t="shared" si="81"/>
        <v>0.22428000000000001</v>
      </c>
      <c r="O195" s="192">
        <f>INDEX('[4]TS BYDem'!$O$10:$O$203,MATCH(D195,'[4]TS BYDem'!$D$10:$D$203,0))</f>
        <v>0.22428000000000001</v>
      </c>
      <c r="P195" s="185">
        <f t="shared" ca="1" si="79"/>
        <v>0.22746880489901578</v>
      </c>
      <c r="Q195" s="185">
        <f t="shared" ca="1" si="79"/>
        <v>0.22673442659686471</v>
      </c>
      <c r="R195" s="185">
        <f t="shared" ca="1" si="79"/>
        <v>0.21619100713795869</v>
      </c>
      <c r="S195" s="185">
        <f t="shared" ca="1" si="79"/>
        <v>0.22685424267502355</v>
      </c>
      <c r="T195" s="185">
        <f t="shared" ca="1" si="79"/>
        <v>0.23140774335247177</v>
      </c>
      <c r="U195" s="185">
        <f t="shared" ca="1" si="79"/>
        <v>0.23550511661040871</v>
      </c>
      <c r="V195" s="185">
        <f t="shared" ca="1" si="79"/>
        <v>0.23976988973581739</v>
      </c>
      <c r="W195" s="185">
        <f t="shared" ca="1" si="79"/>
        <v>0.24408540135129561</v>
      </c>
      <c r="X195" s="185">
        <f t="shared" ca="1" si="79"/>
        <v>0.24986455230256188</v>
      </c>
      <c r="Y195" s="185">
        <f t="shared" ca="1" si="79"/>
        <v>0.25549638936992553</v>
      </c>
      <c r="Z195" s="185">
        <f t="shared" ca="1" si="79"/>
        <v>0.26141543732572725</v>
      </c>
      <c r="AA195" s="185">
        <f t="shared" ca="1" si="82"/>
        <v>0.26726796833101979</v>
      </c>
      <c r="AB195" s="185">
        <f t="shared" ca="1" si="82"/>
        <v>0.27237911588478608</v>
      </c>
      <c r="AC195" s="185">
        <f t="shared" ca="1" si="82"/>
        <v>0.27865057585211561</v>
      </c>
      <c r="AD195" s="185">
        <f t="shared" ca="1" si="82"/>
        <v>0.28500402177393619</v>
      </c>
      <c r="AE195" s="185">
        <f t="shared" ca="1" si="82"/>
        <v>0.2910768573418907</v>
      </c>
      <c r="AF195" s="185">
        <f t="shared" ca="1" si="82"/>
        <v>0.29697070946555482</v>
      </c>
      <c r="AG195" s="185">
        <f t="shared" ca="1" si="82"/>
        <v>0.30388076076931142</v>
      </c>
      <c r="AH195" s="185">
        <f t="shared" ca="1" si="82"/>
        <v>0.31025433463452701</v>
      </c>
      <c r="AI195" s="185">
        <f t="shared" ca="1" si="82"/>
        <v>0.31676208388051036</v>
      </c>
      <c r="AJ195" s="185">
        <f t="shared" ca="1" si="82"/>
        <v>0.32295338884576658</v>
      </c>
      <c r="AK195" s="185">
        <f t="shared" ca="1" si="82"/>
        <v>0.32929242548311966</v>
      </c>
      <c r="AL195" s="185">
        <f t="shared" ca="1" si="82"/>
        <v>0.33593311714899815</v>
      </c>
      <c r="AM195" s="185">
        <f t="shared" ca="1" si="82"/>
        <v>0.37211331241046708</v>
      </c>
      <c r="AN195" s="185">
        <f t="shared" ca="1" si="82"/>
        <v>0.41095353095771098</v>
      </c>
      <c r="AO195" s="185">
        <f t="shared" ca="1" si="82"/>
        <v>0.48553060755212774</v>
      </c>
      <c r="AP195" s="185">
        <f t="shared" ca="1" si="82"/>
        <v>0.56055102136084078</v>
      </c>
    </row>
    <row r="196" spans="1:42">
      <c r="A196" s="57" t="str">
        <f>'[4]TS BYDem'!A135</f>
        <v/>
      </c>
      <c r="B196" s="185" t="s">
        <v>288</v>
      </c>
      <c r="C196" s="185" t="s">
        <v>137</v>
      </c>
      <c r="D196" s="185" t="str">
        <f>'[4]TS BYDem'!D135</f>
        <v>IFBC</v>
      </c>
      <c r="E196" s="185" t="s">
        <v>137</v>
      </c>
      <c r="F196" s="185" t="s">
        <v>137</v>
      </c>
      <c r="G196" s="185" t="s">
        <v>137</v>
      </c>
      <c r="H196" s="185" t="s">
        <v>137</v>
      </c>
      <c r="I196" s="185">
        <v>0</v>
      </c>
      <c r="J196" s="185">
        <f>INDEX('[4]TS BYDem'!$J$10:$J$203,MATCH(D196,'[4]TS BYDem'!$D$10:$D$203,0))</f>
        <v>7.3442756504685454</v>
      </c>
      <c r="K196" s="185">
        <f t="shared" ca="1" si="79"/>
        <v>7.6144759121166459</v>
      </c>
      <c r="L196" s="185">
        <f t="shared" ca="1" si="79"/>
        <v>7.8176926911889026</v>
      </c>
      <c r="M196" s="192">
        <f t="shared" si="80"/>
        <v>6.8779200000000005</v>
      </c>
      <c r="N196" s="192">
        <f t="shared" si="81"/>
        <v>6.8779200000000005</v>
      </c>
      <c r="O196" s="192">
        <f>INDEX('[4]TS BYDem'!$O$10:$O$203,MATCH(D196,'[4]TS BYDem'!$D$10:$D$203,0))</f>
        <v>6.8779200000000005</v>
      </c>
      <c r="P196" s="185">
        <f t="shared" ca="1" si="79"/>
        <v>6.9757100169031503</v>
      </c>
      <c r="Q196" s="185">
        <f t="shared" ca="1" si="79"/>
        <v>6.9531890823038518</v>
      </c>
      <c r="R196" s="185">
        <f t="shared" ca="1" si="79"/>
        <v>6.6298575522307335</v>
      </c>
      <c r="S196" s="185">
        <f t="shared" ca="1" si="79"/>
        <v>6.9568634420340558</v>
      </c>
      <c r="T196" s="185">
        <f t="shared" ca="1" si="79"/>
        <v>7.0965041294758011</v>
      </c>
      <c r="U196" s="185">
        <f t="shared" ca="1" si="79"/>
        <v>7.2221569093858671</v>
      </c>
      <c r="V196" s="185">
        <f t="shared" ca="1" si="79"/>
        <v>7.3529432852317331</v>
      </c>
      <c r="W196" s="185">
        <f t="shared" ca="1" si="79"/>
        <v>7.4852856414397317</v>
      </c>
      <c r="X196" s="185">
        <f t="shared" ca="1" si="79"/>
        <v>7.6625129372785636</v>
      </c>
      <c r="Y196" s="185">
        <f t="shared" ca="1" si="79"/>
        <v>7.8352226073443818</v>
      </c>
      <c r="Z196" s="185">
        <f t="shared" ca="1" si="79"/>
        <v>8.0167400779889668</v>
      </c>
      <c r="AA196" s="185">
        <f t="shared" ca="1" si="82"/>
        <v>8.196217695484604</v>
      </c>
      <c r="AB196" s="185">
        <f t="shared" ca="1" si="82"/>
        <v>8.3529595538001047</v>
      </c>
      <c r="AC196" s="185">
        <f t="shared" ca="1" si="82"/>
        <v>8.5452843261315437</v>
      </c>
      <c r="AD196" s="185">
        <f t="shared" ca="1" si="82"/>
        <v>8.7401233344007085</v>
      </c>
      <c r="AE196" s="185">
        <f t="shared" ca="1" si="82"/>
        <v>8.9263569584846465</v>
      </c>
      <c r="AF196" s="185">
        <f t="shared" ca="1" si="82"/>
        <v>9.1071017569436794</v>
      </c>
      <c r="AG196" s="185">
        <f t="shared" ca="1" si="82"/>
        <v>9.3190099969255495</v>
      </c>
      <c r="AH196" s="185">
        <f t="shared" ca="1" si="82"/>
        <v>9.5144662621254952</v>
      </c>
      <c r="AI196" s="185">
        <f t="shared" ca="1" si="82"/>
        <v>9.7140372390023177</v>
      </c>
      <c r="AJ196" s="185">
        <f t="shared" ca="1" si="82"/>
        <v>9.9039039246035081</v>
      </c>
      <c r="AK196" s="185">
        <f t="shared" ca="1" si="82"/>
        <v>10.098301048149002</v>
      </c>
      <c r="AL196" s="185">
        <f t="shared" ca="1" si="82"/>
        <v>10.301948925902611</v>
      </c>
      <c r="AM196" s="185">
        <f t="shared" ca="1" si="82"/>
        <v>11.411474913920992</v>
      </c>
      <c r="AN196" s="185">
        <f t="shared" ca="1" si="82"/>
        <v>12.602574949369806</v>
      </c>
      <c r="AO196" s="185">
        <f t="shared" ca="1" si="82"/>
        <v>14.889605298265256</v>
      </c>
      <c r="AP196" s="185">
        <f t="shared" ca="1" si="82"/>
        <v>17.190231321732458</v>
      </c>
    </row>
    <row r="197" spans="1:42">
      <c r="A197" s="57" t="str">
        <f>'[4]TS BYDem'!A136</f>
        <v/>
      </c>
      <c r="B197" s="185" t="s">
        <v>288</v>
      </c>
      <c r="C197" s="185" t="s">
        <v>137</v>
      </c>
      <c r="D197" s="185" t="str">
        <f>'[4]TS BYDem'!D136</f>
        <v>IFBH</v>
      </c>
      <c r="E197" s="185" t="s">
        <v>137</v>
      </c>
      <c r="F197" s="185" t="s">
        <v>137</v>
      </c>
      <c r="G197" s="185" t="s">
        <v>137</v>
      </c>
      <c r="H197" s="185" t="s">
        <v>137</v>
      </c>
      <c r="I197" s="185">
        <v>0</v>
      </c>
      <c r="J197" s="185">
        <f>INDEX('[4]TS BYDem'!$J$10:$J$203,MATCH(D197,'[4]TS BYDem'!$D$10:$D$203,0))</f>
        <v>0.86215409809848131</v>
      </c>
      <c r="K197" s="185">
        <f t="shared" ca="1" si="79"/>
        <v>0.89387325924847572</v>
      </c>
      <c r="L197" s="185">
        <f t="shared" ca="1" si="79"/>
        <v>0.91772914200913203</v>
      </c>
      <c r="M197" s="192">
        <f t="shared" si="80"/>
        <v>0.8074079999999999</v>
      </c>
      <c r="N197" s="192">
        <f t="shared" si="81"/>
        <v>0.8074079999999999</v>
      </c>
      <c r="O197" s="192">
        <f>INDEX('[4]TS BYDem'!$O$10:$O$203,MATCH(D197,'[4]TS BYDem'!$D$10:$D$203,0))</f>
        <v>0.8074079999999999</v>
      </c>
      <c r="P197" s="185">
        <f t="shared" ca="1" si="79"/>
        <v>0.81888769763645664</v>
      </c>
      <c r="Q197" s="185">
        <f t="shared" ca="1" si="79"/>
        <v>0.8162439357487129</v>
      </c>
      <c r="R197" s="185">
        <f t="shared" ca="1" si="79"/>
        <v>0.77828762569665122</v>
      </c>
      <c r="S197" s="185">
        <f t="shared" ca="1" si="79"/>
        <v>0.81667527363008474</v>
      </c>
      <c r="T197" s="185">
        <f t="shared" ca="1" si="79"/>
        <v>0.83306787606889832</v>
      </c>
      <c r="U197" s="185">
        <f t="shared" ca="1" si="79"/>
        <v>0.84781841979747119</v>
      </c>
      <c r="V197" s="185">
        <f t="shared" ca="1" si="79"/>
        <v>0.86317160304894247</v>
      </c>
      <c r="W197" s="185">
        <f t="shared" ca="1" si="79"/>
        <v>0.87870744486466401</v>
      </c>
      <c r="X197" s="185">
        <f t="shared" ca="1" si="79"/>
        <v>0.89951238828922253</v>
      </c>
      <c r="Y197" s="185">
        <f t="shared" ca="1" si="79"/>
        <v>0.91978700173173167</v>
      </c>
      <c r="Z197" s="185">
        <f t="shared" ca="1" si="79"/>
        <v>0.94109557437261782</v>
      </c>
      <c r="AA197" s="185">
        <f t="shared" ca="1" si="82"/>
        <v>0.96216468599167093</v>
      </c>
      <c r="AB197" s="185">
        <f t="shared" ca="1" si="82"/>
        <v>0.98056481718522959</v>
      </c>
      <c r="AC197" s="185">
        <f t="shared" ca="1" si="82"/>
        <v>1.0031420730676159</v>
      </c>
      <c r="AD197" s="185">
        <f t="shared" ca="1" si="82"/>
        <v>1.02601447838617</v>
      </c>
      <c r="AE197" s="185">
        <f t="shared" ca="1" si="82"/>
        <v>1.0478766864308062</v>
      </c>
      <c r="AF197" s="185">
        <f t="shared" ca="1" si="82"/>
        <v>1.0690945540759971</v>
      </c>
      <c r="AG197" s="185">
        <f t="shared" ca="1" si="82"/>
        <v>1.093970738769521</v>
      </c>
      <c r="AH197" s="185">
        <f t="shared" ca="1" si="82"/>
        <v>1.1169156046842972</v>
      </c>
      <c r="AI197" s="185">
        <f t="shared" ca="1" si="82"/>
        <v>1.1403435019698374</v>
      </c>
      <c r="AJ197" s="185">
        <f t="shared" ca="1" si="82"/>
        <v>1.1626321998447597</v>
      </c>
      <c r="AK197" s="185">
        <f t="shared" ca="1" si="82"/>
        <v>1.1854527317392309</v>
      </c>
      <c r="AL197" s="185">
        <f t="shared" ca="1" si="82"/>
        <v>1.2093592217363935</v>
      </c>
      <c r="AM197" s="185">
        <f t="shared" ca="1" si="82"/>
        <v>1.3396079246776817</v>
      </c>
      <c r="AN197" s="185">
        <f t="shared" ca="1" si="82"/>
        <v>1.4794327114477599</v>
      </c>
      <c r="AO197" s="185">
        <f t="shared" ca="1" si="82"/>
        <v>1.7479101871876603</v>
      </c>
      <c r="AP197" s="185">
        <f t="shared" ca="1" si="82"/>
        <v>2.0179836768990276</v>
      </c>
    </row>
    <row r="198" spans="1:42">
      <c r="A198" s="57" t="str">
        <f>'[4]TS BYDem'!A137</f>
        <v/>
      </c>
      <c r="B198" s="185" t="s">
        <v>288</v>
      </c>
      <c r="C198" s="185" t="s">
        <v>137</v>
      </c>
      <c r="D198" s="185" t="str">
        <f>'[4]TS BYDem'!D137</f>
        <v>IFBP</v>
      </c>
      <c r="E198" s="185" t="s">
        <v>137</v>
      </c>
      <c r="F198" s="185" t="s">
        <v>137</v>
      </c>
      <c r="G198" s="185" t="s">
        <v>137</v>
      </c>
      <c r="H198" s="185" t="s">
        <v>137</v>
      </c>
      <c r="I198" s="185">
        <v>0</v>
      </c>
      <c r="J198" s="185">
        <f>INDEX('[4]TS BYDem'!$J$10:$J$203,MATCH(D198,'[4]TS BYDem'!$D$10:$D$203,0))</f>
        <v>3.576342925445553</v>
      </c>
      <c r="K198" s="185">
        <f t="shared" ca="1" si="79"/>
        <v>3.707918705030715</v>
      </c>
      <c r="L198" s="185">
        <f t="shared" ca="1" si="79"/>
        <v>3.8068764409267706</v>
      </c>
      <c r="M198" s="192">
        <f t="shared" si="80"/>
        <v>3.3492480000000002</v>
      </c>
      <c r="N198" s="192">
        <f t="shared" si="81"/>
        <v>3.3492480000000002</v>
      </c>
      <c r="O198" s="192">
        <f>INDEX('[4]TS BYDem'!$O$10:$O$203,MATCH(D198,'[4]TS BYDem'!$D$10:$D$203,0))</f>
        <v>3.3492480000000002</v>
      </c>
      <c r="P198" s="185">
        <f t="shared" ca="1" si="79"/>
        <v>3.3968674864919688</v>
      </c>
      <c r="Q198" s="185">
        <f t="shared" ca="1" si="79"/>
        <v>3.3859007705131798</v>
      </c>
      <c r="R198" s="185">
        <f t="shared" ca="1" si="79"/>
        <v>3.2284523732601831</v>
      </c>
      <c r="S198" s="185">
        <f t="shared" ca="1" si="79"/>
        <v>3.3876900239470182</v>
      </c>
      <c r="T198" s="185">
        <f t="shared" ca="1" si="79"/>
        <v>3.4556889673969118</v>
      </c>
      <c r="U198" s="185">
        <f t="shared" ca="1" si="79"/>
        <v>3.5168764080487698</v>
      </c>
      <c r="V198" s="185">
        <f t="shared" ca="1" si="79"/>
        <v>3.5805636867215394</v>
      </c>
      <c r="W198" s="185">
        <f t="shared" ca="1" si="79"/>
        <v>3.6450086601793474</v>
      </c>
      <c r="X198" s="185">
        <f t="shared" ca="1" si="79"/>
        <v>3.7313106477182569</v>
      </c>
      <c r="Y198" s="185">
        <f t="shared" ca="1" si="79"/>
        <v>3.8154127479242206</v>
      </c>
      <c r="Z198" s="185">
        <f t="shared" ca="1" si="79"/>
        <v>3.9038038640641926</v>
      </c>
      <c r="AA198" s="185">
        <f t="shared" ca="1" si="82"/>
        <v>3.9912016604098945</v>
      </c>
      <c r="AB198" s="185">
        <f t="shared" ca="1" si="82"/>
        <v>4.0675281305461377</v>
      </c>
      <c r="AC198" s="185">
        <f t="shared" ca="1" si="82"/>
        <v>4.1611819327249258</v>
      </c>
      <c r="AD198" s="185">
        <f t="shared" ca="1" si="82"/>
        <v>4.25606005849078</v>
      </c>
      <c r="AE198" s="185">
        <f t="shared" ca="1" si="82"/>
        <v>4.3467477363055673</v>
      </c>
      <c r="AF198" s="185">
        <f t="shared" ca="1" si="82"/>
        <v>4.4347625946856182</v>
      </c>
      <c r="AG198" s="185">
        <f t="shared" ca="1" si="82"/>
        <v>4.5379526941550505</v>
      </c>
      <c r="AH198" s="185">
        <f t="shared" ca="1" si="82"/>
        <v>4.6331313972089365</v>
      </c>
      <c r="AI198" s="185">
        <f t="shared" ca="1" si="82"/>
        <v>4.7303137859489546</v>
      </c>
      <c r="AJ198" s="185">
        <f t="shared" ca="1" si="82"/>
        <v>4.8227706067634477</v>
      </c>
      <c r="AK198" s="185">
        <f t="shared" ca="1" si="82"/>
        <v>4.9174335538812537</v>
      </c>
      <c r="AL198" s="185">
        <f t="shared" ca="1" si="82"/>
        <v>5.016601216091706</v>
      </c>
      <c r="AM198" s="185">
        <f t="shared" ca="1" si="82"/>
        <v>5.5568921319963085</v>
      </c>
      <c r="AN198" s="185">
        <f t="shared" ca="1" si="82"/>
        <v>6.1369060623018177</v>
      </c>
      <c r="AO198" s="185">
        <f t="shared" ca="1" si="82"/>
        <v>7.2505904061117752</v>
      </c>
      <c r="AP198" s="185">
        <f t="shared" ca="1" si="82"/>
        <v>8.3708952523218905</v>
      </c>
    </row>
    <row r="199" spans="1:42">
      <c r="A199" s="57" t="str">
        <f>'[4]TS BYDem'!A138</f>
        <v/>
      </c>
      <c r="B199" s="185" t="s">
        <v>288</v>
      </c>
      <c r="C199" s="185" t="s">
        <v>137</v>
      </c>
      <c r="D199" s="185" t="str">
        <f>'[4]TS BYDem'!D138</f>
        <v>IFBF</v>
      </c>
      <c r="E199" s="185" t="s">
        <v>137</v>
      </c>
      <c r="F199" s="185" t="s">
        <v>137</v>
      </c>
      <c r="G199" s="185" t="s">
        <v>137</v>
      </c>
      <c r="H199" s="185" t="s">
        <v>137</v>
      </c>
      <c r="I199" s="185">
        <v>0</v>
      </c>
      <c r="J199" s="185">
        <f>INDEX('[4]TS BYDem'!$J$10:$J$203,MATCH(D199,'[4]TS BYDem'!$D$10:$D$203,0))</f>
        <v>0.51090613220650749</v>
      </c>
      <c r="K199" s="185">
        <f t="shared" ca="1" si="79"/>
        <v>0.52970267214724498</v>
      </c>
      <c r="L199" s="185">
        <f t="shared" ca="1" si="79"/>
        <v>0.54383949156096723</v>
      </c>
      <c r="M199" s="192">
        <f t="shared" si="80"/>
        <v>0.47846400000000006</v>
      </c>
      <c r="N199" s="192">
        <f t="shared" si="81"/>
        <v>0.47846400000000006</v>
      </c>
      <c r="O199" s="192">
        <f>INDEX('[4]TS BYDem'!$O$10:$O$203,MATCH(D199,'[4]TS BYDem'!$D$10:$D$203,0))</f>
        <v>0.47846400000000006</v>
      </c>
      <c r="P199" s="185">
        <f t="shared" ca="1" si="79"/>
        <v>0.485266783784567</v>
      </c>
      <c r="Q199" s="185">
        <f t="shared" ca="1" si="79"/>
        <v>0.48370011007331143</v>
      </c>
      <c r="R199" s="185">
        <f t="shared" ca="1" si="79"/>
        <v>0.46120748189431188</v>
      </c>
      <c r="S199" s="185">
        <f t="shared" ca="1" si="79"/>
        <v>0.48395571770671691</v>
      </c>
      <c r="T199" s="185">
        <f t="shared" ca="1" si="79"/>
        <v>0.49366985248527312</v>
      </c>
      <c r="U199" s="185">
        <f t="shared" ca="1" si="79"/>
        <v>0.50241091543553851</v>
      </c>
      <c r="V199" s="185">
        <f t="shared" ca="1" si="79"/>
        <v>0.51150909810307699</v>
      </c>
      <c r="W199" s="185">
        <f t="shared" ca="1" si="79"/>
        <v>0.52071552288276379</v>
      </c>
      <c r="X199" s="185">
        <f t="shared" ca="1" si="79"/>
        <v>0.53304437824546513</v>
      </c>
      <c r="Y199" s="185">
        <f t="shared" ca="1" si="79"/>
        <v>0.54505896398917419</v>
      </c>
      <c r="Z199" s="185">
        <f t="shared" ca="1" si="79"/>
        <v>0.55768626629488449</v>
      </c>
      <c r="AA199" s="185">
        <f t="shared" ca="1" si="82"/>
        <v>0.57017166577284195</v>
      </c>
      <c r="AB199" s="185">
        <f t="shared" ca="1" si="82"/>
        <v>0.58107544722087667</v>
      </c>
      <c r="AC199" s="185">
        <f t="shared" ca="1" si="82"/>
        <v>0.59445456181784639</v>
      </c>
      <c r="AD199" s="185">
        <f t="shared" ca="1" si="82"/>
        <v>0.60800857978439693</v>
      </c>
      <c r="AE199" s="185">
        <f t="shared" ca="1" si="82"/>
        <v>0.62096396232936646</v>
      </c>
      <c r="AF199" s="185">
        <f t="shared" ca="1" si="82"/>
        <v>0.63353751352651666</v>
      </c>
      <c r="AG199" s="185">
        <f t="shared" ca="1" si="82"/>
        <v>0.64827895630786414</v>
      </c>
      <c r="AH199" s="185">
        <f t="shared" ca="1" si="82"/>
        <v>0.66187591388699074</v>
      </c>
      <c r="AI199" s="185">
        <f t="shared" ca="1" si="82"/>
        <v>0.67575911227842189</v>
      </c>
      <c r="AJ199" s="185">
        <f t="shared" ca="1" si="82"/>
        <v>0.68896722953763512</v>
      </c>
      <c r="AK199" s="185">
        <f t="shared" ca="1" si="82"/>
        <v>0.70249050769732169</v>
      </c>
      <c r="AL199" s="185">
        <f t="shared" ca="1" si="82"/>
        <v>0.71665731658452914</v>
      </c>
      <c r="AM199" s="185">
        <f t="shared" ca="1" si="82"/>
        <v>0.79384173314232953</v>
      </c>
      <c r="AN199" s="185">
        <f t="shared" ca="1" si="82"/>
        <v>0.87670086604311659</v>
      </c>
      <c r="AO199" s="185">
        <f t="shared" ca="1" si="82"/>
        <v>1.0357986294445389</v>
      </c>
      <c r="AP199" s="185">
        <f t="shared" ca="1" si="82"/>
        <v>1.1958421789031268</v>
      </c>
    </row>
    <row r="200" spans="1:42">
      <c r="A200" s="57" t="str">
        <f>'[4]TS BYDem'!A139</f>
        <v/>
      </c>
      <c r="B200" s="185" t="s">
        <v>288</v>
      </c>
      <c r="C200" s="185" t="s">
        <v>137</v>
      </c>
      <c r="D200" s="185" t="str">
        <f>'[4]TS BYDem'!D139</f>
        <v>IFBO</v>
      </c>
      <c r="E200" s="185" t="s">
        <v>137</v>
      </c>
      <c r="F200" s="185" t="s">
        <v>137</v>
      </c>
      <c r="G200" s="185" t="s">
        <v>137</v>
      </c>
      <c r="H200" s="185" t="s">
        <v>137</v>
      </c>
      <c r="I200" s="185">
        <v>0</v>
      </c>
      <c r="J200" s="185">
        <f>INDEX('[4]TS BYDem'!$J$10:$J$203,MATCH(D200,'[4]TS BYDem'!$D$10:$D$203,0))</f>
        <v>2.6822571940841642</v>
      </c>
      <c r="K200" s="185">
        <f t="shared" ca="1" si="79"/>
        <v>2.7809390287730356</v>
      </c>
      <c r="L200" s="185">
        <f t="shared" ca="1" si="79"/>
        <v>2.8551573306950773</v>
      </c>
      <c r="M200" s="192">
        <f t="shared" si="80"/>
        <v>2.5119360000000004</v>
      </c>
      <c r="N200" s="192">
        <f t="shared" si="81"/>
        <v>2.5119360000000004</v>
      </c>
      <c r="O200" s="192">
        <f>INDEX('[4]TS BYDem'!$O$10:$O$203,MATCH(D200,'[4]TS BYDem'!$D$10:$D$203,0))</f>
        <v>2.5119360000000004</v>
      </c>
      <c r="P200" s="185">
        <f t="shared" ca="1" si="79"/>
        <v>2.547650614868977</v>
      </c>
      <c r="Q200" s="185">
        <f t="shared" ca="1" si="79"/>
        <v>2.5394255778848853</v>
      </c>
      <c r="R200" s="185">
        <f t="shared" ca="1" si="79"/>
        <v>2.4213392799451379</v>
      </c>
      <c r="S200" s="185">
        <f t="shared" ca="1" si="79"/>
        <v>2.5407675179602642</v>
      </c>
      <c r="T200" s="185">
        <f t="shared" ca="1" si="79"/>
        <v>2.5917667255476844</v>
      </c>
      <c r="U200" s="185">
        <f t="shared" ca="1" si="79"/>
        <v>2.6376573060365778</v>
      </c>
      <c r="V200" s="185">
        <f t="shared" ca="1" si="79"/>
        <v>2.6854227650411548</v>
      </c>
      <c r="W200" s="185">
        <f t="shared" ca="1" si="79"/>
        <v>2.7337564951345108</v>
      </c>
      <c r="X200" s="185">
        <f t="shared" ca="1" si="79"/>
        <v>2.7984829857886928</v>
      </c>
      <c r="Y200" s="185">
        <f t="shared" ca="1" si="79"/>
        <v>2.8615595609431654</v>
      </c>
      <c r="Z200" s="185">
        <f t="shared" ca="1" si="79"/>
        <v>2.9278528980481444</v>
      </c>
      <c r="AA200" s="185">
        <f t="shared" ca="1" si="82"/>
        <v>2.993401245307421</v>
      </c>
      <c r="AB200" s="185">
        <f t="shared" ca="1" si="82"/>
        <v>3.0506460979096035</v>
      </c>
      <c r="AC200" s="185">
        <f t="shared" ca="1" si="82"/>
        <v>3.1208864495436943</v>
      </c>
      <c r="AD200" s="185">
        <f t="shared" ca="1" si="82"/>
        <v>3.192045043868085</v>
      </c>
      <c r="AE200" s="185">
        <f t="shared" ca="1" si="82"/>
        <v>3.2600608022291753</v>
      </c>
      <c r="AF200" s="185">
        <f t="shared" ca="1" si="82"/>
        <v>3.3260719460142134</v>
      </c>
      <c r="AG200" s="185">
        <f t="shared" ca="1" si="82"/>
        <v>3.4034645206162875</v>
      </c>
      <c r="AH200" s="185">
        <f t="shared" ca="1" si="82"/>
        <v>3.4748485479067019</v>
      </c>
      <c r="AI200" s="185">
        <f t="shared" ca="1" si="82"/>
        <v>3.5477353394617155</v>
      </c>
      <c r="AJ200" s="185">
        <f t="shared" ca="1" si="82"/>
        <v>3.6170779550725851</v>
      </c>
      <c r="AK200" s="185">
        <f t="shared" ca="1" si="82"/>
        <v>3.6880751654109396</v>
      </c>
      <c r="AL200" s="185">
        <f t="shared" ca="1" si="82"/>
        <v>3.762450912068779</v>
      </c>
      <c r="AM200" s="185">
        <f t="shared" ca="1" si="82"/>
        <v>4.1676690989972309</v>
      </c>
      <c r="AN200" s="185">
        <f t="shared" ca="1" si="82"/>
        <v>4.602679546726363</v>
      </c>
      <c r="AO200" s="185">
        <f t="shared" ca="1" si="82"/>
        <v>5.4379428045838312</v>
      </c>
      <c r="AP200" s="185">
        <f t="shared" ca="1" si="82"/>
        <v>6.2781714392414179</v>
      </c>
    </row>
    <row r="201" spans="1:42">
      <c r="A201" s="57" t="str">
        <f>'[4]TS BYDem'!A140</f>
        <v/>
      </c>
      <c r="B201" s="185" t="s">
        <v>288</v>
      </c>
      <c r="C201" s="185" t="s">
        <v>137</v>
      </c>
      <c r="D201" s="185" t="str">
        <f>'[4]TS BYDem'!D140</f>
        <v>IFBE</v>
      </c>
      <c r="E201" s="185" t="s">
        <v>137</v>
      </c>
      <c r="F201" s="185" t="s">
        <v>137</v>
      </c>
      <c r="G201" s="185" t="s">
        <v>137</v>
      </c>
      <c r="H201" s="185" t="s">
        <v>137</v>
      </c>
      <c r="I201" s="185">
        <v>0</v>
      </c>
      <c r="J201" s="185">
        <f>INDEX('[4]TS BYDem'!$J$10:$J$203,MATCH(D201,'[4]TS BYDem'!$D$10:$D$203,0))</f>
        <v>0</v>
      </c>
      <c r="K201" s="185">
        <f t="shared" ca="1" si="79"/>
        <v>0</v>
      </c>
      <c r="L201" s="185">
        <f t="shared" ca="1" si="79"/>
        <v>0</v>
      </c>
      <c r="M201" s="192">
        <f t="shared" si="80"/>
        <v>0</v>
      </c>
      <c r="N201" s="192">
        <f t="shared" si="81"/>
        <v>0</v>
      </c>
      <c r="O201" s="192">
        <f>INDEX('[4]TS BYDem'!$O$10:$O$203,MATCH(D201,'[4]TS BYDem'!$D$10:$D$203,0))</f>
        <v>0</v>
      </c>
      <c r="P201" s="185">
        <f t="shared" ca="1" si="79"/>
        <v>0</v>
      </c>
      <c r="Q201" s="185">
        <f t="shared" ca="1" si="79"/>
        <v>0</v>
      </c>
      <c r="R201" s="185">
        <f t="shared" ca="1" si="79"/>
        <v>0</v>
      </c>
      <c r="S201" s="185">
        <f t="shared" ca="1" si="79"/>
        <v>0</v>
      </c>
      <c r="T201" s="185">
        <f t="shared" ca="1" si="79"/>
        <v>0</v>
      </c>
      <c r="U201" s="185">
        <f t="shared" ca="1" si="79"/>
        <v>0</v>
      </c>
      <c r="V201" s="185">
        <f t="shared" ca="1" si="79"/>
        <v>0</v>
      </c>
      <c r="W201" s="185">
        <f t="shared" ca="1" si="79"/>
        <v>0</v>
      </c>
      <c r="X201" s="185">
        <f t="shared" ca="1" si="79"/>
        <v>0</v>
      </c>
      <c r="Y201" s="185">
        <f t="shared" ca="1" si="79"/>
        <v>0</v>
      </c>
      <c r="Z201" s="185">
        <f t="shared" ca="1" si="79"/>
        <v>0</v>
      </c>
      <c r="AA201" s="185">
        <f t="shared" ca="1" si="82"/>
        <v>0</v>
      </c>
      <c r="AB201" s="185">
        <f t="shared" ca="1" si="82"/>
        <v>0</v>
      </c>
      <c r="AC201" s="185">
        <f t="shared" ca="1" si="82"/>
        <v>0</v>
      </c>
      <c r="AD201" s="185">
        <f t="shared" ca="1" si="82"/>
        <v>0</v>
      </c>
      <c r="AE201" s="185">
        <f t="shared" ca="1" si="82"/>
        <v>0</v>
      </c>
      <c r="AF201" s="185">
        <f t="shared" ca="1" si="82"/>
        <v>0</v>
      </c>
      <c r="AG201" s="185">
        <f t="shared" ca="1" si="82"/>
        <v>0</v>
      </c>
      <c r="AH201" s="185">
        <f t="shared" ca="1" si="82"/>
        <v>0</v>
      </c>
      <c r="AI201" s="185">
        <f t="shared" ca="1" si="82"/>
        <v>0</v>
      </c>
      <c r="AJ201" s="185">
        <f t="shared" ca="1" si="82"/>
        <v>0</v>
      </c>
      <c r="AK201" s="185">
        <f t="shared" ca="1" si="82"/>
        <v>0</v>
      </c>
      <c r="AL201" s="185">
        <f t="shared" ca="1" si="82"/>
        <v>0</v>
      </c>
      <c r="AM201" s="185">
        <f t="shared" ca="1" si="82"/>
        <v>0</v>
      </c>
      <c r="AN201" s="185">
        <f t="shared" ca="1" si="82"/>
        <v>0</v>
      </c>
      <c r="AO201" s="185">
        <f t="shared" ca="1" si="82"/>
        <v>0</v>
      </c>
      <c r="AP201" s="185">
        <f t="shared" ca="1" si="82"/>
        <v>0</v>
      </c>
    </row>
    <row r="202" spans="1:42">
      <c r="A202" s="57" t="str">
        <f>'[4]TS BYDem'!A141</f>
        <v>*</v>
      </c>
      <c r="B202" s="185" t="s">
        <v>288</v>
      </c>
      <c r="C202" s="185" t="s">
        <v>137</v>
      </c>
      <c r="D202" s="185" t="str">
        <f>'[4]TS BYDem'!D141</f>
        <v xml:space="preserve"> </v>
      </c>
      <c r="E202" s="185" t="s">
        <v>137</v>
      </c>
      <c r="F202" s="185" t="s">
        <v>137</v>
      </c>
      <c r="G202" s="185" t="s">
        <v>137</v>
      </c>
      <c r="H202" s="185" t="s">
        <v>137</v>
      </c>
      <c r="I202" s="185">
        <v>0</v>
      </c>
      <c r="J202" s="185" t="str">
        <f>INDEX('[4]TS BYDem'!$J$10:$J$203,MATCH(D202,'[4]TS BYDem'!$D$10:$D$203,0))</f>
        <v/>
      </c>
      <c r="K202" s="185" t="e">
        <f t="shared" ca="1" si="79"/>
        <v>#VALUE!</v>
      </c>
      <c r="L202" s="185" t="e">
        <f t="shared" ca="1" si="79"/>
        <v>#VALUE!</v>
      </c>
      <c r="M202" s="185" t="e">
        <f t="shared" ca="1" si="79"/>
        <v>#VALUE!</v>
      </c>
      <c r="N202" s="185" t="e">
        <f t="shared" ca="1" si="79"/>
        <v>#VALUE!</v>
      </c>
      <c r="O202" s="185" t="e">
        <f t="shared" ca="1" si="79"/>
        <v>#VALUE!</v>
      </c>
      <c r="P202" s="185" t="e">
        <f t="shared" ca="1" si="79"/>
        <v>#VALUE!</v>
      </c>
      <c r="Q202" s="185" t="e">
        <f t="shared" ca="1" si="79"/>
        <v>#VALUE!</v>
      </c>
      <c r="R202" s="185" t="e">
        <f t="shared" ca="1" si="79"/>
        <v>#VALUE!</v>
      </c>
      <c r="S202" s="185" t="e">
        <f t="shared" ca="1" si="79"/>
        <v>#VALUE!</v>
      </c>
      <c r="T202" s="185" t="e">
        <f t="shared" ca="1" si="79"/>
        <v>#VALUE!</v>
      </c>
      <c r="U202" s="185" t="e">
        <f t="shared" ca="1" si="79"/>
        <v>#VALUE!</v>
      </c>
      <c r="V202" s="185" t="e">
        <f t="shared" ca="1" si="79"/>
        <v>#VALUE!</v>
      </c>
      <c r="W202" s="185" t="e">
        <f t="shared" ca="1" si="79"/>
        <v>#VALUE!</v>
      </c>
      <c r="X202" s="185" t="e">
        <f t="shared" ca="1" si="79"/>
        <v>#VALUE!</v>
      </c>
      <c r="Y202" s="185" t="e">
        <f t="shared" ca="1" si="79"/>
        <v>#VALUE!</v>
      </c>
      <c r="Z202" s="185" t="e">
        <f t="shared" ca="1" si="79"/>
        <v>#VALUE!</v>
      </c>
      <c r="AA202" s="185" t="e">
        <f t="shared" ca="1" si="82"/>
        <v>#VALUE!</v>
      </c>
      <c r="AB202" s="185" t="e">
        <f t="shared" ca="1" si="82"/>
        <v>#VALUE!</v>
      </c>
      <c r="AC202" s="185" t="e">
        <f t="shared" ca="1" si="82"/>
        <v>#VALUE!</v>
      </c>
      <c r="AD202" s="185" t="e">
        <f t="shared" ca="1" si="82"/>
        <v>#VALUE!</v>
      </c>
      <c r="AE202" s="185" t="e">
        <f t="shared" ca="1" si="82"/>
        <v>#VALUE!</v>
      </c>
      <c r="AF202" s="185" t="e">
        <f t="shared" ca="1" si="82"/>
        <v>#VALUE!</v>
      </c>
      <c r="AG202" s="185" t="e">
        <f t="shared" ca="1" si="82"/>
        <v>#VALUE!</v>
      </c>
      <c r="AH202" s="185" t="e">
        <f t="shared" ca="1" si="82"/>
        <v>#VALUE!</v>
      </c>
      <c r="AI202" s="185" t="e">
        <f t="shared" ca="1" si="82"/>
        <v>#VALUE!</v>
      </c>
      <c r="AJ202" s="185" t="e">
        <f t="shared" ca="1" si="82"/>
        <v>#VALUE!</v>
      </c>
      <c r="AK202" s="185" t="e">
        <f t="shared" ca="1" si="82"/>
        <v>#VALUE!</v>
      </c>
      <c r="AL202" s="185" t="e">
        <f t="shared" ca="1" si="82"/>
        <v>#VALUE!</v>
      </c>
      <c r="AM202" s="185" t="e">
        <f t="shared" ca="1" si="82"/>
        <v>#VALUE!</v>
      </c>
      <c r="AN202" s="185" t="e">
        <f t="shared" ca="1" si="82"/>
        <v>#VALUE!</v>
      </c>
      <c r="AO202" s="185" t="e">
        <f t="shared" ca="1" si="82"/>
        <v>#VALUE!</v>
      </c>
      <c r="AP202" s="185" t="e">
        <f t="shared" ca="1" si="82"/>
        <v>#VALUE!</v>
      </c>
    </row>
    <row r="203" spans="1:42">
      <c r="A203" s="57" t="str">
        <f>'[4]TS BYDem'!A142</f>
        <v/>
      </c>
      <c r="B203" s="185" t="s">
        <v>288</v>
      </c>
      <c r="C203" s="185" t="s">
        <v>137</v>
      </c>
      <c r="D203" s="185" t="str">
        <f>'[4]TS BYDem'!D142</f>
        <v>IFBS</v>
      </c>
      <c r="E203" s="185" t="s">
        <v>137</v>
      </c>
      <c r="F203" s="185" t="s">
        <v>137</v>
      </c>
      <c r="G203" s="185" t="s">
        <v>137</v>
      </c>
      <c r="H203" s="185" t="s">
        <v>137</v>
      </c>
      <c r="I203" s="185">
        <v>0</v>
      </c>
      <c r="J203" s="185">
        <f>INDEX('[4]TS BYDem'!$J$10:$J$203,MATCH(D203,'[4]TS BYDem'!$D$10:$D$203,0))</f>
        <v>20.421862032418336</v>
      </c>
      <c r="K203" s="185">
        <f t="shared" ca="1" si="79"/>
        <v>21.173194461525735</v>
      </c>
      <c r="L203" s="185">
        <f t="shared" ca="1" si="79"/>
        <v>21.738269252069756</v>
      </c>
      <c r="M203" s="192">
        <f t="shared" ref="M203" si="83">O203</f>
        <v>6.8922304000000008</v>
      </c>
      <c r="N203" s="192">
        <f t="shared" ref="N203" si="84">O203</f>
        <v>6.8922304000000008</v>
      </c>
      <c r="O203" s="192">
        <f>INDEX('[4]TS BYDem'!$O$10:$O$203,MATCH(D203,'[4]TS BYDem'!$D$10:$D$203,0))</f>
        <v>6.8922304000000008</v>
      </c>
      <c r="P203" s="185">
        <f t="shared" ca="1" si="79"/>
        <v>6.9902238816509072</v>
      </c>
      <c r="Q203" s="185">
        <f t="shared" ca="1" si="79"/>
        <v>6.9676560893413573</v>
      </c>
      <c r="R203" s="185">
        <f t="shared" ca="1" si="79"/>
        <v>6.6436518263013014</v>
      </c>
      <c r="S203" s="185">
        <f t="shared" ca="1" si="79"/>
        <v>6.971338094051073</v>
      </c>
      <c r="T203" s="185">
        <f t="shared" ca="1" si="79"/>
        <v>7.1112693219605134</v>
      </c>
      <c r="U203" s="185">
        <f t="shared" ca="1" si="79"/>
        <v>7.2371835386918306</v>
      </c>
      <c r="V203" s="185">
        <f t="shared" ca="1" si="79"/>
        <v>7.3682420324676672</v>
      </c>
      <c r="W203" s="185">
        <f t="shared" ca="1" si="79"/>
        <v>7.5008597440235443</v>
      </c>
      <c r="X203" s="185">
        <f t="shared" ca="1" si="79"/>
        <v>7.678455784118543</v>
      </c>
      <c r="Y203" s="185">
        <f t="shared" ca="1" si="79"/>
        <v>7.8515247989372101</v>
      </c>
      <c r="Z203" s="185">
        <f t="shared" ca="1" si="79"/>
        <v>8.0334199401001953</v>
      </c>
      <c r="AA203" s="185">
        <f t="shared" ca="1" si="82"/>
        <v>8.2132709839365603</v>
      </c>
      <c r="AB203" s="185">
        <f t="shared" ca="1" si="82"/>
        <v>8.3703389639122765</v>
      </c>
      <c r="AC203" s="185">
        <f t="shared" ca="1" si="82"/>
        <v>8.5630638927477136</v>
      </c>
      <c r="AD203" s="185">
        <f t="shared" ca="1" si="82"/>
        <v>8.7583082887131489</v>
      </c>
      <c r="AE203" s="185">
        <f t="shared" ca="1" si="82"/>
        <v>8.9449293958812301</v>
      </c>
      <c r="AF203" s="185">
        <f t="shared" ca="1" si="82"/>
        <v>9.1260502572144855</v>
      </c>
      <c r="AG203" s="185">
        <f t="shared" ca="1" si="82"/>
        <v>9.3383993996316033</v>
      </c>
      <c r="AH203" s="185">
        <f t="shared" ca="1" si="82"/>
        <v>9.5342623368105066</v>
      </c>
      <c r="AI203" s="185">
        <f t="shared" ca="1" si="82"/>
        <v>9.7342485468548432</v>
      </c>
      <c r="AJ203" s="185">
        <f t="shared" ca="1" si="82"/>
        <v>9.9245102745934286</v>
      </c>
      <c r="AK203" s="185">
        <f t="shared" ca="1" si="82"/>
        <v>10.119311866437011</v>
      </c>
      <c r="AL203" s="185">
        <f t="shared" ca="1" si="82"/>
        <v>10.323383459876437</v>
      </c>
      <c r="AM203" s="185">
        <f t="shared" ca="1" si="82"/>
        <v>11.435217959872123</v>
      </c>
      <c r="AN203" s="185">
        <f t="shared" ca="1" si="82"/>
        <v>12.628796232629206</v>
      </c>
      <c r="AO203" s="185">
        <f t="shared" ca="1" si="82"/>
        <v>14.920585043255066</v>
      </c>
      <c r="AP203" s="185">
        <f t="shared" ca="1" si="82"/>
        <v>17.22599781600784</v>
      </c>
    </row>
    <row r="204" spans="1:42">
      <c r="A204" s="57" t="str">
        <f>'[4]TS BYDem'!A143</f>
        <v>*</v>
      </c>
      <c r="B204" s="185" t="s">
        <v>288</v>
      </c>
      <c r="C204" s="185" t="s">
        <v>137</v>
      </c>
      <c r="D204" s="185" t="str">
        <f>'[4]TS BYDem'!D143</f>
        <v>IFBS</v>
      </c>
      <c r="E204" s="185" t="s">
        <v>137</v>
      </c>
      <c r="F204" s="185" t="s">
        <v>137</v>
      </c>
      <c r="G204" s="185" t="s">
        <v>137</v>
      </c>
      <c r="H204" s="185" t="s">
        <v>137</v>
      </c>
      <c r="I204" s="185">
        <v>0</v>
      </c>
      <c r="J204" s="185">
        <f>INDEX('[4]TS BYDem'!$J$10:$J$203,MATCH(D204,'[4]TS BYDem'!$D$10:$D$203,0))</f>
        <v>20.421862032418336</v>
      </c>
      <c r="K204" s="185">
        <f t="shared" ca="1" si="79"/>
        <v>21.173194461525735</v>
      </c>
      <c r="L204" s="185">
        <f t="shared" ca="1" si="79"/>
        <v>21.738269252069756</v>
      </c>
      <c r="M204" s="185">
        <f t="shared" ca="1" si="79"/>
        <v>22.004135186130068</v>
      </c>
      <c r="N204" s="185">
        <f t="shared" ca="1" si="79"/>
        <v>22.459748672139359</v>
      </c>
      <c r="O204" s="185">
        <f t="shared" ca="1" si="79"/>
        <v>22.710698035641833</v>
      </c>
      <c r="P204" s="185">
        <f t="shared" ca="1" si="79"/>
        <v>23.033597915952704</v>
      </c>
      <c r="Q204" s="185">
        <f t="shared" ca="1" si="79"/>
        <v>22.959234424495243</v>
      </c>
      <c r="R204" s="185">
        <f t="shared" ca="1" si="79"/>
        <v>21.891602822951079</v>
      </c>
      <c r="S204" s="185">
        <f t="shared" ca="1" si="79"/>
        <v>22.971367056789159</v>
      </c>
      <c r="T204" s="185">
        <f t="shared" ca="1" si="79"/>
        <v>23.432456671960452</v>
      </c>
      <c r="U204" s="185">
        <f t="shared" ca="1" si="79"/>
        <v>23.847358610609994</v>
      </c>
      <c r="V204" s="185">
        <f t="shared" ca="1" si="79"/>
        <v>24.279211538386331</v>
      </c>
      <c r="W204" s="185">
        <f t="shared" ca="1" si="79"/>
        <v>24.716202269474394</v>
      </c>
      <c r="X204" s="185">
        <f t="shared" ca="1" si="79"/>
        <v>25.301401806466547</v>
      </c>
      <c r="Y204" s="185">
        <f t="shared" ca="1" si="79"/>
        <v>25.871684270452771</v>
      </c>
      <c r="Z204" s="185">
        <f t="shared" ca="1" si="79"/>
        <v>26.471049843766021</v>
      </c>
      <c r="AA204" s="185">
        <f t="shared" ca="1" si="82"/>
        <v>27.063679879459933</v>
      </c>
      <c r="AB204" s="185">
        <f t="shared" ca="1" si="82"/>
        <v>27.581237078983722</v>
      </c>
      <c r="AC204" s="185">
        <f t="shared" ca="1" si="82"/>
        <v>28.216288057941441</v>
      </c>
      <c r="AD204" s="185">
        <f t="shared" ca="1" si="82"/>
        <v>28.859640973120001</v>
      </c>
      <c r="AE204" s="185">
        <f t="shared" ca="1" si="82"/>
        <v>29.474579152199365</v>
      </c>
      <c r="AF204" s="185">
        <f t="shared" ca="1" si="82"/>
        <v>30.07139338372809</v>
      </c>
      <c r="AG204" s="185">
        <f t="shared" ca="1" si="82"/>
        <v>30.771108421049338</v>
      </c>
      <c r="AH204" s="185">
        <f t="shared" ca="1" si="82"/>
        <v>31.416499501220418</v>
      </c>
      <c r="AI204" s="185">
        <f t="shared" ca="1" si="82"/>
        <v>32.075477243405203</v>
      </c>
      <c r="AJ204" s="185">
        <f t="shared" ca="1" si="82"/>
        <v>32.702411689243014</v>
      </c>
      <c r="AK204" s="185">
        <f t="shared" ca="1" si="82"/>
        <v>33.344305513515337</v>
      </c>
      <c r="AL204" s="185">
        <f t="shared" ca="1" si="82"/>
        <v>34.016745067517348</v>
      </c>
      <c r="AM204" s="185">
        <f t="shared" ca="1" si="82"/>
        <v>37.680368616000408</v>
      </c>
      <c r="AN204" s="185">
        <f t="shared" ca="1" si="82"/>
        <v>41.613347370525076</v>
      </c>
      <c r="AO204" s="185">
        <f t="shared" ca="1" si="82"/>
        <v>49.165057139192513</v>
      </c>
      <c r="AP204" s="185">
        <f t="shared" ca="1" si="82"/>
        <v>56.761659442200262</v>
      </c>
    </row>
    <row r="205" spans="1:42">
      <c r="A205" s="57" t="str">
        <f>'[4]TS BYDem'!A144</f>
        <v>*</v>
      </c>
      <c r="B205" s="185" t="s">
        <v>288</v>
      </c>
      <c r="C205" s="185" t="s">
        <v>137</v>
      </c>
      <c r="D205" s="185" t="str">
        <f>'[4]TS BYDem'!D144</f>
        <v>IFBS</v>
      </c>
      <c r="E205" s="185" t="s">
        <v>137</v>
      </c>
      <c r="F205" s="185" t="s">
        <v>137</v>
      </c>
      <c r="G205" s="185" t="s">
        <v>137</v>
      </c>
      <c r="H205" s="185" t="s">
        <v>137</v>
      </c>
      <c r="I205" s="185">
        <v>0</v>
      </c>
      <c r="J205" s="185">
        <f>INDEX('[4]TS BYDem'!$J$10:$J$203,MATCH(D205,'[4]TS BYDem'!$D$10:$D$203,0))</f>
        <v>20.421862032418336</v>
      </c>
      <c r="K205" s="185">
        <f t="shared" ca="1" si="79"/>
        <v>21.173194461525735</v>
      </c>
      <c r="L205" s="185">
        <f t="shared" ca="1" si="79"/>
        <v>21.738269252069756</v>
      </c>
      <c r="M205" s="185">
        <f t="shared" ca="1" si="79"/>
        <v>22.004135186130068</v>
      </c>
      <c r="N205" s="185">
        <f t="shared" ca="1" si="79"/>
        <v>22.459748672139359</v>
      </c>
      <c r="O205" s="185">
        <f t="shared" ca="1" si="79"/>
        <v>22.710698035641833</v>
      </c>
      <c r="P205" s="185">
        <f t="shared" ca="1" si="79"/>
        <v>23.033597915952704</v>
      </c>
      <c r="Q205" s="185">
        <f t="shared" ca="1" si="79"/>
        <v>22.959234424495243</v>
      </c>
      <c r="R205" s="185">
        <f t="shared" ca="1" si="79"/>
        <v>21.891602822951079</v>
      </c>
      <c r="S205" s="185">
        <f t="shared" ca="1" si="79"/>
        <v>22.971367056789159</v>
      </c>
      <c r="T205" s="185">
        <f t="shared" ca="1" si="79"/>
        <v>23.432456671960452</v>
      </c>
      <c r="U205" s="185">
        <f t="shared" ca="1" si="79"/>
        <v>23.847358610609994</v>
      </c>
      <c r="V205" s="185">
        <f t="shared" ca="1" si="79"/>
        <v>24.279211538386331</v>
      </c>
      <c r="W205" s="185">
        <f t="shared" ca="1" si="79"/>
        <v>24.716202269474394</v>
      </c>
      <c r="X205" s="185">
        <f t="shared" ca="1" si="79"/>
        <v>25.301401806466547</v>
      </c>
      <c r="Y205" s="185">
        <f t="shared" ca="1" si="79"/>
        <v>25.871684270452771</v>
      </c>
      <c r="Z205" s="185">
        <f t="shared" ca="1" si="79"/>
        <v>26.471049843766021</v>
      </c>
      <c r="AA205" s="185">
        <f t="shared" ca="1" si="82"/>
        <v>27.063679879459933</v>
      </c>
      <c r="AB205" s="185">
        <f t="shared" ca="1" si="82"/>
        <v>27.581237078983722</v>
      </c>
      <c r="AC205" s="185">
        <f t="shared" ca="1" si="82"/>
        <v>28.216288057941441</v>
      </c>
      <c r="AD205" s="185">
        <f t="shared" ca="1" si="82"/>
        <v>28.859640973120001</v>
      </c>
      <c r="AE205" s="185">
        <f t="shared" ca="1" si="82"/>
        <v>29.474579152199365</v>
      </c>
      <c r="AF205" s="185">
        <f t="shared" ca="1" si="82"/>
        <v>30.07139338372809</v>
      </c>
      <c r="AG205" s="185">
        <f t="shared" ca="1" si="82"/>
        <v>30.771108421049338</v>
      </c>
      <c r="AH205" s="185">
        <f t="shared" ca="1" si="82"/>
        <v>31.416499501220418</v>
      </c>
      <c r="AI205" s="185">
        <f t="shared" ca="1" si="82"/>
        <v>32.075477243405203</v>
      </c>
      <c r="AJ205" s="185">
        <f t="shared" ca="1" si="82"/>
        <v>32.702411689243014</v>
      </c>
      <c r="AK205" s="185">
        <f t="shared" ca="1" si="82"/>
        <v>33.344305513515337</v>
      </c>
      <c r="AL205" s="185">
        <f t="shared" ca="1" si="82"/>
        <v>34.016745067517348</v>
      </c>
      <c r="AM205" s="185">
        <f t="shared" ca="1" si="82"/>
        <v>37.680368616000408</v>
      </c>
      <c r="AN205" s="185">
        <f t="shared" ca="1" si="82"/>
        <v>41.613347370525076</v>
      </c>
      <c r="AO205" s="185">
        <f t="shared" ca="1" si="82"/>
        <v>49.165057139192513</v>
      </c>
      <c r="AP205" s="185">
        <f t="shared" ca="1" si="82"/>
        <v>56.761659442200262</v>
      </c>
    </row>
    <row r="206" spans="1:42">
      <c r="A206" s="57" t="str">
        <f>'[4]TS BYDem'!A145</f>
        <v>*</v>
      </c>
      <c r="B206" s="185" t="s">
        <v>288</v>
      </c>
      <c r="C206" s="185" t="s">
        <v>137</v>
      </c>
      <c r="D206" s="185" t="str">
        <f>'[4]TS BYDem'!D145</f>
        <v>IFBS</v>
      </c>
      <c r="E206" s="185" t="s">
        <v>137</v>
      </c>
      <c r="F206" s="185" t="s">
        <v>137</v>
      </c>
      <c r="G206" s="185" t="s">
        <v>137</v>
      </c>
      <c r="H206" s="185" t="s">
        <v>137</v>
      </c>
      <c r="I206" s="185">
        <v>0</v>
      </c>
      <c r="J206" s="185">
        <f>INDEX('[4]TS BYDem'!$J$10:$J$203,MATCH(D206,'[4]TS BYDem'!$D$10:$D$203,0))</f>
        <v>20.421862032418336</v>
      </c>
      <c r="K206" s="185">
        <f t="shared" ca="1" si="79"/>
        <v>21.173194461525735</v>
      </c>
      <c r="L206" s="185">
        <f t="shared" ca="1" si="79"/>
        <v>21.738269252069756</v>
      </c>
      <c r="M206" s="185">
        <f t="shared" ca="1" si="79"/>
        <v>22.004135186130068</v>
      </c>
      <c r="N206" s="185">
        <f t="shared" ca="1" si="79"/>
        <v>22.459748672139359</v>
      </c>
      <c r="O206" s="185">
        <f t="shared" ca="1" si="79"/>
        <v>22.710698035641833</v>
      </c>
      <c r="P206" s="185">
        <f t="shared" ca="1" si="79"/>
        <v>23.033597915952704</v>
      </c>
      <c r="Q206" s="185">
        <f t="shared" ca="1" si="79"/>
        <v>22.959234424495243</v>
      </c>
      <c r="R206" s="185">
        <f t="shared" ca="1" si="79"/>
        <v>21.891602822951079</v>
      </c>
      <c r="S206" s="185">
        <f t="shared" ca="1" si="79"/>
        <v>22.971367056789159</v>
      </c>
      <c r="T206" s="185">
        <f t="shared" ca="1" si="79"/>
        <v>23.432456671960452</v>
      </c>
      <c r="U206" s="185">
        <f t="shared" ca="1" si="79"/>
        <v>23.847358610609994</v>
      </c>
      <c r="V206" s="185">
        <f t="shared" ca="1" si="79"/>
        <v>24.279211538386331</v>
      </c>
      <c r="W206" s="185">
        <f t="shared" ca="1" si="79"/>
        <v>24.716202269474394</v>
      </c>
      <c r="X206" s="185">
        <f t="shared" ca="1" si="79"/>
        <v>25.301401806466547</v>
      </c>
      <c r="Y206" s="185">
        <f t="shared" ca="1" si="79"/>
        <v>25.871684270452771</v>
      </c>
      <c r="Z206" s="185">
        <f t="shared" ca="1" si="79"/>
        <v>26.471049843766021</v>
      </c>
      <c r="AA206" s="185">
        <f t="shared" ca="1" si="82"/>
        <v>27.063679879459933</v>
      </c>
      <c r="AB206" s="185">
        <f t="shared" ca="1" si="82"/>
        <v>27.581237078983722</v>
      </c>
      <c r="AC206" s="185">
        <f t="shared" ca="1" si="82"/>
        <v>28.216288057941441</v>
      </c>
      <c r="AD206" s="185">
        <f t="shared" ca="1" si="82"/>
        <v>28.859640973120001</v>
      </c>
      <c r="AE206" s="185">
        <f t="shared" ca="1" si="82"/>
        <v>29.474579152199365</v>
      </c>
      <c r="AF206" s="185">
        <f t="shared" ca="1" si="82"/>
        <v>30.07139338372809</v>
      </c>
      <c r="AG206" s="185">
        <f t="shared" ca="1" si="82"/>
        <v>30.771108421049338</v>
      </c>
      <c r="AH206" s="185">
        <f t="shared" ca="1" si="82"/>
        <v>31.416499501220418</v>
      </c>
      <c r="AI206" s="185">
        <f t="shared" ca="1" si="82"/>
        <v>32.075477243405203</v>
      </c>
      <c r="AJ206" s="185">
        <f t="shared" ca="1" si="82"/>
        <v>32.702411689243014</v>
      </c>
      <c r="AK206" s="185">
        <f t="shared" ca="1" si="82"/>
        <v>33.344305513515337</v>
      </c>
      <c r="AL206" s="185">
        <f t="shared" ca="1" si="82"/>
        <v>34.016745067517348</v>
      </c>
      <c r="AM206" s="185">
        <f t="shared" ca="1" si="82"/>
        <v>37.680368616000408</v>
      </c>
      <c r="AN206" s="185">
        <f t="shared" ca="1" si="82"/>
        <v>41.613347370525076</v>
      </c>
      <c r="AO206" s="185">
        <f t="shared" ca="1" si="82"/>
        <v>49.165057139192513</v>
      </c>
      <c r="AP206" s="185">
        <f t="shared" ca="1" si="82"/>
        <v>56.761659442200262</v>
      </c>
    </row>
    <row r="207" spans="1:42">
      <c r="A207" s="57" t="str">
        <f>'[4]TS BYDem'!A146</f>
        <v>*</v>
      </c>
      <c r="B207" s="185" t="s">
        <v>288</v>
      </c>
      <c r="C207" s="185" t="s">
        <v>137</v>
      </c>
      <c r="D207" s="185" t="str">
        <f>'[4]TS BYDem'!D146</f>
        <v>IFBS</v>
      </c>
      <c r="E207" s="185" t="s">
        <v>137</v>
      </c>
      <c r="F207" s="185" t="s">
        <v>137</v>
      </c>
      <c r="G207" s="185" t="s">
        <v>137</v>
      </c>
      <c r="H207" s="185" t="s">
        <v>137</v>
      </c>
      <c r="I207" s="185">
        <v>0</v>
      </c>
      <c r="J207" s="185">
        <f>INDEX('[4]TS BYDem'!$J$10:$J$203,MATCH(D207,'[4]TS BYDem'!$D$10:$D$203,0))</f>
        <v>20.421862032418336</v>
      </c>
      <c r="K207" s="185">
        <f t="shared" ca="1" si="79"/>
        <v>21.173194461525735</v>
      </c>
      <c r="L207" s="185">
        <f t="shared" ca="1" si="79"/>
        <v>21.738269252069756</v>
      </c>
      <c r="M207" s="185">
        <f t="shared" ca="1" si="79"/>
        <v>22.004135186130068</v>
      </c>
      <c r="N207" s="185">
        <f t="shared" ca="1" si="79"/>
        <v>22.459748672139359</v>
      </c>
      <c r="O207" s="185">
        <f t="shared" ca="1" si="79"/>
        <v>22.710698035641833</v>
      </c>
      <c r="P207" s="185">
        <f t="shared" ca="1" si="79"/>
        <v>23.033597915952704</v>
      </c>
      <c r="Q207" s="185">
        <f t="shared" ca="1" si="79"/>
        <v>22.959234424495243</v>
      </c>
      <c r="R207" s="185">
        <f t="shared" ca="1" si="79"/>
        <v>21.891602822951079</v>
      </c>
      <c r="S207" s="185">
        <f t="shared" ca="1" si="79"/>
        <v>22.971367056789159</v>
      </c>
      <c r="T207" s="185">
        <f t="shared" ca="1" si="79"/>
        <v>23.432456671960452</v>
      </c>
      <c r="U207" s="185">
        <f t="shared" ca="1" si="79"/>
        <v>23.847358610609994</v>
      </c>
      <c r="V207" s="185">
        <f t="shared" ca="1" si="79"/>
        <v>24.279211538386331</v>
      </c>
      <c r="W207" s="185">
        <f t="shared" ca="1" si="79"/>
        <v>24.716202269474394</v>
      </c>
      <c r="X207" s="185">
        <f t="shared" ca="1" si="79"/>
        <v>25.301401806466547</v>
      </c>
      <c r="Y207" s="185">
        <f t="shared" ca="1" si="79"/>
        <v>25.871684270452771</v>
      </c>
      <c r="Z207" s="185">
        <f t="shared" ca="1" si="79"/>
        <v>26.471049843766021</v>
      </c>
      <c r="AA207" s="185">
        <f t="shared" ca="1" si="82"/>
        <v>27.063679879459933</v>
      </c>
      <c r="AB207" s="185">
        <f t="shared" ca="1" si="82"/>
        <v>27.581237078983722</v>
      </c>
      <c r="AC207" s="185">
        <f t="shared" ca="1" si="82"/>
        <v>28.216288057941441</v>
      </c>
      <c r="AD207" s="185">
        <f t="shared" ca="1" si="82"/>
        <v>28.859640973120001</v>
      </c>
      <c r="AE207" s="185">
        <f t="shared" ca="1" si="82"/>
        <v>29.474579152199365</v>
      </c>
      <c r="AF207" s="185">
        <f t="shared" ca="1" si="82"/>
        <v>30.07139338372809</v>
      </c>
      <c r="AG207" s="185">
        <f t="shared" ca="1" si="82"/>
        <v>30.771108421049338</v>
      </c>
      <c r="AH207" s="185">
        <f t="shared" ca="1" si="82"/>
        <v>31.416499501220418</v>
      </c>
      <c r="AI207" s="185">
        <f t="shared" ca="1" si="82"/>
        <v>32.075477243405203</v>
      </c>
      <c r="AJ207" s="185">
        <f t="shared" ca="1" si="82"/>
        <v>32.702411689243014</v>
      </c>
      <c r="AK207" s="185">
        <f t="shared" ca="1" si="82"/>
        <v>33.344305513515337</v>
      </c>
      <c r="AL207" s="185">
        <f t="shared" ca="1" si="82"/>
        <v>34.016745067517348</v>
      </c>
      <c r="AM207" s="185">
        <f t="shared" ca="1" si="82"/>
        <v>37.680368616000408</v>
      </c>
      <c r="AN207" s="185">
        <f t="shared" ca="1" si="82"/>
        <v>41.613347370525076</v>
      </c>
      <c r="AO207" s="185">
        <f t="shared" ca="1" si="82"/>
        <v>49.165057139192513</v>
      </c>
      <c r="AP207" s="185">
        <f t="shared" ca="1" si="82"/>
        <v>56.761659442200262</v>
      </c>
    </row>
    <row r="208" spans="1:42">
      <c r="A208" s="57" t="str">
        <f>'[4]TS BYDem'!A147</f>
        <v>*</v>
      </c>
      <c r="B208" s="185" t="s">
        <v>288</v>
      </c>
      <c r="C208" s="185" t="s">
        <v>137</v>
      </c>
      <c r="D208" s="185" t="str">
        <f>'[4]TS BYDem'!D147</f>
        <v>IFBS</v>
      </c>
      <c r="E208" s="185" t="s">
        <v>137</v>
      </c>
      <c r="F208" s="185" t="s">
        <v>137</v>
      </c>
      <c r="G208" s="185" t="s">
        <v>137</v>
      </c>
      <c r="H208" s="185" t="s">
        <v>137</v>
      </c>
      <c r="I208" s="185">
        <v>0</v>
      </c>
      <c r="J208" s="185">
        <f>INDEX('[4]TS BYDem'!$J$10:$J$203,MATCH(D208,'[4]TS BYDem'!$D$10:$D$203,0))</f>
        <v>20.421862032418336</v>
      </c>
      <c r="K208" s="185">
        <f t="shared" ca="1" si="79"/>
        <v>21.173194461525735</v>
      </c>
      <c r="L208" s="185">
        <f t="shared" ca="1" si="79"/>
        <v>21.738269252069756</v>
      </c>
      <c r="M208" s="185">
        <f t="shared" ca="1" si="79"/>
        <v>22.004135186130068</v>
      </c>
      <c r="N208" s="185">
        <f t="shared" ca="1" si="79"/>
        <v>22.459748672139359</v>
      </c>
      <c r="O208" s="185">
        <f t="shared" ca="1" si="79"/>
        <v>22.710698035641833</v>
      </c>
      <c r="P208" s="185">
        <f t="shared" ca="1" si="79"/>
        <v>23.033597915952704</v>
      </c>
      <c r="Q208" s="185">
        <f t="shared" ca="1" si="79"/>
        <v>22.959234424495243</v>
      </c>
      <c r="R208" s="185">
        <f t="shared" ca="1" si="79"/>
        <v>21.891602822951079</v>
      </c>
      <c r="S208" s="185">
        <f t="shared" ca="1" si="79"/>
        <v>22.971367056789159</v>
      </c>
      <c r="T208" s="185">
        <f t="shared" ca="1" si="79"/>
        <v>23.432456671960452</v>
      </c>
      <c r="U208" s="185">
        <f t="shared" ca="1" si="79"/>
        <v>23.847358610609994</v>
      </c>
      <c r="V208" s="185">
        <f t="shared" ca="1" si="79"/>
        <v>24.279211538386331</v>
      </c>
      <c r="W208" s="185">
        <f t="shared" ca="1" si="79"/>
        <v>24.716202269474394</v>
      </c>
      <c r="X208" s="185">
        <f t="shared" ca="1" si="79"/>
        <v>25.301401806466547</v>
      </c>
      <c r="Y208" s="185">
        <f t="shared" ca="1" si="79"/>
        <v>25.871684270452771</v>
      </c>
      <c r="Z208" s="185">
        <f t="shared" ca="1" si="79"/>
        <v>26.471049843766021</v>
      </c>
      <c r="AA208" s="185">
        <f t="shared" ca="1" si="82"/>
        <v>27.063679879459933</v>
      </c>
      <c r="AB208" s="185">
        <f t="shared" ca="1" si="82"/>
        <v>27.581237078983722</v>
      </c>
      <c r="AC208" s="185">
        <f t="shared" ca="1" si="82"/>
        <v>28.216288057941441</v>
      </c>
      <c r="AD208" s="185">
        <f t="shared" ca="1" si="82"/>
        <v>28.859640973120001</v>
      </c>
      <c r="AE208" s="185">
        <f t="shared" ca="1" si="82"/>
        <v>29.474579152199365</v>
      </c>
      <c r="AF208" s="185">
        <f t="shared" ca="1" si="82"/>
        <v>30.07139338372809</v>
      </c>
      <c r="AG208" s="185">
        <f t="shared" ca="1" si="82"/>
        <v>30.771108421049338</v>
      </c>
      <c r="AH208" s="185">
        <f t="shared" ca="1" si="82"/>
        <v>31.416499501220418</v>
      </c>
      <c r="AI208" s="185">
        <f t="shared" ca="1" si="82"/>
        <v>32.075477243405203</v>
      </c>
      <c r="AJ208" s="185">
        <f t="shared" ca="1" si="82"/>
        <v>32.702411689243014</v>
      </c>
      <c r="AK208" s="185">
        <f t="shared" ca="1" si="82"/>
        <v>33.344305513515337</v>
      </c>
      <c r="AL208" s="185">
        <f t="shared" ca="1" si="82"/>
        <v>34.016745067517348</v>
      </c>
      <c r="AM208" s="185">
        <f t="shared" ca="1" si="82"/>
        <v>37.680368616000408</v>
      </c>
      <c r="AN208" s="185">
        <f t="shared" ca="1" si="82"/>
        <v>41.613347370525076</v>
      </c>
      <c r="AO208" s="185">
        <f t="shared" ca="1" si="82"/>
        <v>49.165057139192513</v>
      </c>
      <c r="AP208" s="185">
        <f t="shared" ref="AP208" ca="1" si="85">AP$192/AO$192*AO208</f>
        <v>56.761659442200262</v>
      </c>
    </row>
    <row r="209" spans="1:42">
      <c r="A209" s="57" t="str">
        <f>'[4]TS BYDem'!A148</f>
        <v>*</v>
      </c>
      <c r="B209" s="185" t="s">
        <v>288</v>
      </c>
      <c r="C209" s="185" t="s">
        <v>137</v>
      </c>
      <c r="D209" s="185" t="str">
        <f>'[4]TS BYDem'!D148</f>
        <v>IFBS</v>
      </c>
      <c r="E209" s="185" t="s">
        <v>137</v>
      </c>
      <c r="F209" s="185" t="s">
        <v>137</v>
      </c>
      <c r="G209" s="185" t="s">
        <v>137</v>
      </c>
      <c r="H209" s="185" t="s">
        <v>137</v>
      </c>
      <c r="I209" s="185">
        <v>0</v>
      </c>
      <c r="J209" s="185">
        <f>INDEX('[4]TS BYDem'!$J$10:$J$203,MATCH(D209,'[4]TS BYDem'!$D$10:$D$203,0))</f>
        <v>20.421862032418336</v>
      </c>
    </row>
    <row r="210" spans="1:42">
      <c r="A210" s="57" t="str">
        <f>'[4]TS BYDem'!A149</f>
        <v>*</v>
      </c>
      <c r="B210" s="185" t="s">
        <v>288</v>
      </c>
      <c r="C210" s="185" t="s">
        <v>137</v>
      </c>
      <c r="D210" s="185" t="str">
        <f>'[4]TS BYDem'!D149</f>
        <v>Useful Energy Service</v>
      </c>
      <c r="E210" s="185" t="s">
        <v>137</v>
      </c>
      <c r="F210" s="185" t="s">
        <v>137</v>
      </c>
      <c r="G210" s="185" t="s">
        <v>137</v>
      </c>
      <c r="H210" s="185" t="s">
        <v>137</v>
      </c>
      <c r="I210" s="185">
        <v>0</v>
      </c>
      <c r="J210" s="185" t="str">
        <f>INDEX('[4]TS BYDem'!$J$10:$J$203,MATCH(D210,'[4]TS BYDem'!$D$10:$D$203,0))</f>
        <v/>
      </c>
    </row>
    <row r="211" spans="1:42" s="5" customFormat="1">
      <c r="A211" s="57" t="str">
        <f>'[4]TS BYDem'!A146</f>
        <v>*</v>
      </c>
      <c r="B211" s="5">
        <f>B192+1</f>
        <v>11</v>
      </c>
      <c r="C211" s="3" t="str">
        <f ca="1">OFFSET($C$9,$B211,0)</f>
        <v>Pulp &amp; Paper Products</v>
      </c>
      <c r="D211" s="3" t="str">
        <f ca="1">OFFSET($B$9,$B211,0)</f>
        <v>PP</v>
      </c>
      <c r="J211" s="5">
        <f ca="1">SUMIF($B$10:$B$22,$D211,J$10:J$22)*SUMIF($B$10:$B$22,$D211,J$41:J$53)</f>
        <v>71.126003050028061</v>
      </c>
      <c r="K211" s="5">
        <f t="shared" ref="K211:AP211" ca="1" si="86">SUMIF($B$10:$B$22,$D211,K$10:K$22)*SUMIF($B$10:$B$22,$D211,K$41:K$53)</f>
        <v>72.924000000000007</v>
      </c>
      <c r="L211" s="5">
        <f t="shared" ca="1" si="86"/>
        <v>74.483999999999995</v>
      </c>
      <c r="M211" s="5">
        <f t="shared" ca="1" si="86"/>
        <v>75.34</v>
      </c>
      <c r="N211" s="5">
        <f t="shared" ca="1" si="86"/>
        <v>76.748000000000005</v>
      </c>
      <c r="O211" s="5">
        <f t="shared" ca="1" si="86"/>
        <v>77.260000000000005</v>
      </c>
      <c r="P211" s="5">
        <f t="shared" ca="1" si="86"/>
        <v>78.555999999999997</v>
      </c>
      <c r="Q211" s="5">
        <f t="shared" ca="1" si="86"/>
        <v>78.504000000000005</v>
      </c>
      <c r="R211" s="5">
        <f t="shared" ca="1" si="86"/>
        <v>72.959999999999994</v>
      </c>
      <c r="S211" s="5">
        <f t="shared" ca="1" si="86"/>
        <v>74.77393930861335</v>
      </c>
      <c r="T211" s="5">
        <f t="shared" ca="1" si="86"/>
        <v>76.599350128778553</v>
      </c>
      <c r="U211" s="5">
        <f t="shared" ca="1" si="86"/>
        <v>78.630645881257507</v>
      </c>
      <c r="V211" s="5">
        <f t="shared" ca="1" si="86"/>
        <v>80.773774115953586</v>
      </c>
      <c r="W211" s="5">
        <f t="shared" ca="1" si="86"/>
        <v>82.927169066574365</v>
      </c>
      <c r="X211" s="5">
        <f t="shared" ca="1" si="86"/>
        <v>85.429761750659537</v>
      </c>
      <c r="Y211" s="5">
        <f t="shared" ca="1" si="86"/>
        <v>87.849381553579605</v>
      </c>
      <c r="Z211" s="5">
        <f t="shared" ca="1" si="86"/>
        <v>90.359146810478975</v>
      </c>
      <c r="AA211" s="5">
        <f t="shared" ca="1" si="86"/>
        <v>92.971207217515541</v>
      </c>
      <c r="AB211" s="5">
        <f ca="1">SUMIF($B$10:$B$22,$D211,AB$10:AB$22)*SUMIF($B$10:$B$22,$D211,AB$40:AB$53)</f>
        <v>95.253791424111782</v>
      </c>
      <c r="AC211" s="5">
        <f t="shared" ca="1" si="86"/>
        <v>97.971264567093471</v>
      </c>
      <c r="AD211" s="5">
        <f t="shared" ca="1" si="86"/>
        <v>100.73403993387386</v>
      </c>
      <c r="AE211" s="5">
        <f t="shared" ca="1" si="86"/>
        <v>103.46505359920396</v>
      </c>
      <c r="AF211" s="5">
        <f t="shared" ca="1" si="86"/>
        <v>106.13503787336293</v>
      </c>
      <c r="AG211" s="5">
        <f t="shared" ca="1" si="86"/>
        <v>108.62792854544587</v>
      </c>
      <c r="AH211" s="5">
        <f t="shared" ca="1" si="86"/>
        <v>111.44064781597253</v>
      </c>
      <c r="AI211" s="5">
        <f t="shared" ca="1" si="86"/>
        <v>114.36114502083234</v>
      </c>
      <c r="AJ211" s="5">
        <f t="shared" ca="1" si="86"/>
        <v>117.23869814820381</v>
      </c>
      <c r="AK211" s="5">
        <f t="shared" ca="1" si="86"/>
        <v>120.22937145320429</v>
      </c>
      <c r="AL211" s="5">
        <f t="shared" ca="1" si="86"/>
        <v>123.40587695821351</v>
      </c>
      <c r="AM211" s="5">
        <f t="shared" ca="1" si="86"/>
        <v>141.02011621569631</v>
      </c>
      <c r="AN211" s="5">
        <f t="shared" ca="1" si="86"/>
        <v>160.70782898547117</v>
      </c>
      <c r="AO211" s="5">
        <f t="shared" ca="1" si="86"/>
        <v>197.66420209401349</v>
      </c>
      <c r="AP211" s="5">
        <f t="shared" ca="1" si="86"/>
        <v>234.96615412127085</v>
      </c>
    </row>
    <row r="212" spans="1:42">
      <c r="A212" s="57" t="str">
        <f>'[4]TS BYDem'!A151</f>
        <v>*</v>
      </c>
      <c r="B212" s="185" t="s">
        <v>288</v>
      </c>
      <c r="C212" s="185" t="s">
        <v>137</v>
      </c>
      <c r="D212" s="185">
        <f>'[4]TS BYDem'!D151</f>
        <v>2</v>
      </c>
      <c r="E212" s="185" t="s">
        <v>137</v>
      </c>
      <c r="F212" s="185" t="s">
        <v>137</v>
      </c>
      <c r="G212" s="185" t="s">
        <v>137</v>
      </c>
      <c r="H212" s="185" t="s">
        <v>137</v>
      </c>
      <c r="I212" s="185">
        <v>0</v>
      </c>
      <c r="J212" s="185" t="str">
        <f>INDEX('[4]TS BYDem'!$J$10:$J$203,MATCH(D212,'[4]TS BYDem'!$D$10:$D$203,0))</f>
        <v/>
      </c>
      <c r="K212" s="185" t="e">
        <f t="shared" ref="K212:Z227" ca="1" si="87">K$211/J$211*J212</f>
        <v>#VALUE!</v>
      </c>
      <c r="L212" s="185" t="e">
        <f t="shared" ca="1" si="87"/>
        <v>#VALUE!</v>
      </c>
      <c r="M212" s="185" t="e">
        <f t="shared" ca="1" si="87"/>
        <v>#VALUE!</v>
      </c>
      <c r="N212" s="185" t="e">
        <f t="shared" ca="1" si="87"/>
        <v>#VALUE!</v>
      </c>
      <c r="O212" s="185" t="e">
        <f t="shared" ca="1" si="87"/>
        <v>#VALUE!</v>
      </c>
      <c r="P212" s="185" t="e">
        <f t="shared" ca="1" si="87"/>
        <v>#VALUE!</v>
      </c>
      <c r="Q212" s="185" t="e">
        <f t="shared" ca="1" si="87"/>
        <v>#VALUE!</v>
      </c>
      <c r="R212" s="185" t="e">
        <f t="shared" ca="1" si="87"/>
        <v>#VALUE!</v>
      </c>
      <c r="S212" s="185" t="e">
        <f t="shared" ca="1" si="87"/>
        <v>#VALUE!</v>
      </c>
      <c r="T212" s="185" t="e">
        <f t="shared" ca="1" si="87"/>
        <v>#VALUE!</v>
      </c>
      <c r="U212" s="185" t="e">
        <f t="shared" ca="1" si="87"/>
        <v>#VALUE!</v>
      </c>
      <c r="V212" s="185" t="e">
        <f t="shared" ca="1" si="87"/>
        <v>#VALUE!</v>
      </c>
      <c r="W212" s="185" t="e">
        <f t="shared" ca="1" si="87"/>
        <v>#VALUE!</v>
      </c>
      <c r="X212" s="185" t="e">
        <f t="shared" ca="1" si="87"/>
        <v>#VALUE!</v>
      </c>
      <c r="Y212" s="185" t="e">
        <f t="shared" ca="1" si="87"/>
        <v>#VALUE!</v>
      </c>
      <c r="Z212" s="185" t="e">
        <f t="shared" ca="1" si="87"/>
        <v>#VALUE!</v>
      </c>
      <c r="AA212" s="185" t="e">
        <f t="shared" ref="AA212:AP227" ca="1" si="88">AA$211/Z$211*Z212</f>
        <v>#VALUE!</v>
      </c>
      <c r="AB212" s="185" t="e">
        <f t="shared" ca="1" si="88"/>
        <v>#VALUE!</v>
      </c>
      <c r="AC212" s="185" t="e">
        <f t="shared" ca="1" si="88"/>
        <v>#VALUE!</v>
      </c>
      <c r="AD212" s="185" t="e">
        <f t="shared" ca="1" si="88"/>
        <v>#VALUE!</v>
      </c>
      <c r="AE212" s="185" t="e">
        <f t="shared" ca="1" si="88"/>
        <v>#VALUE!</v>
      </c>
      <c r="AF212" s="185" t="e">
        <f t="shared" ca="1" si="88"/>
        <v>#VALUE!</v>
      </c>
      <c r="AG212" s="185" t="e">
        <f t="shared" ca="1" si="88"/>
        <v>#VALUE!</v>
      </c>
      <c r="AH212" s="185" t="e">
        <f t="shared" ca="1" si="88"/>
        <v>#VALUE!</v>
      </c>
      <c r="AI212" s="185" t="e">
        <f t="shared" ca="1" si="88"/>
        <v>#VALUE!</v>
      </c>
      <c r="AJ212" s="185" t="e">
        <f t="shared" ca="1" si="88"/>
        <v>#VALUE!</v>
      </c>
      <c r="AK212" s="185" t="e">
        <f t="shared" ca="1" si="88"/>
        <v>#VALUE!</v>
      </c>
      <c r="AL212" s="185" t="e">
        <f t="shared" ca="1" si="88"/>
        <v>#VALUE!</v>
      </c>
      <c r="AM212" s="185" t="e">
        <f t="shared" ca="1" si="88"/>
        <v>#VALUE!</v>
      </c>
      <c r="AN212" s="185" t="e">
        <f t="shared" ca="1" si="88"/>
        <v>#VALUE!</v>
      </c>
      <c r="AO212" s="185" t="e">
        <f t="shared" ca="1" si="88"/>
        <v>#VALUE!</v>
      </c>
      <c r="AP212" s="185" t="e">
        <f t="shared" ca="1" si="88"/>
        <v>#VALUE!</v>
      </c>
    </row>
    <row r="213" spans="1:42">
      <c r="A213" s="57" t="str">
        <f>'[4]TS BYDem'!A152</f>
        <v>*</v>
      </c>
      <c r="B213" s="185" t="s">
        <v>288</v>
      </c>
      <c r="C213" s="185" t="s">
        <v>137</v>
      </c>
      <c r="D213" s="185" t="str">
        <f>'[4]TS BYDem'!D152</f>
        <v>IPPK</v>
      </c>
      <c r="E213" s="185" t="s">
        <v>137</v>
      </c>
      <c r="F213" s="185" t="s">
        <v>137</v>
      </c>
      <c r="G213" s="185" t="s">
        <v>137</v>
      </c>
      <c r="H213" s="185" t="s">
        <v>137</v>
      </c>
      <c r="I213" s="185">
        <v>0</v>
      </c>
      <c r="J213" s="185" t="str">
        <f>INDEX('[4]TS BYDem'!$J$10:$J$203,MATCH(D213,'[4]TS BYDem'!$D$10:$D$203,0))</f>
        <v/>
      </c>
      <c r="K213" s="185" t="e">
        <f t="shared" ca="1" si="87"/>
        <v>#VALUE!</v>
      </c>
      <c r="L213" s="185" t="e">
        <f t="shared" ca="1" si="87"/>
        <v>#VALUE!</v>
      </c>
      <c r="M213" s="185" t="e">
        <f t="shared" ca="1" si="87"/>
        <v>#VALUE!</v>
      </c>
      <c r="N213" s="185" t="e">
        <f t="shared" ca="1" si="87"/>
        <v>#VALUE!</v>
      </c>
      <c r="O213" s="185" t="e">
        <f t="shared" ca="1" si="87"/>
        <v>#VALUE!</v>
      </c>
      <c r="P213" s="185" t="e">
        <f t="shared" ca="1" si="87"/>
        <v>#VALUE!</v>
      </c>
      <c r="Q213" s="185" t="e">
        <f t="shared" ca="1" si="87"/>
        <v>#VALUE!</v>
      </c>
      <c r="R213" s="185" t="e">
        <f t="shared" ca="1" si="87"/>
        <v>#VALUE!</v>
      </c>
      <c r="S213" s="185" t="e">
        <f t="shared" ca="1" si="87"/>
        <v>#VALUE!</v>
      </c>
      <c r="T213" s="185" t="e">
        <f t="shared" ca="1" si="87"/>
        <v>#VALUE!</v>
      </c>
      <c r="U213" s="185" t="e">
        <f t="shared" ca="1" si="87"/>
        <v>#VALUE!</v>
      </c>
      <c r="V213" s="185" t="e">
        <f t="shared" ca="1" si="87"/>
        <v>#VALUE!</v>
      </c>
      <c r="W213" s="185" t="e">
        <f t="shared" ca="1" si="87"/>
        <v>#VALUE!</v>
      </c>
      <c r="X213" s="185" t="e">
        <f t="shared" ca="1" si="87"/>
        <v>#VALUE!</v>
      </c>
      <c r="Y213" s="185" t="e">
        <f t="shared" ca="1" si="87"/>
        <v>#VALUE!</v>
      </c>
      <c r="Z213" s="185" t="e">
        <f t="shared" ca="1" si="87"/>
        <v>#VALUE!</v>
      </c>
      <c r="AA213" s="185" t="e">
        <f t="shared" ca="1" si="88"/>
        <v>#VALUE!</v>
      </c>
      <c r="AB213" s="185" t="e">
        <f t="shared" ca="1" si="88"/>
        <v>#VALUE!</v>
      </c>
      <c r="AC213" s="185" t="e">
        <f t="shared" ca="1" si="88"/>
        <v>#VALUE!</v>
      </c>
      <c r="AD213" s="185" t="e">
        <f t="shared" ca="1" si="88"/>
        <v>#VALUE!</v>
      </c>
      <c r="AE213" s="185" t="e">
        <f t="shared" ca="1" si="88"/>
        <v>#VALUE!</v>
      </c>
      <c r="AF213" s="185" t="e">
        <f t="shared" ca="1" si="88"/>
        <v>#VALUE!</v>
      </c>
      <c r="AG213" s="185" t="e">
        <f t="shared" ca="1" si="88"/>
        <v>#VALUE!</v>
      </c>
      <c r="AH213" s="185" t="e">
        <f t="shared" ca="1" si="88"/>
        <v>#VALUE!</v>
      </c>
      <c r="AI213" s="185" t="e">
        <f t="shared" ca="1" si="88"/>
        <v>#VALUE!</v>
      </c>
      <c r="AJ213" s="185" t="e">
        <f t="shared" ca="1" si="88"/>
        <v>#VALUE!</v>
      </c>
      <c r="AK213" s="185" t="e">
        <f t="shared" ca="1" si="88"/>
        <v>#VALUE!</v>
      </c>
      <c r="AL213" s="185" t="e">
        <f t="shared" ca="1" si="88"/>
        <v>#VALUE!</v>
      </c>
      <c r="AM213" s="185" t="e">
        <f t="shared" ca="1" si="88"/>
        <v>#VALUE!</v>
      </c>
      <c r="AN213" s="185" t="e">
        <f t="shared" ca="1" si="88"/>
        <v>#VALUE!</v>
      </c>
      <c r="AO213" s="185" t="e">
        <f t="shared" ca="1" si="88"/>
        <v>#VALUE!</v>
      </c>
      <c r="AP213" s="185" t="e">
        <f t="shared" ca="1" si="88"/>
        <v>#VALUE!</v>
      </c>
    </row>
    <row r="214" spans="1:42">
      <c r="A214" s="57" t="str">
        <f>'[4]TS BYDem'!A153</f>
        <v>*</v>
      </c>
      <c r="B214" s="185" t="s">
        <v>288</v>
      </c>
      <c r="C214" s="185" t="s">
        <v>137</v>
      </c>
      <c r="D214" s="185" t="str">
        <f>'[4]TS BYDem'!D153</f>
        <v>IPPA</v>
      </c>
      <c r="E214" s="185" t="s">
        <v>137</v>
      </c>
      <c r="F214" s="185" t="s">
        <v>137</v>
      </c>
      <c r="G214" s="185" t="s">
        <v>137</v>
      </c>
      <c r="H214" s="185" t="s">
        <v>137</v>
      </c>
      <c r="I214" s="185">
        <v>0</v>
      </c>
      <c r="J214" s="185" t="str">
        <f>INDEX('[4]TS BYDem'!$J$10:$J$203,MATCH(D214,'[4]TS BYDem'!$D$10:$D$203,0))</f>
        <v/>
      </c>
      <c r="K214" s="185" t="e">
        <f t="shared" ca="1" si="87"/>
        <v>#VALUE!</v>
      </c>
      <c r="L214" s="185" t="e">
        <f t="shared" ca="1" si="87"/>
        <v>#VALUE!</v>
      </c>
      <c r="M214" s="185" t="e">
        <f t="shared" ca="1" si="87"/>
        <v>#VALUE!</v>
      </c>
      <c r="N214" s="185" t="e">
        <f t="shared" ca="1" si="87"/>
        <v>#VALUE!</v>
      </c>
      <c r="O214" s="185" t="e">
        <f t="shared" ca="1" si="87"/>
        <v>#VALUE!</v>
      </c>
      <c r="P214" s="185" t="e">
        <f t="shared" ca="1" si="87"/>
        <v>#VALUE!</v>
      </c>
      <c r="Q214" s="185" t="e">
        <f t="shared" ca="1" si="87"/>
        <v>#VALUE!</v>
      </c>
      <c r="R214" s="185" t="e">
        <f t="shared" ca="1" si="87"/>
        <v>#VALUE!</v>
      </c>
      <c r="S214" s="185" t="e">
        <f t="shared" ca="1" si="87"/>
        <v>#VALUE!</v>
      </c>
      <c r="T214" s="185" t="e">
        <f t="shared" ca="1" si="87"/>
        <v>#VALUE!</v>
      </c>
      <c r="U214" s="185" t="e">
        <f t="shared" ca="1" si="87"/>
        <v>#VALUE!</v>
      </c>
      <c r="V214" s="185" t="e">
        <f t="shared" ca="1" si="87"/>
        <v>#VALUE!</v>
      </c>
      <c r="W214" s="185" t="e">
        <f t="shared" ca="1" si="87"/>
        <v>#VALUE!</v>
      </c>
      <c r="X214" s="185" t="e">
        <f t="shared" ca="1" si="87"/>
        <v>#VALUE!</v>
      </c>
      <c r="Y214" s="185" t="e">
        <f t="shared" ca="1" si="87"/>
        <v>#VALUE!</v>
      </c>
      <c r="Z214" s="185" t="e">
        <f t="shared" ca="1" si="87"/>
        <v>#VALUE!</v>
      </c>
      <c r="AA214" s="185" t="e">
        <f t="shared" ca="1" si="88"/>
        <v>#VALUE!</v>
      </c>
      <c r="AB214" s="185" t="e">
        <f t="shared" ca="1" si="88"/>
        <v>#VALUE!</v>
      </c>
      <c r="AC214" s="185" t="e">
        <f t="shared" ca="1" si="88"/>
        <v>#VALUE!</v>
      </c>
      <c r="AD214" s="185" t="e">
        <f t="shared" ca="1" si="88"/>
        <v>#VALUE!</v>
      </c>
      <c r="AE214" s="185" t="e">
        <f t="shared" ca="1" si="88"/>
        <v>#VALUE!</v>
      </c>
      <c r="AF214" s="185" t="e">
        <f t="shared" ca="1" si="88"/>
        <v>#VALUE!</v>
      </c>
      <c r="AG214" s="185" t="e">
        <f t="shared" ca="1" si="88"/>
        <v>#VALUE!</v>
      </c>
      <c r="AH214" s="185" t="e">
        <f t="shared" ca="1" si="88"/>
        <v>#VALUE!</v>
      </c>
      <c r="AI214" s="185" t="e">
        <f t="shared" ca="1" si="88"/>
        <v>#VALUE!</v>
      </c>
      <c r="AJ214" s="185" t="e">
        <f t="shared" ca="1" si="88"/>
        <v>#VALUE!</v>
      </c>
      <c r="AK214" s="185" t="e">
        <f t="shared" ca="1" si="88"/>
        <v>#VALUE!</v>
      </c>
      <c r="AL214" s="185" t="e">
        <f t="shared" ca="1" si="88"/>
        <v>#VALUE!</v>
      </c>
      <c r="AM214" s="185" t="e">
        <f t="shared" ca="1" si="88"/>
        <v>#VALUE!</v>
      </c>
      <c r="AN214" s="185" t="e">
        <f t="shared" ca="1" si="88"/>
        <v>#VALUE!</v>
      </c>
      <c r="AO214" s="185" t="e">
        <f t="shared" ca="1" si="88"/>
        <v>#VALUE!</v>
      </c>
      <c r="AP214" s="185" t="e">
        <f t="shared" ca="1" si="88"/>
        <v>#VALUE!</v>
      </c>
    </row>
    <row r="215" spans="1:42">
      <c r="A215" s="57" t="str">
        <f>'[4]TS BYDem'!A154</f>
        <v>*</v>
      </c>
      <c r="B215" s="185" t="s">
        <v>288</v>
      </c>
      <c r="C215" s="185" t="s">
        <v>137</v>
      </c>
      <c r="D215" s="185" t="str">
        <f>'[4]TS BYDem'!D154</f>
        <v>IPPL</v>
      </c>
      <c r="E215" s="185" t="s">
        <v>137</v>
      </c>
      <c r="F215" s="185" t="s">
        <v>137</v>
      </c>
      <c r="G215" s="185" t="s">
        <v>137</v>
      </c>
      <c r="H215" s="185" t="s">
        <v>137</v>
      </c>
      <c r="I215" s="185">
        <v>0</v>
      </c>
      <c r="J215" s="185" t="str">
        <f>INDEX('[4]TS BYDem'!$J$10:$J$203,MATCH(D215,'[4]TS BYDem'!$D$10:$D$203,0))</f>
        <v/>
      </c>
      <c r="K215" s="185" t="e">
        <f t="shared" ca="1" si="87"/>
        <v>#VALUE!</v>
      </c>
      <c r="L215" s="185" t="e">
        <f t="shared" ca="1" si="87"/>
        <v>#VALUE!</v>
      </c>
      <c r="M215" s="185" t="e">
        <f t="shared" ca="1" si="87"/>
        <v>#VALUE!</v>
      </c>
      <c r="N215" s="185" t="e">
        <f t="shared" ca="1" si="87"/>
        <v>#VALUE!</v>
      </c>
      <c r="O215" s="185" t="e">
        <f t="shared" ca="1" si="87"/>
        <v>#VALUE!</v>
      </c>
      <c r="P215" s="185" t="e">
        <f t="shared" ca="1" si="87"/>
        <v>#VALUE!</v>
      </c>
      <c r="Q215" s="185" t="e">
        <f t="shared" ca="1" si="87"/>
        <v>#VALUE!</v>
      </c>
      <c r="R215" s="185" t="e">
        <f t="shared" ca="1" si="87"/>
        <v>#VALUE!</v>
      </c>
      <c r="S215" s="185" t="e">
        <f t="shared" ca="1" si="87"/>
        <v>#VALUE!</v>
      </c>
      <c r="T215" s="185" t="e">
        <f t="shared" ca="1" si="87"/>
        <v>#VALUE!</v>
      </c>
      <c r="U215" s="185" t="e">
        <f t="shared" ca="1" si="87"/>
        <v>#VALUE!</v>
      </c>
      <c r="V215" s="185" t="e">
        <f t="shared" ca="1" si="87"/>
        <v>#VALUE!</v>
      </c>
      <c r="W215" s="185" t="e">
        <f t="shared" ca="1" si="87"/>
        <v>#VALUE!</v>
      </c>
      <c r="X215" s="185" t="e">
        <f t="shared" ca="1" si="87"/>
        <v>#VALUE!</v>
      </c>
      <c r="Y215" s="185" t="e">
        <f t="shared" ca="1" si="87"/>
        <v>#VALUE!</v>
      </c>
      <c r="Z215" s="185" t="e">
        <f t="shared" ca="1" si="87"/>
        <v>#VALUE!</v>
      </c>
      <c r="AA215" s="185" t="e">
        <f t="shared" ca="1" si="88"/>
        <v>#VALUE!</v>
      </c>
      <c r="AB215" s="185" t="e">
        <f t="shared" ca="1" si="88"/>
        <v>#VALUE!</v>
      </c>
      <c r="AC215" s="185" t="e">
        <f t="shared" ca="1" si="88"/>
        <v>#VALUE!</v>
      </c>
      <c r="AD215" s="185" t="e">
        <f t="shared" ca="1" si="88"/>
        <v>#VALUE!</v>
      </c>
      <c r="AE215" s="185" t="e">
        <f t="shared" ca="1" si="88"/>
        <v>#VALUE!</v>
      </c>
      <c r="AF215" s="185" t="e">
        <f t="shared" ca="1" si="88"/>
        <v>#VALUE!</v>
      </c>
      <c r="AG215" s="185" t="e">
        <f t="shared" ca="1" si="88"/>
        <v>#VALUE!</v>
      </c>
      <c r="AH215" s="185" t="e">
        <f t="shared" ca="1" si="88"/>
        <v>#VALUE!</v>
      </c>
      <c r="AI215" s="185" t="e">
        <f t="shared" ca="1" si="88"/>
        <v>#VALUE!</v>
      </c>
      <c r="AJ215" s="185" t="e">
        <f t="shared" ca="1" si="88"/>
        <v>#VALUE!</v>
      </c>
      <c r="AK215" s="185" t="e">
        <f t="shared" ca="1" si="88"/>
        <v>#VALUE!</v>
      </c>
      <c r="AL215" s="185" t="e">
        <f t="shared" ca="1" si="88"/>
        <v>#VALUE!</v>
      </c>
      <c r="AM215" s="185" t="e">
        <f t="shared" ca="1" si="88"/>
        <v>#VALUE!</v>
      </c>
      <c r="AN215" s="185" t="e">
        <f t="shared" ca="1" si="88"/>
        <v>#VALUE!</v>
      </c>
      <c r="AO215" s="185" t="e">
        <f t="shared" ca="1" si="88"/>
        <v>#VALUE!</v>
      </c>
      <c r="AP215" s="185" t="e">
        <f t="shared" ca="1" si="88"/>
        <v>#VALUE!</v>
      </c>
    </row>
    <row r="216" spans="1:42">
      <c r="A216" s="57" t="str">
        <f>'[4]TS BYDem'!A155</f>
        <v>*</v>
      </c>
      <c r="B216" s="185" t="s">
        <v>288</v>
      </c>
      <c r="C216" s="185" t="s">
        <v>137</v>
      </c>
      <c r="D216" s="185" t="str">
        <f>'[4]TS BYDem'!D155</f>
        <v>IPPC</v>
      </c>
      <c r="E216" s="185" t="s">
        <v>137</v>
      </c>
      <c r="F216" s="185" t="s">
        <v>137</v>
      </c>
      <c r="G216" s="185" t="s">
        <v>137</v>
      </c>
      <c r="H216" s="185" t="s">
        <v>137</v>
      </c>
      <c r="I216" s="185">
        <v>0</v>
      </c>
      <c r="J216" s="185" t="str">
        <f>INDEX('[4]TS BYDem'!$J$10:$J$203,MATCH(D216,'[4]TS BYDem'!$D$10:$D$203,0))</f>
        <v/>
      </c>
      <c r="K216" s="185" t="e">
        <f t="shared" ca="1" si="87"/>
        <v>#VALUE!</v>
      </c>
      <c r="L216" s="185" t="e">
        <f t="shared" ca="1" si="87"/>
        <v>#VALUE!</v>
      </c>
      <c r="M216" s="185" t="e">
        <f t="shared" ca="1" si="87"/>
        <v>#VALUE!</v>
      </c>
      <c r="N216" s="185" t="e">
        <f t="shared" ca="1" si="87"/>
        <v>#VALUE!</v>
      </c>
      <c r="O216" s="185" t="e">
        <f t="shared" ca="1" si="87"/>
        <v>#VALUE!</v>
      </c>
      <c r="P216" s="185" t="e">
        <f t="shared" ca="1" si="87"/>
        <v>#VALUE!</v>
      </c>
      <c r="Q216" s="185" t="e">
        <f t="shared" ca="1" si="87"/>
        <v>#VALUE!</v>
      </c>
      <c r="R216" s="185" t="e">
        <f t="shared" ca="1" si="87"/>
        <v>#VALUE!</v>
      </c>
      <c r="S216" s="185" t="e">
        <f t="shared" ca="1" si="87"/>
        <v>#VALUE!</v>
      </c>
      <c r="T216" s="185" t="e">
        <f t="shared" ca="1" si="87"/>
        <v>#VALUE!</v>
      </c>
      <c r="U216" s="185" t="e">
        <f t="shared" ca="1" si="87"/>
        <v>#VALUE!</v>
      </c>
      <c r="V216" s="185" t="e">
        <f t="shared" ca="1" si="87"/>
        <v>#VALUE!</v>
      </c>
      <c r="W216" s="185" t="e">
        <f t="shared" ca="1" si="87"/>
        <v>#VALUE!</v>
      </c>
      <c r="X216" s="185" t="e">
        <f t="shared" ca="1" si="87"/>
        <v>#VALUE!</v>
      </c>
      <c r="Y216" s="185" t="e">
        <f t="shared" ca="1" si="87"/>
        <v>#VALUE!</v>
      </c>
      <c r="Z216" s="185" t="e">
        <f t="shared" ca="1" si="87"/>
        <v>#VALUE!</v>
      </c>
      <c r="AA216" s="185" t="e">
        <f t="shared" ca="1" si="88"/>
        <v>#VALUE!</v>
      </c>
      <c r="AB216" s="185" t="e">
        <f t="shared" ca="1" si="88"/>
        <v>#VALUE!</v>
      </c>
      <c r="AC216" s="185" t="e">
        <f t="shared" ca="1" si="88"/>
        <v>#VALUE!</v>
      </c>
      <c r="AD216" s="185" t="e">
        <f t="shared" ca="1" si="88"/>
        <v>#VALUE!</v>
      </c>
      <c r="AE216" s="185" t="e">
        <f t="shared" ca="1" si="88"/>
        <v>#VALUE!</v>
      </c>
      <c r="AF216" s="185" t="e">
        <f t="shared" ca="1" si="88"/>
        <v>#VALUE!</v>
      </c>
      <c r="AG216" s="185" t="e">
        <f t="shared" ca="1" si="88"/>
        <v>#VALUE!</v>
      </c>
      <c r="AH216" s="185" t="e">
        <f t="shared" ca="1" si="88"/>
        <v>#VALUE!</v>
      </c>
      <c r="AI216" s="185" t="e">
        <f t="shared" ca="1" si="88"/>
        <v>#VALUE!</v>
      </c>
      <c r="AJ216" s="185" t="e">
        <f t="shared" ca="1" si="88"/>
        <v>#VALUE!</v>
      </c>
      <c r="AK216" s="185" t="e">
        <f t="shared" ca="1" si="88"/>
        <v>#VALUE!</v>
      </c>
      <c r="AL216" s="185" t="e">
        <f t="shared" ca="1" si="88"/>
        <v>#VALUE!</v>
      </c>
      <c r="AM216" s="185" t="e">
        <f t="shared" ca="1" si="88"/>
        <v>#VALUE!</v>
      </c>
      <c r="AN216" s="185" t="e">
        <f t="shared" ca="1" si="88"/>
        <v>#VALUE!</v>
      </c>
      <c r="AO216" s="185" t="e">
        <f t="shared" ca="1" si="88"/>
        <v>#VALUE!</v>
      </c>
      <c r="AP216" s="185" t="e">
        <f t="shared" ca="1" si="88"/>
        <v>#VALUE!</v>
      </c>
    </row>
    <row r="217" spans="1:42">
      <c r="A217" s="57" t="str">
        <f>'[4]TS BYDem'!A156</f>
        <v>*</v>
      </c>
      <c r="B217" s="185" t="s">
        <v>288</v>
      </c>
      <c r="C217" s="185" t="s">
        <v>137</v>
      </c>
      <c r="D217" s="185" t="str">
        <f>'[4]TS BYDem'!D156</f>
        <v>IPPH</v>
      </c>
      <c r="E217" s="185" t="s">
        <v>137</v>
      </c>
      <c r="F217" s="185" t="s">
        <v>137</v>
      </c>
      <c r="G217" s="185" t="s">
        <v>137</v>
      </c>
      <c r="H217" s="185" t="s">
        <v>137</v>
      </c>
      <c r="I217" s="185">
        <v>0</v>
      </c>
      <c r="J217" s="185" t="str">
        <f>INDEX('[4]TS BYDem'!$J$10:$J$203,MATCH(D217,'[4]TS BYDem'!$D$10:$D$203,0))</f>
        <v/>
      </c>
      <c r="K217" s="185" t="e">
        <f t="shared" ca="1" si="87"/>
        <v>#VALUE!</v>
      </c>
      <c r="L217" s="185" t="e">
        <f t="shared" ca="1" si="87"/>
        <v>#VALUE!</v>
      </c>
      <c r="M217" s="185" t="e">
        <f t="shared" ca="1" si="87"/>
        <v>#VALUE!</v>
      </c>
      <c r="N217" s="185" t="e">
        <f t="shared" ca="1" si="87"/>
        <v>#VALUE!</v>
      </c>
      <c r="O217" s="185" t="e">
        <f t="shared" ca="1" si="87"/>
        <v>#VALUE!</v>
      </c>
      <c r="P217" s="185" t="e">
        <f t="shared" ca="1" si="87"/>
        <v>#VALUE!</v>
      </c>
      <c r="Q217" s="185" t="e">
        <f t="shared" ca="1" si="87"/>
        <v>#VALUE!</v>
      </c>
      <c r="R217" s="185" t="e">
        <f t="shared" ca="1" si="87"/>
        <v>#VALUE!</v>
      </c>
      <c r="S217" s="185" t="e">
        <f t="shared" ca="1" si="87"/>
        <v>#VALUE!</v>
      </c>
      <c r="T217" s="185" t="e">
        <f t="shared" ca="1" si="87"/>
        <v>#VALUE!</v>
      </c>
      <c r="U217" s="185" t="e">
        <f t="shared" ca="1" si="87"/>
        <v>#VALUE!</v>
      </c>
      <c r="V217" s="185" t="e">
        <f t="shared" ca="1" si="87"/>
        <v>#VALUE!</v>
      </c>
      <c r="W217" s="185" t="e">
        <f t="shared" ca="1" si="87"/>
        <v>#VALUE!</v>
      </c>
      <c r="X217" s="185" t="e">
        <f t="shared" ca="1" si="87"/>
        <v>#VALUE!</v>
      </c>
      <c r="Y217" s="185" t="e">
        <f t="shared" ca="1" si="87"/>
        <v>#VALUE!</v>
      </c>
      <c r="Z217" s="185" t="e">
        <f t="shared" ca="1" si="87"/>
        <v>#VALUE!</v>
      </c>
      <c r="AA217" s="185" t="e">
        <f t="shared" ca="1" si="88"/>
        <v>#VALUE!</v>
      </c>
      <c r="AB217" s="185" t="e">
        <f t="shared" ca="1" si="88"/>
        <v>#VALUE!</v>
      </c>
      <c r="AC217" s="185" t="e">
        <f t="shared" ca="1" si="88"/>
        <v>#VALUE!</v>
      </c>
      <c r="AD217" s="185" t="e">
        <f t="shared" ca="1" si="88"/>
        <v>#VALUE!</v>
      </c>
      <c r="AE217" s="185" t="e">
        <f t="shared" ca="1" si="88"/>
        <v>#VALUE!</v>
      </c>
      <c r="AF217" s="185" t="e">
        <f t="shared" ca="1" si="88"/>
        <v>#VALUE!</v>
      </c>
      <c r="AG217" s="185" t="e">
        <f t="shared" ca="1" si="88"/>
        <v>#VALUE!</v>
      </c>
      <c r="AH217" s="185" t="e">
        <f t="shared" ca="1" si="88"/>
        <v>#VALUE!</v>
      </c>
      <c r="AI217" s="185" t="e">
        <f t="shared" ca="1" si="88"/>
        <v>#VALUE!</v>
      </c>
      <c r="AJ217" s="185" t="e">
        <f t="shared" ca="1" si="88"/>
        <v>#VALUE!</v>
      </c>
      <c r="AK217" s="185" t="e">
        <f t="shared" ca="1" si="88"/>
        <v>#VALUE!</v>
      </c>
      <c r="AL217" s="185" t="e">
        <f t="shared" ca="1" si="88"/>
        <v>#VALUE!</v>
      </c>
      <c r="AM217" s="185" t="e">
        <f t="shared" ca="1" si="88"/>
        <v>#VALUE!</v>
      </c>
      <c r="AN217" s="185" t="e">
        <f t="shared" ca="1" si="88"/>
        <v>#VALUE!</v>
      </c>
      <c r="AO217" s="185" t="e">
        <f t="shared" ca="1" si="88"/>
        <v>#VALUE!</v>
      </c>
      <c r="AP217" s="185" t="e">
        <f t="shared" ca="1" si="88"/>
        <v>#VALUE!</v>
      </c>
    </row>
    <row r="218" spans="1:42">
      <c r="A218" s="57" t="str">
        <f>'[4]TS BYDem'!A157</f>
        <v>*</v>
      </c>
      <c r="B218" s="185" t="s">
        <v>288</v>
      </c>
      <c r="C218" s="185" t="s">
        <v>137</v>
      </c>
      <c r="D218" s="185" t="str">
        <f>'[4]TS BYDem'!D157</f>
        <v>IPPP</v>
      </c>
      <c r="E218" s="185" t="s">
        <v>137</v>
      </c>
      <c r="F218" s="185" t="s">
        <v>137</v>
      </c>
      <c r="G218" s="185" t="s">
        <v>137</v>
      </c>
      <c r="H218" s="185" t="s">
        <v>137</v>
      </c>
      <c r="I218" s="185">
        <v>0</v>
      </c>
      <c r="J218" s="185" t="str">
        <f>INDEX('[4]TS BYDem'!$J$10:$J$203,MATCH(D218,'[4]TS BYDem'!$D$10:$D$203,0))</f>
        <v/>
      </c>
      <c r="K218" s="185" t="e">
        <f t="shared" ca="1" si="87"/>
        <v>#VALUE!</v>
      </c>
      <c r="L218" s="185" t="e">
        <f t="shared" ca="1" si="87"/>
        <v>#VALUE!</v>
      </c>
      <c r="M218" s="185" t="e">
        <f t="shared" ca="1" si="87"/>
        <v>#VALUE!</v>
      </c>
      <c r="N218" s="185" t="e">
        <f t="shared" ca="1" si="87"/>
        <v>#VALUE!</v>
      </c>
      <c r="O218" s="185" t="e">
        <f t="shared" ca="1" si="87"/>
        <v>#VALUE!</v>
      </c>
      <c r="P218" s="185" t="e">
        <f t="shared" ca="1" si="87"/>
        <v>#VALUE!</v>
      </c>
      <c r="Q218" s="185" t="e">
        <f t="shared" ca="1" si="87"/>
        <v>#VALUE!</v>
      </c>
      <c r="R218" s="185" t="e">
        <f t="shared" ca="1" si="87"/>
        <v>#VALUE!</v>
      </c>
      <c r="S218" s="185" t="e">
        <f t="shared" ca="1" si="87"/>
        <v>#VALUE!</v>
      </c>
      <c r="T218" s="185" t="e">
        <f t="shared" ca="1" si="87"/>
        <v>#VALUE!</v>
      </c>
      <c r="U218" s="185" t="e">
        <f t="shared" ca="1" si="87"/>
        <v>#VALUE!</v>
      </c>
      <c r="V218" s="185" t="e">
        <f t="shared" ca="1" si="87"/>
        <v>#VALUE!</v>
      </c>
      <c r="W218" s="185" t="e">
        <f t="shared" ca="1" si="87"/>
        <v>#VALUE!</v>
      </c>
      <c r="X218" s="185" t="e">
        <f t="shared" ca="1" si="87"/>
        <v>#VALUE!</v>
      </c>
      <c r="Y218" s="185" t="e">
        <f t="shared" ca="1" si="87"/>
        <v>#VALUE!</v>
      </c>
      <c r="Z218" s="185" t="e">
        <f t="shared" ca="1" si="87"/>
        <v>#VALUE!</v>
      </c>
      <c r="AA218" s="185" t="e">
        <f t="shared" ca="1" si="88"/>
        <v>#VALUE!</v>
      </c>
      <c r="AB218" s="185" t="e">
        <f t="shared" ca="1" si="88"/>
        <v>#VALUE!</v>
      </c>
      <c r="AC218" s="185" t="e">
        <f t="shared" ca="1" si="88"/>
        <v>#VALUE!</v>
      </c>
      <c r="AD218" s="185" t="e">
        <f t="shared" ca="1" si="88"/>
        <v>#VALUE!</v>
      </c>
      <c r="AE218" s="185" t="e">
        <f t="shared" ca="1" si="88"/>
        <v>#VALUE!</v>
      </c>
      <c r="AF218" s="185" t="e">
        <f t="shared" ca="1" si="88"/>
        <v>#VALUE!</v>
      </c>
      <c r="AG218" s="185" t="e">
        <f t="shared" ca="1" si="88"/>
        <v>#VALUE!</v>
      </c>
      <c r="AH218" s="185" t="e">
        <f t="shared" ca="1" si="88"/>
        <v>#VALUE!</v>
      </c>
      <c r="AI218" s="185" t="e">
        <f t="shared" ca="1" si="88"/>
        <v>#VALUE!</v>
      </c>
      <c r="AJ218" s="185" t="e">
        <f t="shared" ca="1" si="88"/>
        <v>#VALUE!</v>
      </c>
      <c r="AK218" s="185" t="e">
        <f t="shared" ca="1" si="88"/>
        <v>#VALUE!</v>
      </c>
      <c r="AL218" s="185" t="e">
        <f t="shared" ca="1" si="88"/>
        <v>#VALUE!</v>
      </c>
      <c r="AM218" s="185" t="e">
        <f t="shared" ca="1" si="88"/>
        <v>#VALUE!</v>
      </c>
      <c r="AN218" s="185" t="e">
        <f t="shared" ca="1" si="88"/>
        <v>#VALUE!</v>
      </c>
      <c r="AO218" s="185" t="e">
        <f t="shared" ca="1" si="88"/>
        <v>#VALUE!</v>
      </c>
      <c r="AP218" s="185" t="e">
        <f t="shared" ca="1" si="88"/>
        <v>#VALUE!</v>
      </c>
    </row>
    <row r="219" spans="1:42">
      <c r="A219" s="57" t="str">
        <f>'[4]TS BYDem'!A158</f>
        <v>*</v>
      </c>
      <c r="B219" s="185" t="s">
        <v>288</v>
      </c>
      <c r="C219" s="185" t="s">
        <v>137</v>
      </c>
      <c r="D219" s="185" t="str">
        <f>'[4]TS BYDem'!D158</f>
        <v>IPPF</v>
      </c>
      <c r="E219" s="185" t="s">
        <v>137</v>
      </c>
      <c r="F219" s="185" t="s">
        <v>137</v>
      </c>
      <c r="G219" s="185" t="s">
        <v>137</v>
      </c>
      <c r="H219" s="185" t="s">
        <v>137</v>
      </c>
      <c r="I219" s="185">
        <v>0</v>
      </c>
      <c r="J219" s="185" t="str">
        <f>INDEX('[4]TS BYDem'!$J$10:$J$203,MATCH(D219,'[4]TS BYDem'!$D$10:$D$203,0))</f>
        <v/>
      </c>
      <c r="K219" s="185" t="e">
        <f t="shared" ca="1" si="87"/>
        <v>#VALUE!</v>
      </c>
      <c r="L219" s="185" t="e">
        <f t="shared" ca="1" si="87"/>
        <v>#VALUE!</v>
      </c>
      <c r="M219" s="185" t="e">
        <f t="shared" ca="1" si="87"/>
        <v>#VALUE!</v>
      </c>
      <c r="N219" s="185" t="e">
        <f t="shared" ca="1" si="87"/>
        <v>#VALUE!</v>
      </c>
      <c r="O219" s="185" t="e">
        <f t="shared" ca="1" si="87"/>
        <v>#VALUE!</v>
      </c>
      <c r="P219" s="185" t="e">
        <f t="shared" ca="1" si="87"/>
        <v>#VALUE!</v>
      </c>
      <c r="Q219" s="185" t="e">
        <f t="shared" ca="1" si="87"/>
        <v>#VALUE!</v>
      </c>
      <c r="R219" s="185" t="e">
        <f t="shared" ca="1" si="87"/>
        <v>#VALUE!</v>
      </c>
      <c r="S219" s="185" t="e">
        <f t="shared" ca="1" si="87"/>
        <v>#VALUE!</v>
      </c>
      <c r="T219" s="185" t="e">
        <f t="shared" ca="1" si="87"/>
        <v>#VALUE!</v>
      </c>
      <c r="U219" s="185" t="e">
        <f t="shared" ca="1" si="87"/>
        <v>#VALUE!</v>
      </c>
      <c r="V219" s="185" t="e">
        <f t="shared" ca="1" si="87"/>
        <v>#VALUE!</v>
      </c>
      <c r="W219" s="185" t="e">
        <f t="shared" ca="1" si="87"/>
        <v>#VALUE!</v>
      </c>
      <c r="X219" s="185" t="e">
        <f t="shared" ca="1" si="87"/>
        <v>#VALUE!</v>
      </c>
      <c r="Y219" s="185" t="e">
        <f t="shared" ca="1" si="87"/>
        <v>#VALUE!</v>
      </c>
      <c r="Z219" s="185" t="e">
        <f t="shared" ca="1" si="87"/>
        <v>#VALUE!</v>
      </c>
      <c r="AA219" s="185" t="e">
        <f t="shared" ca="1" si="88"/>
        <v>#VALUE!</v>
      </c>
      <c r="AB219" s="185" t="e">
        <f t="shared" ca="1" si="88"/>
        <v>#VALUE!</v>
      </c>
      <c r="AC219" s="185" t="e">
        <f t="shared" ca="1" si="88"/>
        <v>#VALUE!</v>
      </c>
      <c r="AD219" s="185" t="e">
        <f t="shared" ca="1" si="88"/>
        <v>#VALUE!</v>
      </c>
      <c r="AE219" s="185" t="e">
        <f t="shared" ca="1" si="88"/>
        <v>#VALUE!</v>
      </c>
      <c r="AF219" s="185" t="e">
        <f t="shared" ca="1" si="88"/>
        <v>#VALUE!</v>
      </c>
      <c r="AG219" s="185" t="e">
        <f t="shared" ca="1" si="88"/>
        <v>#VALUE!</v>
      </c>
      <c r="AH219" s="185" t="e">
        <f t="shared" ca="1" si="88"/>
        <v>#VALUE!</v>
      </c>
      <c r="AI219" s="185" t="e">
        <f t="shared" ca="1" si="88"/>
        <v>#VALUE!</v>
      </c>
      <c r="AJ219" s="185" t="e">
        <f t="shared" ca="1" si="88"/>
        <v>#VALUE!</v>
      </c>
      <c r="AK219" s="185" t="e">
        <f t="shared" ca="1" si="88"/>
        <v>#VALUE!</v>
      </c>
      <c r="AL219" s="185" t="e">
        <f t="shared" ca="1" si="88"/>
        <v>#VALUE!</v>
      </c>
      <c r="AM219" s="185" t="e">
        <f t="shared" ca="1" si="88"/>
        <v>#VALUE!</v>
      </c>
      <c r="AN219" s="185" t="e">
        <f t="shared" ca="1" si="88"/>
        <v>#VALUE!</v>
      </c>
      <c r="AO219" s="185" t="e">
        <f t="shared" ca="1" si="88"/>
        <v>#VALUE!</v>
      </c>
      <c r="AP219" s="185" t="e">
        <f t="shared" ca="1" si="88"/>
        <v>#VALUE!</v>
      </c>
    </row>
    <row r="220" spans="1:42">
      <c r="A220" s="57" t="str">
        <f>'[4]TS BYDem'!A159</f>
        <v>*</v>
      </c>
      <c r="B220" s="185" t="s">
        <v>288</v>
      </c>
      <c r="C220" s="185" t="s">
        <v>137</v>
      </c>
      <c r="D220" s="185" t="str">
        <f>'[4]TS BYDem'!D159</f>
        <v>IPPO</v>
      </c>
      <c r="E220" s="185" t="s">
        <v>137</v>
      </c>
      <c r="F220" s="185" t="s">
        <v>137</v>
      </c>
      <c r="G220" s="185" t="s">
        <v>137</v>
      </c>
      <c r="H220" s="185" t="s">
        <v>137</v>
      </c>
      <c r="I220" s="185">
        <v>0</v>
      </c>
      <c r="J220" s="185" t="str">
        <f>INDEX('[4]TS BYDem'!$J$10:$J$203,MATCH(D220,'[4]TS BYDem'!$D$10:$D$203,0))</f>
        <v/>
      </c>
      <c r="K220" s="185" t="e">
        <f t="shared" ca="1" si="87"/>
        <v>#VALUE!</v>
      </c>
      <c r="L220" s="185" t="e">
        <f t="shared" ca="1" si="87"/>
        <v>#VALUE!</v>
      </c>
      <c r="M220" s="185" t="e">
        <f t="shared" ca="1" si="87"/>
        <v>#VALUE!</v>
      </c>
      <c r="N220" s="185" t="e">
        <f t="shared" ca="1" si="87"/>
        <v>#VALUE!</v>
      </c>
      <c r="O220" s="185" t="e">
        <f t="shared" ca="1" si="87"/>
        <v>#VALUE!</v>
      </c>
      <c r="P220" s="185" t="e">
        <f t="shared" ca="1" si="87"/>
        <v>#VALUE!</v>
      </c>
      <c r="Q220" s="185" t="e">
        <f t="shared" ca="1" si="87"/>
        <v>#VALUE!</v>
      </c>
      <c r="R220" s="185" t="e">
        <f t="shared" ca="1" si="87"/>
        <v>#VALUE!</v>
      </c>
      <c r="S220" s="185" t="e">
        <f t="shared" ca="1" si="87"/>
        <v>#VALUE!</v>
      </c>
      <c r="T220" s="185" t="e">
        <f t="shared" ca="1" si="87"/>
        <v>#VALUE!</v>
      </c>
      <c r="U220" s="185" t="e">
        <f t="shared" ca="1" si="87"/>
        <v>#VALUE!</v>
      </c>
      <c r="V220" s="185" t="e">
        <f t="shared" ca="1" si="87"/>
        <v>#VALUE!</v>
      </c>
      <c r="W220" s="185" t="e">
        <f t="shared" ca="1" si="87"/>
        <v>#VALUE!</v>
      </c>
      <c r="X220" s="185" t="e">
        <f t="shared" ca="1" si="87"/>
        <v>#VALUE!</v>
      </c>
      <c r="Y220" s="185" t="e">
        <f t="shared" ca="1" si="87"/>
        <v>#VALUE!</v>
      </c>
      <c r="Z220" s="185" t="e">
        <f t="shared" ca="1" si="87"/>
        <v>#VALUE!</v>
      </c>
      <c r="AA220" s="185" t="e">
        <f t="shared" ca="1" si="88"/>
        <v>#VALUE!</v>
      </c>
      <c r="AB220" s="185" t="e">
        <f t="shared" ca="1" si="88"/>
        <v>#VALUE!</v>
      </c>
      <c r="AC220" s="185" t="e">
        <f t="shared" ca="1" si="88"/>
        <v>#VALUE!</v>
      </c>
      <c r="AD220" s="185" t="e">
        <f t="shared" ca="1" si="88"/>
        <v>#VALUE!</v>
      </c>
      <c r="AE220" s="185" t="e">
        <f t="shared" ca="1" si="88"/>
        <v>#VALUE!</v>
      </c>
      <c r="AF220" s="185" t="e">
        <f t="shared" ca="1" si="88"/>
        <v>#VALUE!</v>
      </c>
      <c r="AG220" s="185" t="e">
        <f t="shared" ca="1" si="88"/>
        <v>#VALUE!</v>
      </c>
      <c r="AH220" s="185" t="e">
        <f t="shared" ca="1" si="88"/>
        <v>#VALUE!</v>
      </c>
      <c r="AI220" s="185" t="e">
        <f t="shared" ca="1" si="88"/>
        <v>#VALUE!</v>
      </c>
      <c r="AJ220" s="185" t="e">
        <f t="shared" ca="1" si="88"/>
        <v>#VALUE!</v>
      </c>
      <c r="AK220" s="185" t="e">
        <f t="shared" ca="1" si="88"/>
        <v>#VALUE!</v>
      </c>
      <c r="AL220" s="185" t="e">
        <f t="shared" ca="1" si="88"/>
        <v>#VALUE!</v>
      </c>
      <c r="AM220" s="185" t="e">
        <f t="shared" ca="1" si="88"/>
        <v>#VALUE!</v>
      </c>
      <c r="AN220" s="185" t="e">
        <f t="shared" ca="1" si="88"/>
        <v>#VALUE!</v>
      </c>
      <c r="AO220" s="185" t="e">
        <f t="shared" ca="1" si="88"/>
        <v>#VALUE!</v>
      </c>
      <c r="AP220" s="185" t="e">
        <f t="shared" ca="1" si="88"/>
        <v>#VALUE!</v>
      </c>
    </row>
    <row r="221" spans="1:42">
      <c r="A221" s="57" t="str">
        <f>'[4]TS BYDem'!A160</f>
        <v>*</v>
      </c>
      <c r="B221" s="185" t="s">
        <v>288</v>
      </c>
      <c r="C221" s="185" t="s">
        <v>137</v>
      </c>
      <c r="D221" s="185" t="str">
        <f>'[4]TS BYDem'!D160</f>
        <v>IPPE</v>
      </c>
      <c r="E221" s="185" t="s">
        <v>137</v>
      </c>
      <c r="F221" s="185" t="s">
        <v>137</v>
      </c>
      <c r="G221" s="185" t="s">
        <v>137</v>
      </c>
      <c r="H221" s="185" t="s">
        <v>137</v>
      </c>
      <c r="I221" s="185">
        <v>0</v>
      </c>
      <c r="J221" s="185" t="str">
        <f>INDEX('[4]TS BYDem'!$J$10:$J$203,MATCH(D221,'[4]TS BYDem'!$D$10:$D$203,0))</f>
        <v/>
      </c>
      <c r="K221" s="185" t="e">
        <f t="shared" ca="1" si="87"/>
        <v>#VALUE!</v>
      </c>
      <c r="L221" s="185" t="e">
        <f t="shared" ca="1" si="87"/>
        <v>#VALUE!</v>
      </c>
      <c r="M221" s="185" t="e">
        <f t="shared" ca="1" si="87"/>
        <v>#VALUE!</v>
      </c>
      <c r="N221" s="185" t="e">
        <f t="shared" ca="1" si="87"/>
        <v>#VALUE!</v>
      </c>
      <c r="O221" s="185" t="e">
        <f t="shared" ca="1" si="87"/>
        <v>#VALUE!</v>
      </c>
      <c r="P221" s="185" t="e">
        <f t="shared" ca="1" si="87"/>
        <v>#VALUE!</v>
      </c>
      <c r="Q221" s="185" t="e">
        <f t="shared" ca="1" si="87"/>
        <v>#VALUE!</v>
      </c>
      <c r="R221" s="185" t="e">
        <f t="shared" ca="1" si="87"/>
        <v>#VALUE!</v>
      </c>
      <c r="S221" s="185" t="e">
        <f t="shared" ca="1" si="87"/>
        <v>#VALUE!</v>
      </c>
      <c r="T221" s="185" t="e">
        <f t="shared" ca="1" si="87"/>
        <v>#VALUE!</v>
      </c>
      <c r="U221" s="185" t="e">
        <f t="shared" ca="1" si="87"/>
        <v>#VALUE!</v>
      </c>
      <c r="V221" s="185" t="e">
        <f t="shared" ca="1" si="87"/>
        <v>#VALUE!</v>
      </c>
      <c r="W221" s="185" t="e">
        <f t="shared" ca="1" si="87"/>
        <v>#VALUE!</v>
      </c>
      <c r="X221" s="185" t="e">
        <f t="shared" ca="1" si="87"/>
        <v>#VALUE!</v>
      </c>
      <c r="Y221" s="185" t="e">
        <f t="shared" ca="1" si="87"/>
        <v>#VALUE!</v>
      </c>
      <c r="Z221" s="185" t="e">
        <f t="shared" ca="1" si="87"/>
        <v>#VALUE!</v>
      </c>
      <c r="AA221" s="185" t="e">
        <f t="shared" ca="1" si="88"/>
        <v>#VALUE!</v>
      </c>
      <c r="AB221" s="185" t="e">
        <f t="shared" ca="1" si="88"/>
        <v>#VALUE!</v>
      </c>
      <c r="AC221" s="185" t="e">
        <f t="shared" ca="1" si="88"/>
        <v>#VALUE!</v>
      </c>
      <c r="AD221" s="185" t="e">
        <f t="shared" ca="1" si="88"/>
        <v>#VALUE!</v>
      </c>
      <c r="AE221" s="185" t="e">
        <f t="shared" ca="1" si="88"/>
        <v>#VALUE!</v>
      </c>
      <c r="AF221" s="185" t="e">
        <f t="shared" ca="1" si="88"/>
        <v>#VALUE!</v>
      </c>
      <c r="AG221" s="185" t="e">
        <f t="shared" ca="1" si="88"/>
        <v>#VALUE!</v>
      </c>
      <c r="AH221" s="185" t="e">
        <f t="shared" ca="1" si="88"/>
        <v>#VALUE!</v>
      </c>
      <c r="AI221" s="185" t="e">
        <f t="shared" ca="1" si="88"/>
        <v>#VALUE!</v>
      </c>
      <c r="AJ221" s="185" t="e">
        <f t="shared" ca="1" si="88"/>
        <v>#VALUE!</v>
      </c>
      <c r="AK221" s="185" t="e">
        <f t="shared" ca="1" si="88"/>
        <v>#VALUE!</v>
      </c>
      <c r="AL221" s="185" t="e">
        <f t="shared" ca="1" si="88"/>
        <v>#VALUE!</v>
      </c>
      <c r="AM221" s="185" t="e">
        <f t="shared" ca="1" si="88"/>
        <v>#VALUE!</v>
      </c>
      <c r="AN221" s="185" t="e">
        <f t="shared" ca="1" si="88"/>
        <v>#VALUE!</v>
      </c>
      <c r="AO221" s="185" t="e">
        <f t="shared" ca="1" si="88"/>
        <v>#VALUE!</v>
      </c>
      <c r="AP221" s="185" t="e">
        <f t="shared" ca="1" si="88"/>
        <v>#VALUE!</v>
      </c>
    </row>
    <row r="222" spans="1:42">
      <c r="A222" s="57" t="str">
        <f>'[4]TS BYDem'!A161</f>
        <v>*</v>
      </c>
      <c r="B222" s="185" t="s">
        <v>288</v>
      </c>
      <c r="C222" s="185" t="s">
        <v>137</v>
      </c>
      <c r="D222" s="185" t="str">
        <f>'[4]TS BYDem'!D161</f>
        <v xml:space="preserve"> </v>
      </c>
      <c r="E222" s="185" t="s">
        <v>137</v>
      </c>
      <c r="F222" s="185" t="s">
        <v>137</v>
      </c>
      <c r="G222" s="185" t="s">
        <v>137</v>
      </c>
      <c r="H222" s="185" t="s">
        <v>137</v>
      </c>
      <c r="I222" s="185">
        <v>0</v>
      </c>
      <c r="J222" s="185" t="str">
        <f>INDEX('[4]TS BYDem'!$J$10:$J$203,MATCH(D222,'[4]TS BYDem'!$D$10:$D$203,0))</f>
        <v/>
      </c>
      <c r="K222" s="185" t="e">
        <f t="shared" ca="1" si="87"/>
        <v>#VALUE!</v>
      </c>
      <c r="L222" s="185" t="e">
        <f t="shared" ca="1" si="87"/>
        <v>#VALUE!</v>
      </c>
      <c r="M222" s="185" t="e">
        <f t="shared" ca="1" si="87"/>
        <v>#VALUE!</v>
      </c>
      <c r="N222" s="185" t="e">
        <f t="shared" ca="1" si="87"/>
        <v>#VALUE!</v>
      </c>
      <c r="O222" s="185" t="e">
        <f t="shared" ca="1" si="87"/>
        <v>#VALUE!</v>
      </c>
      <c r="P222" s="185" t="e">
        <f t="shared" ca="1" si="87"/>
        <v>#VALUE!</v>
      </c>
      <c r="Q222" s="185" t="e">
        <f t="shared" ca="1" si="87"/>
        <v>#VALUE!</v>
      </c>
      <c r="R222" s="185" t="e">
        <f t="shared" ca="1" si="87"/>
        <v>#VALUE!</v>
      </c>
      <c r="S222" s="185" t="e">
        <f t="shared" ca="1" si="87"/>
        <v>#VALUE!</v>
      </c>
      <c r="T222" s="185" t="e">
        <f t="shared" ca="1" si="87"/>
        <v>#VALUE!</v>
      </c>
      <c r="U222" s="185" t="e">
        <f t="shared" ca="1" si="87"/>
        <v>#VALUE!</v>
      </c>
      <c r="V222" s="185" t="e">
        <f t="shared" ca="1" si="87"/>
        <v>#VALUE!</v>
      </c>
      <c r="W222" s="185" t="e">
        <f t="shared" ca="1" si="87"/>
        <v>#VALUE!</v>
      </c>
      <c r="X222" s="185" t="e">
        <f t="shared" ca="1" si="87"/>
        <v>#VALUE!</v>
      </c>
      <c r="Y222" s="185" t="e">
        <f t="shared" ca="1" si="87"/>
        <v>#VALUE!</v>
      </c>
      <c r="Z222" s="185" t="e">
        <f t="shared" ca="1" si="87"/>
        <v>#VALUE!</v>
      </c>
      <c r="AA222" s="185" t="e">
        <f t="shared" ca="1" si="88"/>
        <v>#VALUE!</v>
      </c>
      <c r="AB222" s="185" t="e">
        <f t="shared" ca="1" si="88"/>
        <v>#VALUE!</v>
      </c>
      <c r="AC222" s="185" t="e">
        <f t="shared" ca="1" si="88"/>
        <v>#VALUE!</v>
      </c>
      <c r="AD222" s="185" t="e">
        <f t="shared" ca="1" si="88"/>
        <v>#VALUE!</v>
      </c>
      <c r="AE222" s="185" t="e">
        <f t="shared" ca="1" si="88"/>
        <v>#VALUE!</v>
      </c>
      <c r="AF222" s="185" t="e">
        <f t="shared" ca="1" si="88"/>
        <v>#VALUE!</v>
      </c>
      <c r="AG222" s="185" t="e">
        <f t="shared" ca="1" si="88"/>
        <v>#VALUE!</v>
      </c>
      <c r="AH222" s="185" t="e">
        <f t="shared" ca="1" si="88"/>
        <v>#VALUE!</v>
      </c>
      <c r="AI222" s="185" t="e">
        <f t="shared" ca="1" si="88"/>
        <v>#VALUE!</v>
      </c>
      <c r="AJ222" s="185" t="e">
        <f t="shared" ca="1" si="88"/>
        <v>#VALUE!</v>
      </c>
      <c r="AK222" s="185" t="e">
        <f t="shared" ca="1" si="88"/>
        <v>#VALUE!</v>
      </c>
      <c r="AL222" s="185" t="e">
        <f t="shared" ca="1" si="88"/>
        <v>#VALUE!</v>
      </c>
      <c r="AM222" s="185" t="e">
        <f t="shared" ca="1" si="88"/>
        <v>#VALUE!</v>
      </c>
      <c r="AN222" s="185" t="e">
        <f t="shared" ca="1" si="88"/>
        <v>#VALUE!</v>
      </c>
      <c r="AO222" s="185" t="e">
        <f t="shared" ca="1" si="88"/>
        <v>#VALUE!</v>
      </c>
      <c r="AP222" s="185" t="e">
        <f t="shared" ca="1" si="88"/>
        <v>#VALUE!</v>
      </c>
    </row>
    <row r="223" spans="1:42">
      <c r="A223" s="57" t="str">
        <f>'[4]TS BYDem'!A162</f>
        <v>*</v>
      </c>
      <c r="B223" s="185" t="s">
        <v>288</v>
      </c>
      <c r="C223" s="185" t="s">
        <v>137</v>
      </c>
      <c r="D223" s="185" t="str">
        <f>'[4]TS BYDem'!D162</f>
        <v>IPPS</v>
      </c>
      <c r="E223" s="185" t="s">
        <v>137</v>
      </c>
      <c r="F223" s="185" t="s">
        <v>137</v>
      </c>
      <c r="G223" s="185" t="s">
        <v>137</v>
      </c>
      <c r="H223" s="185" t="s">
        <v>137</v>
      </c>
      <c r="I223" s="185">
        <v>0</v>
      </c>
      <c r="J223" s="185" t="str">
        <f>INDEX('[4]TS BYDem'!$J$10:$J$203,MATCH(D223,'[4]TS BYDem'!$D$10:$D$203,0))</f>
        <v/>
      </c>
      <c r="K223" s="185" t="e">
        <f t="shared" ca="1" si="87"/>
        <v>#VALUE!</v>
      </c>
      <c r="L223" s="185" t="e">
        <f t="shared" ca="1" si="87"/>
        <v>#VALUE!</v>
      </c>
      <c r="M223" s="185" t="e">
        <f t="shared" ca="1" si="87"/>
        <v>#VALUE!</v>
      </c>
      <c r="N223" s="185" t="e">
        <f t="shared" ca="1" si="87"/>
        <v>#VALUE!</v>
      </c>
      <c r="O223" s="185" t="e">
        <f t="shared" ca="1" si="87"/>
        <v>#VALUE!</v>
      </c>
      <c r="P223" s="185" t="e">
        <f t="shared" ca="1" si="87"/>
        <v>#VALUE!</v>
      </c>
      <c r="Q223" s="185" t="e">
        <f t="shared" ca="1" si="87"/>
        <v>#VALUE!</v>
      </c>
      <c r="R223" s="185" t="e">
        <f t="shared" ca="1" si="87"/>
        <v>#VALUE!</v>
      </c>
      <c r="S223" s="185" t="e">
        <f t="shared" ca="1" si="87"/>
        <v>#VALUE!</v>
      </c>
      <c r="T223" s="185" t="e">
        <f t="shared" ca="1" si="87"/>
        <v>#VALUE!</v>
      </c>
      <c r="U223" s="185" t="e">
        <f t="shared" ca="1" si="87"/>
        <v>#VALUE!</v>
      </c>
      <c r="V223" s="185" t="e">
        <f t="shared" ca="1" si="87"/>
        <v>#VALUE!</v>
      </c>
      <c r="W223" s="185" t="e">
        <f t="shared" ca="1" si="87"/>
        <v>#VALUE!</v>
      </c>
      <c r="X223" s="185" t="e">
        <f t="shared" ca="1" si="87"/>
        <v>#VALUE!</v>
      </c>
      <c r="Y223" s="185" t="e">
        <f t="shared" ca="1" si="87"/>
        <v>#VALUE!</v>
      </c>
      <c r="Z223" s="185" t="e">
        <f t="shared" ca="1" si="87"/>
        <v>#VALUE!</v>
      </c>
      <c r="AA223" s="185" t="e">
        <f t="shared" ca="1" si="88"/>
        <v>#VALUE!</v>
      </c>
      <c r="AB223" s="185" t="e">
        <f t="shared" ca="1" si="88"/>
        <v>#VALUE!</v>
      </c>
      <c r="AC223" s="185" t="e">
        <f t="shared" ca="1" si="88"/>
        <v>#VALUE!</v>
      </c>
      <c r="AD223" s="185" t="e">
        <f t="shared" ca="1" si="88"/>
        <v>#VALUE!</v>
      </c>
      <c r="AE223" s="185" t="e">
        <f t="shared" ca="1" si="88"/>
        <v>#VALUE!</v>
      </c>
      <c r="AF223" s="185" t="e">
        <f t="shared" ca="1" si="88"/>
        <v>#VALUE!</v>
      </c>
      <c r="AG223" s="185" t="e">
        <f t="shared" ca="1" si="88"/>
        <v>#VALUE!</v>
      </c>
      <c r="AH223" s="185" t="e">
        <f t="shared" ca="1" si="88"/>
        <v>#VALUE!</v>
      </c>
      <c r="AI223" s="185" t="e">
        <f t="shared" ca="1" si="88"/>
        <v>#VALUE!</v>
      </c>
      <c r="AJ223" s="185" t="e">
        <f t="shared" ca="1" si="88"/>
        <v>#VALUE!</v>
      </c>
      <c r="AK223" s="185" t="e">
        <f t="shared" ca="1" si="88"/>
        <v>#VALUE!</v>
      </c>
      <c r="AL223" s="185" t="e">
        <f t="shared" ca="1" si="88"/>
        <v>#VALUE!</v>
      </c>
      <c r="AM223" s="185" t="e">
        <f t="shared" ca="1" si="88"/>
        <v>#VALUE!</v>
      </c>
      <c r="AN223" s="185" t="e">
        <f t="shared" ca="1" si="88"/>
        <v>#VALUE!</v>
      </c>
      <c r="AO223" s="185" t="e">
        <f t="shared" ca="1" si="88"/>
        <v>#VALUE!</v>
      </c>
      <c r="AP223" s="185" t="e">
        <f t="shared" ca="1" si="88"/>
        <v>#VALUE!</v>
      </c>
    </row>
    <row r="224" spans="1:42">
      <c r="A224" s="57" t="str">
        <f>'[4]TS BYDem'!A163</f>
        <v>*</v>
      </c>
      <c r="B224" s="185" t="s">
        <v>288</v>
      </c>
      <c r="C224" s="185" t="s">
        <v>137</v>
      </c>
      <c r="D224" s="185" t="str">
        <f>'[4]TS BYDem'!D163</f>
        <v>IPPS</v>
      </c>
      <c r="E224" s="185" t="s">
        <v>137</v>
      </c>
      <c r="F224" s="185" t="s">
        <v>137</v>
      </c>
      <c r="G224" s="185" t="s">
        <v>137</v>
      </c>
      <c r="H224" s="185" t="s">
        <v>137</v>
      </c>
      <c r="I224" s="185">
        <v>0</v>
      </c>
      <c r="J224" s="185" t="str">
        <f>INDEX('[4]TS BYDem'!$J$10:$J$203,MATCH(D224,'[4]TS BYDem'!$D$10:$D$203,0))</f>
        <v/>
      </c>
      <c r="K224" s="185" t="e">
        <f t="shared" ca="1" si="87"/>
        <v>#VALUE!</v>
      </c>
      <c r="L224" s="185" t="e">
        <f t="shared" ca="1" si="87"/>
        <v>#VALUE!</v>
      </c>
      <c r="M224" s="185" t="e">
        <f t="shared" ca="1" si="87"/>
        <v>#VALUE!</v>
      </c>
      <c r="N224" s="185" t="e">
        <f t="shared" ca="1" si="87"/>
        <v>#VALUE!</v>
      </c>
      <c r="O224" s="185" t="e">
        <f t="shared" ca="1" si="87"/>
        <v>#VALUE!</v>
      </c>
      <c r="P224" s="185" t="e">
        <f t="shared" ca="1" si="87"/>
        <v>#VALUE!</v>
      </c>
      <c r="Q224" s="185" t="e">
        <f t="shared" ca="1" si="87"/>
        <v>#VALUE!</v>
      </c>
      <c r="R224" s="185" t="e">
        <f t="shared" ca="1" si="87"/>
        <v>#VALUE!</v>
      </c>
      <c r="S224" s="185" t="e">
        <f t="shared" ca="1" si="87"/>
        <v>#VALUE!</v>
      </c>
      <c r="T224" s="185" t="e">
        <f t="shared" ca="1" si="87"/>
        <v>#VALUE!</v>
      </c>
      <c r="U224" s="185" t="e">
        <f t="shared" ca="1" si="87"/>
        <v>#VALUE!</v>
      </c>
      <c r="V224" s="185" t="e">
        <f t="shared" ca="1" si="87"/>
        <v>#VALUE!</v>
      </c>
      <c r="W224" s="185" t="e">
        <f t="shared" ca="1" si="87"/>
        <v>#VALUE!</v>
      </c>
      <c r="X224" s="185" t="e">
        <f t="shared" ca="1" si="87"/>
        <v>#VALUE!</v>
      </c>
      <c r="Y224" s="185" t="e">
        <f t="shared" ca="1" si="87"/>
        <v>#VALUE!</v>
      </c>
      <c r="Z224" s="185" t="e">
        <f t="shared" ca="1" si="87"/>
        <v>#VALUE!</v>
      </c>
      <c r="AA224" s="185" t="e">
        <f t="shared" ca="1" si="88"/>
        <v>#VALUE!</v>
      </c>
      <c r="AB224" s="185" t="e">
        <f t="shared" ca="1" si="88"/>
        <v>#VALUE!</v>
      </c>
      <c r="AC224" s="185" t="e">
        <f t="shared" ca="1" si="88"/>
        <v>#VALUE!</v>
      </c>
      <c r="AD224" s="185" t="e">
        <f t="shared" ca="1" si="88"/>
        <v>#VALUE!</v>
      </c>
      <c r="AE224" s="185" t="e">
        <f t="shared" ca="1" si="88"/>
        <v>#VALUE!</v>
      </c>
      <c r="AF224" s="185" t="e">
        <f t="shared" ca="1" si="88"/>
        <v>#VALUE!</v>
      </c>
      <c r="AG224" s="185" t="e">
        <f t="shared" ca="1" si="88"/>
        <v>#VALUE!</v>
      </c>
      <c r="AH224" s="185" t="e">
        <f t="shared" ca="1" si="88"/>
        <v>#VALUE!</v>
      </c>
      <c r="AI224" s="185" t="e">
        <f t="shared" ca="1" si="88"/>
        <v>#VALUE!</v>
      </c>
      <c r="AJ224" s="185" t="e">
        <f t="shared" ca="1" si="88"/>
        <v>#VALUE!</v>
      </c>
      <c r="AK224" s="185" t="e">
        <f t="shared" ca="1" si="88"/>
        <v>#VALUE!</v>
      </c>
      <c r="AL224" s="185" t="e">
        <f t="shared" ca="1" si="88"/>
        <v>#VALUE!</v>
      </c>
      <c r="AM224" s="185" t="e">
        <f t="shared" ca="1" si="88"/>
        <v>#VALUE!</v>
      </c>
      <c r="AN224" s="185" t="e">
        <f t="shared" ca="1" si="88"/>
        <v>#VALUE!</v>
      </c>
      <c r="AO224" s="185" t="e">
        <f t="shared" ca="1" si="88"/>
        <v>#VALUE!</v>
      </c>
      <c r="AP224" s="185" t="e">
        <f t="shared" ca="1" si="88"/>
        <v>#VALUE!</v>
      </c>
    </row>
    <row r="225" spans="1:42">
      <c r="A225" s="57" t="str">
        <f>'[4]TS BYDem'!A164</f>
        <v>*</v>
      </c>
      <c r="B225" s="185" t="s">
        <v>288</v>
      </c>
      <c r="C225" s="185" t="s">
        <v>137</v>
      </c>
      <c r="D225" s="185" t="str">
        <f>'[4]TS BYDem'!D164</f>
        <v>IPPS</v>
      </c>
      <c r="E225" s="185" t="s">
        <v>137</v>
      </c>
      <c r="F225" s="185" t="s">
        <v>137</v>
      </c>
      <c r="G225" s="185" t="s">
        <v>137</v>
      </c>
      <c r="H225" s="185" t="s">
        <v>137</v>
      </c>
      <c r="I225" s="185">
        <v>0</v>
      </c>
      <c r="J225" s="185" t="str">
        <f>INDEX('[4]TS BYDem'!$J$10:$J$203,MATCH(D225,'[4]TS BYDem'!$D$10:$D$203,0))</f>
        <v/>
      </c>
      <c r="K225" s="185" t="e">
        <f t="shared" ca="1" si="87"/>
        <v>#VALUE!</v>
      </c>
      <c r="L225" s="185" t="e">
        <f t="shared" ca="1" si="87"/>
        <v>#VALUE!</v>
      </c>
      <c r="M225" s="185" t="e">
        <f t="shared" ca="1" si="87"/>
        <v>#VALUE!</v>
      </c>
      <c r="N225" s="185" t="e">
        <f t="shared" ca="1" si="87"/>
        <v>#VALUE!</v>
      </c>
      <c r="O225" s="185" t="e">
        <f t="shared" ca="1" si="87"/>
        <v>#VALUE!</v>
      </c>
      <c r="P225" s="185" t="e">
        <f t="shared" ca="1" si="87"/>
        <v>#VALUE!</v>
      </c>
      <c r="Q225" s="185" t="e">
        <f t="shared" ca="1" si="87"/>
        <v>#VALUE!</v>
      </c>
      <c r="R225" s="185" t="e">
        <f t="shared" ca="1" si="87"/>
        <v>#VALUE!</v>
      </c>
      <c r="S225" s="185" t="e">
        <f t="shared" ca="1" si="87"/>
        <v>#VALUE!</v>
      </c>
      <c r="T225" s="185" t="e">
        <f t="shared" ca="1" si="87"/>
        <v>#VALUE!</v>
      </c>
      <c r="U225" s="185" t="e">
        <f t="shared" ca="1" si="87"/>
        <v>#VALUE!</v>
      </c>
      <c r="V225" s="185" t="e">
        <f t="shared" ca="1" si="87"/>
        <v>#VALUE!</v>
      </c>
      <c r="W225" s="185" t="e">
        <f t="shared" ca="1" si="87"/>
        <v>#VALUE!</v>
      </c>
      <c r="X225" s="185" t="e">
        <f t="shared" ca="1" si="87"/>
        <v>#VALUE!</v>
      </c>
      <c r="Y225" s="185" t="e">
        <f t="shared" ca="1" si="87"/>
        <v>#VALUE!</v>
      </c>
      <c r="Z225" s="185" t="e">
        <f t="shared" ca="1" si="87"/>
        <v>#VALUE!</v>
      </c>
      <c r="AA225" s="185" t="e">
        <f t="shared" ca="1" si="88"/>
        <v>#VALUE!</v>
      </c>
      <c r="AB225" s="185" t="e">
        <f t="shared" ca="1" si="88"/>
        <v>#VALUE!</v>
      </c>
      <c r="AC225" s="185" t="e">
        <f t="shared" ca="1" si="88"/>
        <v>#VALUE!</v>
      </c>
      <c r="AD225" s="185" t="e">
        <f t="shared" ca="1" si="88"/>
        <v>#VALUE!</v>
      </c>
      <c r="AE225" s="185" t="e">
        <f t="shared" ca="1" si="88"/>
        <v>#VALUE!</v>
      </c>
      <c r="AF225" s="185" t="e">
        <f t="shared" ca="1" si="88"/>
        <v>#VALUE!</v>
      </c>
      <c r="AG225" s="185" t="e">
        <f t="shared" ca="1" si="88"/>
        <v>#VALUE!</v>
      </c>
      <c r="AH225" s="185" t="e">
        <f t="shared" ca="1" si="88"/>
        <v>#VALUE!</v>
      </c>
      <c r="AI225" s="185" t="e">
        <f t="shared" ca="1" si="88"/>
        <v>#VALUE!</v>
      </c>
      <c r="AJ225" s="185" t="e">
        <f t="shared" ca="1" si="88"/>
        <v>#VALUE!</v>
      </c>
      <c r="AK225" s="185" t="e">
        <f t="shared" ca="1" si="88"/>
        <v>#VALUE!</v>
      </c>
      <c r="AL225" s="185" t="e">
        <f t="shared" ca="1" si="88"/>
        <v>#VALUE!</v>
      </c>
      <c r="AM225" s="185" t="e">
        <f t="shared" ca="1" si="88"/>
        <v>#VALUE!</v>
      </c>
      <c r="AN225" s="185" t="e">
        <f t="shared" ca="1" si="88"/>
        <v>#VALUE!</v>
      </c>
      <c r="AO225" s="185" t="e">
        <f t="shared" ca="1" si="88"/>
        <v>#VALUE!</v>
      </c>
      <c r="AP225" s="185" t="e">
        <f t="shared" ca="1" si="88"/>
        <v>#VALUE!</v>
      </c>
    </row>
    <row r="226" spans="1:42">
      <c r="A226" s="57" t="str">
        <f>'[4]TS BYDem'!A165</f>
        <v>*</v>
      </c>
      <c r="B226" s="185" t="s">
        <v>288</v>
      </c>
      <c r="C226" s="185" t="s">
        <v>137</v>
      </c>
      <c r="D226" s="185" t="str">
        <f>'[4]TS BYDem'!D165</f>
        <v>IPPS</v>
      </c>
      <c r="E226" s="185" t="s">
        <v>137</v>
      </c>
      <c r="F226" s="185" t="s">
        <v>137</v>
      </c>
      <c r="G226" s="185" t="s">
        <v>137</v>
      </c>
      <c r="H226" s="185" t="s">
        <v>137</v>
      </c>
      <c r="I226" s="185">
        <v>0</v>
      </c>
      <c r="J226" s="185" t="str">
        <f>INDEX('[4]TS BYDem'!$J$10:$J$203,MATCH(D226,'[4]TS BYDem'!$D$10:$D$203,0))</f>
        <v/>
      </c>
      <c r="K226" s="185" t="e">
        <f t="shared" ca="1" si="87"/>
        <v>#VALUE!</v>
      </c>
      <c r="L226" s="185" t="e">
        <f t="shared" ca="1" si="87"/>
        <v>#VALUE!</v>
      </c>
      <c r="M226" s="185" t="e">
        <f t="shared" ca="1" si="87"/>
        <v>#VALUE!</v>
      </c>
      <c r="N226" s="185" t="e">
        <f t="shared" ca="1" si="87"/>
        <v>#VALUE!</v>
      </c>
      <c r="O226" s="185" t="e">
        <f t="shared" ca="1" si="87"/>
        <v>#VALUE!</v>
      </c>
      <c r="P226" s="185" t="e">
        <f t="shared" ca="1" si="87"/>
        <v>#VALUE!</v>
      </c>
      <c r="Q226" s="185" t="e">
        <f t="shared" ca="1" si="87"/>
        <v>#VALUE!</v>
      </c>
      <c r="R226" s="185" t="e">
        <f t="shared" ca="1" si="87"/>
        <v>#VALUE!</v>
      </c>
      <c r="S226" s="185" t="e">
        <f t="shared" ca="1" si="87"/>
        <v>#VALUE!</v>
      </c>
      <c r="T226" s="185" t="e">
        <f t="shared" ca="1" si="87"/>
        <v>#VALUE!</v>
      </c>
      <c r="U226" s="185" t="e">
        <f t="shared" ca="1" si="87"/>
        <v>#VALUE!</v>
      </c>
      <c r="V226" s="185" t="e">
        <f t="shared" ca="1" si="87"/>
        <v>#VALUE!</v>
      </c>
      <c r="W226" s="185" t="e">
        <f t="shared" ca="1" si="87"/>
        <v>#VALUE!</v>
      </c>
      <c r="X226" s="185" t="e">
        <f t="shared" ca="1" si="87"/>
        <v>#VALUE!</v>
      </c>
      <c r="Y226" s="185" t="e">
        <f t="shared" ca="1" si="87"/>
        <v>#VALUE!</v>
      </c>
      <c r="Z226" s="185" t="e">
        <f t="shared" ca="1" si="87"/>
        <v>#VALUE!</v>
      </c>
      <c r="AA226" s="185" t="e">
        <f t="shared" ca="1" si="88"/>
        <v>#VALUE!</v>
      </c>
      <c r="AB226" s="185" t="e">
        <f t="shared" ca="1" si="88"/>
        <v>#VALUE!</v>
      </c>
      <c r="AC226" s="185" t="e">
        <f t="shared" ca="1" si="88"/>
        <v>#VALUE!</v>
      </c>
      <c r="AD226" s="185" t="e">
        <f t="shared" ca="1" si="88"/>
        <v>#VALUE!</v>
      </c>
      <c r="AE226" s="185" t="e">
        <f t="shared" ca="1" si="88"/>
        <v>#VALUE!</v>
      </c>
      <c r="AF226" s="185" t="e">
        <f t="shared" ca="1" si="88"/>
        <v>#VALUE!</v>
      </c>
      <c r="AG226" s="185" t="e">
        <f t="shared" ca="1" si="88"/>
        <v>#VALUE!</v>
      </c>
      <c r="AH226" s="185" t="e">
        <f t="shared" ca="1" si="88"/>
        <v>#VALUE!</v>
      </c>
      <c r="AI226" s="185" t="e">
        <f t="shared" ca="1" si="88"/>
        <v>#VALUE!</v>
      </c>
      <c r="AJ226" s="185" t="e">
        <f t="shared" ca="1" si="88"/>
        <v>#VALUE!</v>
      </c>
      <c r="AK226" s="185" t="e">
        <f t="shared" ca="1" si="88"/>
        <v>#VALUE!</v>
      </c>
      <c r="AL226" s="185" t="e">
        <f t="shared" ca="1" si="88"/>
        <v>#VALUE!</v>
      </c>
      <c r="AM226" s="185" t="e">
        <f t="shared" ca="1" si="88"/>
        <v>#VALUE!</v>
      </c>
      <c r="AN226" s="185" t="e">
        <f t="shared" ca="1" si="88"/>
        <v>#VALUE!</v>
      </c>
      <c r="AO226" s="185" t="e">
        <f t="shared" ca="1" si="88"/>
        <v>#VALUE!</v>
      </c>
      <c r="AP226" s="185" t="e">
        <f t="shared" ca="1" si="88"/>
        <v>#VALUE!</v>
      </c>
    </row>
    <row r="227" spans="1:42">
      <c r="A227" s="57" t="str">
        <f>'[4]TS BYDem'!A166</f>
        <v>*</v>
      </c>
      <c r="B227" s="185" t="s">
        <v>288</v>
      </c>
      <c r="C227" s="185" t="s">
        <v>137</v>
      </c>
      <c r="D227" s="185" t="str">
        <f>'[4]TS BYDem'!D166</f>
        <v>IPPS</v>
      </c>
      <c r="E227" s="185" t="s">
        <v>137</v>
      </c>
      <c r="F227" s="185" t="s">
        <v>137</v>
      </c>
      <c r="G227" s="185" t="s">
        <v>137</v>
      </c>
      <c r="H227" s="185" t="s">
        <v>137</v>
      </c>
      <c r="I227" s="185">
        <v>0</v>
      </c>
      <c r="J227" s="185" t="str">
        <f>INDEX('[4]TS BYDem'!$J$10:$J$203,MATCH(D227,'[4]TS BYDem'!$D$10:$D$203,0))</f>
        <v/>
      </c>
      <c r="K227" s="185" t="e">
        <f t="shared" ca="1" si="87"/>
        <v>#VALUE!</v>
      </c>
      <c r="L227" s="185" t="e">
        <f t="shared" ca="1" si="87"/>
        <v>#VALUE!</v>
      </c>
      <c r="M227" s="185" t="e">
        <f t="shared" ca="1" si="87"/>
        <v>#VALUE!</v>
      </c>
      <c r="N227" s="185" t="e">
        <f t="shared" ca="1" si="87"/>
        <v>#VALUE!</v>
      </c>
      <c r="O227" s="185" t="e">
        <f t="shared" ca="1" si="87"/>
        <v>#VALUE!</v>
      </c>
      <c r="P227" s="185" t="e">
        <f t="shared" ca="1" si="87"/>
        <v>#VALUE!</v>
      </c>
      <c r="Q227" s="185" t="e">
        <f t="shared" ca="1" si="87"/>
        <v>#VALUE!</v>
      </c>
      <c r="R227" s="185" t="e">
        <f t="shared" ca="1" si="87"/>
        <v>#VALUE!</v>
      </c>
      <c r="S227" s="185" t="e">
        <f t="shared" ca="1" si="87"/>
        <v>#VALUE!</v>
      </c>
      <c r="T227" s="185" t="e">
        <f t="shared" ca="1" si="87"/>
        <v>#VALUE!</v>
      </c>
      <c r="U227" s="185" t="e">
        <f t="shared" ca="1" si="87"/>
        <v>#VALUE!</v>
      </c>
      <c r="V227" s="185" t="e">
        <f t="shared" ca="1" si="87"/>
        <v>#VALUE!</v>
      </c>
      <c r="W227" s="185" t="e">
        <f t="shared" ca="1" si="87"/>
        <v>#VALUE!</v>
      </c>
      <c r="X227" s="185" t="e">
        <f t="shared" ca="1" si="87"/>
        <v>#VALUE!</v>
      </c>
      <c r="Y227" s="185" t="e">
        <f t="shared" ca="1" si="87"/>
        <v>#VALUE!</v>
      </c>
      <c r="Z227" s="185" t="e">
        <f t="shared" ref="Z227:AO228" ca="1" si="89">Z$211/Y$211*Y227</f>
        <v>#VALUE!</v>
      </c>
      <c r="AA227" s="185" t="e">
        <f t="shared" ca="1" si="89"/>
        <v>#VALUE!</v>
      </c>
      <c r="AB227" s="185" t="e">
        <f t="shared" ca="1" si="89"/>
        <v>#VALUE!</v>
      </c>
      <c r="AC227" s="185" t="e">
        <f t="shared" ca="1" si="89"/>
        <v>#VALUE!</v>
      </c>
      <c r="AD227" s="185" t="e">
        <f t="shared" ca="1" si="89"/>
        <v>#VALUE!</v>
      </c>
      <c r="AE227" s="185" t="e">
        <f t="shared" ca="1" si="89"/>
        <v>#VALUE!</v>
      </c>
      <c r="AF227" s="185" t="e">
        <f t="shared" ca="1" si="89"/>
        <v>#VALUE!</v>
      </c>
      <c r="AG227" s="185" t="e">
        <f t="shared" ca="1" si="89"/>
        <v>#VALUE!</v>
      </c>
      <c r="AH227" s="185" t="e">
        <f t="shared" ca="1" si="89"/>
        <v>#VALUE!</v>
      </c>
      <c r="AI227" s="185" t="e">
        <f t="shared" ca="1" si="89"/>
        <v>#VALUE!</v>
      </c>
      <c r="AJ227" s="185" t="e">
        <f t="shared" ca="1" si="89"/>
        <v>#VALUE!</v>
      </c>
      <c r="AK227" s="185" t="e">
        <f t="shared" ca="1" si="89"/>
        <v>#VALUE!</v>
      </c>
      <c r="AL227" s="185" t="e">
        <f t="shared" ca="1" si="89"/>
        <v>#VALUE!</v>
      </c>
      <c r="AM227" s="185" t="e">
        <f t="shared" ca="1" si="89"/>
        <v>#VALUE!</v>
      </c>
      <c r="AN227" s="185" t="e">
        <f t="shared" ca="1" si="89"/>
        <v>#VALUE!</v>
      </c>
      <c r="AO227" s="185" t="e">
        <f t="shared" ca="1" si="89"/>
        <v>#VALUE!</v>
      </c>
      <c r="AP227" s="185" t="e">
        <f t="shared" ca="1" si="88"/>
        <v>#VALUE!</v>
      </c>
    </row>
    <row r="228" spans="1:42">
      <c r="A228" s="57" t="str">
        <f>'[4]TS BYDem'!A167</f>
        <v>*</v>
      </c>
      <c r="B228" s="185" t="s">
        <v>288</v>
      </c>
      <c r="C228" s="185" t="s">
        <v>137</v>
      </c>
      <c r="D228" s="185" t="str">
        <f>'[4]TS BYDem'!D167</f>
        <v>IPPS</v>
      </c>
      <c r="E228" s="185" t="s">
        <v>137</v>
      </c>
      <c r="F228" s="185" t="s">
        <v>137</v>
      </c>
      <c r="G228" s="185" t="s">
        <v>137</v>
      </c>
      <c r="H228" s="185" t="s">
        <v>137</v>
      </c>
      <c r="I228" s="185">
        <v>0</v>
      </c>
      <c r="J228" s="185" t="str">
        <f>INDEX('[4]TS BYDem'!$J$10:$J$203,MATCH(D228,'[4]TS BYDem'!$D$10:$D$203,0))</f>
        <v/>
      </c>
      <c r="K228" s="185" t="e">
        <f t="shared" ref="K228:Z229" ca="1" si="90">K$211/J$211*J228</f>
        <v>#VALUE!</v>
      </c>
      <c r="L228" s="185" t="e">
        <f t="shared" ca="1" si="90"/>
        <v>#VALUE!</v>
      </c>
      <c r="M228" s="185" t="e">
        <f t="shared" ca="1" si="90"/>
        <v>#VALUE!</v>
      </c>
      <c r="N228" s="185" t="e">
        <f t="shared" ca="1" si="90"/>
        <v>#VALUE!</v>
      </c>
      <c r="O228" s="185" t="e">
        <f t="shared" ca="1" si="90"/>
        <v>#VALUE!</v>
      </c>
      <c r="P228" s="185" t="e">
        <f t="shared" ca="1" si="90"/>
        <v>#VALUE!</v>
      </c>
      <c r="Q228" s="185" t="e">
        <f t="shared" ca="1" si="90"/>
        <v>#VALUE!</v>
      </c>
      <c r="R228" s="185" t="e">
        <f t="shared" ca="1" si="90"/>
        <v>#VALUE!</v>
      </c>
      <c r="S228" s="185" t="e">
        <f t="shared" ca="1" si="90"/>
        <v>#VALUE!</v>
      </c>
      <c r="T228" s="185" t="e">
        <f t="shared" ca="1" si="90"/>
        <v>#VALUE!</v>
      </c>
      <c r="U228" s="185" t="e">
        <f t="shared" ca="1" si="90"/>
        <v>#VALUE!</v>
      </c>
      <c r="V228" s="185" t="e">
        <f t="shared" ca="1" si="90"/>
        <v>#VALUE!</v>
      </c>
      <c r="W228" s="185" t="e">
        <f t="shared" ca="1" si="90"/>
        <v>#VALUE!</v>
      </c>
      <c r="X228" s="185" t="e">
        <f t="shared" ca="1" si="90"/>
        <v>#VALUE!</v>
      </c>
      <c r="Y228" s="185" t="e">
        <f t="shared" ca="1" si="90"/>
        <v>#VALUE!</v>
      </c>
      <c r="Z228" s="185" t="e">
        <f t="shared" ca="1" si="90"/>
        <v>#VALUE!</v>
      </c>
      <c r="AA228" s="185" t="e">
        <f t="shared" ca="1" si="89"/>
        <v>#VALUE!</v>
      </c>
      <c r="AB228" s="185" t="e">
        <f t="shared" ca="1" si="89"/>
        <v>#VALUE!</v>
      </c>
      <c r="AC228" s="185" t="e">
        <f t="shared" ca="1" si="89"/>
        <v>#VALUE!</v>
      </c>
      <c r="AD228" s="185" t="e">
        <f t="shared" ca="1" si="89"/>
        <v>#VALUE!</v>
      </c>
      <c r="AE228" s="185" t="e">
        <f t="shared" ca="1" si="89"/>
        <v>#VALUE!</v>
      </c>
      <c r="AF228" s="185" t="e">
        <f t="shared" ca="1" si="89"/>
        <v>#VALUE!</v>
      </c>
      <c r="AG228" s="185" t="e">
        <f t="shared" ca="1" si="89"/>
        <v>#VALUE!</v>
      </c>
      <c r="AH228" s="185" t="e">
        <f t="shared" ca="1" si="89"/>
        <v>#VALUE!</v>
      </c>
      <c r="AI228" s="185" t="e">
        <f t="shared" ca="1" si="89"/>
        <v>#VALUE!</v>
      </c>
      <c r="AJ228" s="185" t="e">
        <f t="shared" ca="1" si="89"/>
        <v>#VALUE!</v>
      </c>
      <c r="AK228" s="185" t="e">
        <f t="shared" ca="1" si="89"/>
        <v>#VALUE!</v>
      </c>
      <c r="AL228" s="185" t="e">
        <f t="shared" ca="1" si="89"/>
        <v>#VALUE!</v>
      </c>
      <c r="AM228" s="185" t="e">
        <f t="shared" ca="1" si="89"/>
        <v>#VALUE!</v>
      </c>
      <c r="AN228" s="185" t="e">
        <f t="shared" ca="1" si="89"/>
        <v>#VALUE!</v>
      </c>
      <c r="AO228" s="185" t="e">
        <f t="shared" ca="1" si="89"/>
        <v>#VALUE!</v>
      </c>
      <c r="AP228" s="185" t="e">
        <f t="shared" ref="L228:AP229" ca="1" si="91">AP$211/AO$211*AO228</f>
        <v>#VALUE!</v>
      </c>
    </row>
    <row r="229" spans="1:42">
      <c r="A229" s="57" t="str">
        <f>'[4]TS BYDem'!A168</f>
        <v>*</v>
      </c>
      <c r="B229" s="185" t="s">
        <v>288</v>
      </c>
      <c r="C229" s="185" t="s">
        <v>137</v>
      </c>
      <c r="D229" s="185" t="str">
        <f>'[4]TS BYDem'!D168</f>
        <v>IPPS</v>
      </c>
      <c r="E229" s="185" t="s">
        <v>137</v>
      </c>
      <c r="F229" s="185" t="s">
        <v>137</v>
      </c>
      <c r="G229" s="185" t="s">
        <v>137</v>
      </c>
      <c r="H229" s="185" t="s">
        <v>137</v>
      </c>
      <c r="I229" s="185">
        <v>0</v>
      </c>
      <c r="J229" s="185" t="str">
        <f>INDEX('[4]TS BYDem'!$J$10:$J$203,MATCH(D229,'[4]TS BYDem'!$D$10:$D$203,0))</f>
        <v/>
      </c>
      <c r="K229" s="185" t="e">
        <f t="shared" ca="1" si="90"/>
        <v>#VALUE!</v>
      </c>
      <c r="L229" s="185" t="e">
        <f t="shared" ca="1" si="91"/>
        <v>#VALUE!</v>
      </c>
      <c r="M229" s="185" t="e">
        <f t="shared" ca="1" si="91"/>
        <v>#VALUE!</v>
      </c>
      <c r="N229" s="185" t="e">
        <f t="shared" ca="1" si="91"/>
        <v>#VALUE!</v>
      </c>
      <c r="O229" s="185" t="e">
        <f t="shared" ca="1" si="91"/>
        <v>#VALUE!</v>
      </c>
      <c r="P229" s="185" t="e">
        <f t="shared" ca="1" si="91"/>
        <v>#VALUE!</v>
      </c>
      <c r="Q229" s="185" t="e">
        <f t="shared" ca="1" si="91"/>
        <v>#VALUE!</v>
      </c>
      <c r="R229" s="185" t="e">
        <f t="shared" ca="1" si="91"/>
        <v>#VALUE!</v>
      </c>
      <c r="S229" s="185" t="e">
        <f t="shared" ca="1" si="91"/>
        <v>#VALUE!</v>
      </c>
      <c r="T229" s="185" t="e">
        <f t="shared" ca="1" si="91"/>
        <v>#VALUE!</v>
      </c>
      <c r="U229" s="185" t="e">
        <f t="shared" ca="1" si="91"/>
        <v>#VALUE!</v>
      </c>
      <c r="V229" s="185" t="e">
        <f t="shared" ca="1" si="91"/>
        <v>#VALUE!</v>
      </c>
      <c r="W229" s="185" t="e">
        <f t="shared" ca="1" si="91"/>
        <v>#VALUE!</v>
      </c>
      <c r="X229" s="185" t="e">
        <f t="shared" ca="1" si="91"/>
        <v>#VALUE!</v>
      </c>
      <c r="Y229" s="185" t="e">
        <f t="shared" ca="1" si="91"/>
        <v>#VALUE!</v>
      </c>
      <c r="Z229" s="185" t="e">
        <f t="shared" ca="1" si="91"/>
        <v>#VALUE!</v>
      </c>
      <c r="AA229" s="185" t="e">
        <f t="shared" ca="1" si="91"/>
        <v>#VALUE!</v>
      </c>
      <c r="AB229" s="185" t="e">
        <f t="shared" ca="1" si="91"/>
        <v>#VALUE!</v>
      </c>
      <c r="AC229" s="185" t="e">
        <f t="shared" ca="1" si="91"/>
        <v>#VALUE!</v>
      </c>
      <c r="AD229" s="185" t="e">
        <f t="shared" ca="1" si="91"/>
        <v>#VALUE!</v>
      </c>
      <c r="AE229" s="185" t="e">
        <f t="shared" ca="1" si="91"/>
        <v>#VALUE!</v>
      </c>
      <c r="AF229" s="185" t="e">
        <f t="shared" ca="1" si="91"/>
        <v>#VALUE!</v>
      </c>
      <c r="AG229" s="185" t="e">
        <f t="shared" ca="1" si="91"/>
        <v>#VALUE!</v>
      </c>
      <c r="AH229" s="185" t="e">
        <f t="shared" ca="1" si="91"/>
        <v>#VALUE!</v>
      </c>
      <c r="AI229" s="185" t="e">
        <f t="shared" ca="1" si="91"/>
        <v>#VALUE!</v>
      </c>
      <c r="AJ229" s="185" t="e">
        <f t="shared" ca="1" si="91"/>
        <v>#VALUE!</v>
      </c>
      <c r="AK229" s="185" t="e">
        <f t="shared" ca="1" si="91"/>
        <v>#VALUE!</v>
      </c>
      <c r="AL229" s="185" t="e">
        <f t="shared" ca="1" si="91"/>
        <v>#VALUE!</v>
      </c>
      <c r="AM229" s="185" t="e">
        <f t="shared" ca="1" si="91"/>
        <v>#VALUE!</v>
      </c>
      <c r="AN229" s="185" t="e">
        <f t="shared" ca="1" si="91"/>
        <v>#VALUE!</v>
      </c>
      <c r="AO229" s="185" t="e">
        <f t="shared" ca="1" si="91"/>
        <v>#VALUE!</v>
      </c>
      <c r="AP229" s="185" t="e">
        <f t="shared" ca="1" si="91"/>
        <v>#VALUE!</v>
      </c>
    </row>
    <row r="230" spans="1:42" s="5" customFormat="1">
      <c r="A230" s="57" t="str">
        <f>'[4]TS BYDem'!A165</f>
        <v>*</v>
      </c>
      <c r="B230" s="5">
        <f>B211+2</f>
        <v>13</v>
      </c>
      <c r="C230" s="3" t="str">
        <f ca="1">OFFSET($C$9,$B230,0)</f>
        <v>Other</v>
      </c>
      <c r="D230" s="3" t="str">
        <f ca="1">OFFSET($B$9,$B230,0)</f>
        <v>OT</v>
      </c>
      <c r="J230" s="5">
        <f ca="1">SUMIF($B$10:$B$22,$D230,J$10:J$22)*SUMIF($B$10:$B$22,$D230,J$41:J$53)</f>
        <v>235.49802282756352</v>
      </c>
      <c r="K230" s="5">
        <f t="shared" ref="K230:AP230" ca="1" si="92">SUMIF($B$10:$B$22,$D230,K$10:K$22)*SUMIF($B$10:$B$22,$D230,K$41:K$53)</f>
        <v>242.05600000000001</v>
      </c>
      <c r="L230" s="5">
        <f t="shared" ca="1" si="92"/>
        <v>246.69399999999999</v>
      </c>
      <c r="M230" s="5">
        <f t="shared" ca="1" si="92"/>
        <v>250.125</v>
      </c>
      <c r="N230" s="5">
        <f t="shared" ca="1" si="92"/>
        <v>252.709</v>
      </c>
      <c r="O230" s="5">
        <f t="shared" ca="1" si="92"/>
        <v>254.65</v>
      </c>
      <c r="P230" s="5">
        <f t="shared" ca="1" si="92"/>
        <v>257.584</v>
      </c>
      <c r="Q230" s="5">
        <f t="shared" ca="1" si="92"/>
        <v>257.30799999999999</v>
      </c>
      <c r="R230" s="5">
        <f t="shared" ca="1" si="92"/>
        <v>233.197</v>
      </c>
      <c r="S230" s="5">
        <f t="shared" ca="1" si="92"/>
        <v>239.311147620339</v>
      </c>
      <c r="T230" s="5">
        <f t="shared" ca="1" si="92"/>
        <v>245.5279566232268</v>
      </c>
      <c r="U230" s="5">
        <f t="shared" ca="1" si="92"/>
        <v>252.17156922220227</v>
      </c>
      <c r="V230" s="5">
        <f t="shared" ca="1" si="92"/>
        <v>259.2458462414383</v>
      </c>
      <c r="W230" s="5">
        <f t="shared" ca="1" si="92"/>
        <v>266.28626759214023</v>
      </c>
      <c r="X230" s="5">
        <f t="shared" ca="1" si="92"/>
        <v>274.0568577557645</v>
      </c>
      <c r="Y230" s="5">
        <f t="shared" ca="1" si="92"/>
        <v>281.96200344571417</v>
      </c>
      <c r="Z230" s="5">
        <f t="shared" ca="1" si="92"/>
        <v>290.32204813684677</v>
      </c>
      <c r="AA230" s="5">
        <f t="shared" ca="1" si="92"/>
        <v>298.71462448684076</v>
      </c>
      <c r="AB230" s="5">
        <f ca="1">SUMIF($B$10:$B$22,$D230,AB$10:AB$22)*SUMIF($B$10:$B$22,$D230,AB$40:AB$53)</f>
        <v>305.76468054543471</v>
      </c>
      <c r="AC230" s="5">
        <f t="shared" ca="1" si="92"/>
        <v>314.59134178597935</v>
      </c>
      <c r="AD230" s="5">
        <f t="shared" ca="1" si="92"/>
        <v>323.65990952631881</v>
      </c>
      <c r="AE230" s="5">
        <f t="shared" ca="1" si="92"/>
        <v>332.82914999463492</v>
      </c>
      <c r="AF230" s="5">
        <f t="shared" ca="1" si="92"/>
        <v>341.74661891729392</v>
      </c>
      <c r="AG230" s="5">
        <f t="shared" ca="1" si="92"/>
        <v>351.32289162074625</v>
      </c>
      <c r="AH230" s="5">
        <f t="shared" ca="1" si="92"/>
        <v>361.07019032867794</v>
      </c>
      <c r="AI230" s="5">
        <f t="shared" ca="1" si="92"/>
        <v>371.16092547913934</v>
      </c>
      <c r="AJ230" s="5">
        <f t="shared" ca="1" si="92"/>
        <v>381.10030818952805</v>
      </c>
      <c r="AK230" s="5">
        <f t="shared" ca="1" si="92"/>
        <v>391.38151873152327</v>
      </c>
      <c r="AL230" s="5">
        <f t="shared" ca="1" si="92"/>
        <v>402.27388315761033</v>
      </c>
      <c r="AM230" s="5">
        <f t="shared" ca="1" si="92"/>
        <v>464.07019483390343</v>
      </c>
      <c r="AN230" s="5">
        <f t="shared" ca="1" si="92"/>
        <v>533.90646291403743</v>
      </c>
      <c r="AO230" s="5">
        <f t="shared" ca="1" si="92"/>
        <v>664.19904993649106</v>
      </c>
      <c r="AP230" s="5">
        <f t="shared" ca="1" si="92"/>
        <v>795.8316296929188</v>
      </c>
    </row>
    <row r="231" spans="1:42">
      <c r="A231" s="57" t="str">
        <f>'[4]TS BYDem'!A170</f>
        <v>*</v>
      </c>
      <c r="B231" s="185" t="s">
        <v>288</v>
      </c>
      <c r="C231" s="185" t="s">
        <v>137</v>
      </c>
      <c r="D231" s="185">
        <f>'[4]TS BYDem'!D170</f>
        <v>0</v>
      </c>
      <c r="E231" s="185" t="s">
        <v>137</v>
      </c>
      <c r="F231" s="185" t="s">
        <v>137</v>
      </c>
      <c r="G231" s="185" t="s">
        <v>137</v>
      </c>
      <c r="H231" s="185" t="s">
        <v>137</v>
      </c>
      <c r="I231" s="185">
        <v>0</v>
      </c>
      <c r="J231" s="185" t="str">
        <f>INDEX('[4]TS BYDem'!$J$10:$J$203,MATCH(D231,'[4]TS BYDem'!$D$10:$D$203,0))</f>
        <v/>
      </c>
      <c r="K231" s="185" t="e">
        <f t="shared" ref="K231:Z253" ca="1" si="93">K$230/J$230*J231</f>
        <v>#VALUE!</v>
      </c>
      <c r="L231" s="185" t="e">
        <f t="shared" ca="1" si="93"/>
        <v>#VALUE!</v>
      </c>
      <c r="M231" s="185" t="e">
        <f t="shared" ca="1" si="93"/>
        <v>#VALUE!</v>
      </c>
      <c r="N231" s="185" t="e">
        <f t="shared" ca="1" si="93"/>
        <v>#VALUE!</v>
      </c>
      <c r="O231" s="185" t="e">
        <f t="shared" ca="1" si="93"/>
        <v>#VALUE!</v>
      </c>
      <c r="P231" s="185" t="e">
        <f t="shared" ca="1" si="93"/>
        <v>#VALUE!</v>
      </c>
      <c r="Q231" s="185" t="e">
        <f t="shared" ca="1" si="93"/>
        <v>#VALUE!</v>
      </c>
      <c r="R231" s="185" t="e">
        <f t="shared" ca="1" si="93"/>
        <v>#VALUE!</v>
      </c>
      <c r="S231" s="185" t="e">
        <f t="shared" ca="1" si="93"/>
        <v>#VALUE!</v>
      </c>
      <c r="T231" s="185" t="e">
        <f t="shared" ca="1" si="93"/>
        <v>#VALUE!</v>
      </c>
      <c r="U231" s="185" t="e">
        <f t="shared" ca="1" si="93"/>
        <v>#VALUE!</v>
      </c>
      <c r="V231" s="185" t="e">
        <f t="shared" ca="1" si="93"/>
        <v>#VALUE!</v>
      </c>
      <c r="W231" s="185" t="e">
        <f t="shared" ca="1" si="93"/>
        <v>#VALUE!</v>
      </c>
      <c r="X231" s="185" t="e">
        <f t="shared" ca="1" si="93"/>
        <v>#VALUE!</v>
      </c>
      <c r="Y231" s="185" t="e">
        <f t="shared" ca="1" si="93"/>
        <v>#VALUE!</v>
      </c>
      <c r="Z231" s="185" t="e">
        <f t="shared" ca="1" si="93"/>
        <v>#VALUE!</v>
      </c>
      <c r="AA231" s="185" t="e">
        <f t="shared" ref="AA231:AP246" ca="1" si="94">AA$230/Z$230*Z231</f>
        <v>#VALUE!</v>
      </c>
      <c r="AB231" s="185" t="e">
        <f t="shared" ca="1" si="94"/>
        <v>#VALUE!</v>
      </c>
      <c r="AC231" s="185" t="e">
        <f t="shared" ca="1" si="94"/>
        <v>#VALUE!</v>
      </c>
      <c r="AD231" s="185" t="e">
        <f t="shared" ca="1" si="94"/>
        <v>#VALUE!</v>
      </c>
      <c r="AE231" s="185" t="e">
        <f t="shared" ca="1" si="94"/>
        <v>#VALUE!</v>
      </c>
      <c r="AF231" s="185" t="e">
        <f t="shared" ca="1" si="94"/>
        <v>#VALUE!</v>
      </c>
      <c r="AG231" s="185" t="e">
        <f t="shared" ca="1" si="94"/>
        <v>#VALUE!</v>
      </c>
      <c r="AH231" s="185" t="e">
        <f t="shared" ca="1" si="94"/>
        <v>#VALUE!</v>
      </c>
      <c r="AI231" s="185" t="e">
        <f t="shared" ca="1" si="94"/>
        <v>#VALUE!</v>
      </c>
      <c r="AJ231" s="185" t="e">
        <f t="shared" ca="1" si="94"/>
        <v>#VALUE!</v>
      </c>
      <c r="AK231" s="185" t="e">
        <f t="shared" ca="1" si="94"/>
        <v>#VALUE!</v>
      </c>
      <c r="AL231" s="185" t="e">
        <f t="shared" ca="1" si="94"/>
        <v>#VALUE!</v>
      </c>
      <c r="AM231" s="185" t="e">
        <f t="shared" ca="1" si="94"/>
        <v>#VALUE!</v>
      </c>
      <c r="AN231" s="185" t="e">
        <f t="shared" ca="1" si="94"/>
        <v>#VALUE!</v>
      </c>
      <c r="AO231" s="185" t="e">
        <f t="shared" ca="1" si="94"/>
        <v>#VALUE!</v>
      </c>
      <c r="AP231" s="185" t="e">
        <f t="shared" ca="1" si="94"/>
        <v>#VALUE!</v>
      </c>
    </row>
    <row r="232" spans="1:42">
      <c r="A232" s="57" t="str">
        <f>'[4]TS BYDem'!A171</f>
        <v>*</v>
      </c>
      <c r="B232" s="185" t="s">
        <v>288</v>
      </c>
      <c r="C232" s="185" t="s">
        <v>137</v>
      </c>
      <c r="D232" s="185">
        <f>'[4]TS BYDem'!D171</f>
        <v>2</v>
      </c>
      <c r="E232" s="185" t="s">
        <v>137</v>
      </c>
      <c r="F232" s="185" t="s">
        <v>137</v>
      </c>
      <c r="G232" s="185" t="s">
        <v>137</v>
      </c>
      <c r="H232" s="185" t="s">
        <v>137</v>
      </c>
      <c r="I232" s="185">
        <v>0</v>
      </c>
      <c r="J232" s="185" t="str">
        <f>INDEX('[4]TS BYDem'!$J$10:$J$203,MATCH(D232,'[4]TS BYDem'!$D$10:$D$203,0))</f>
        <v/>
      </c>
      <c r="K232" s="185" t="e">
        <f t="shared" ca="1" si="93"/>
        <v>#VALUE!</v>
      </c>
      <c r="L232" s="185" t="e">
        <f t="shared" ca="1" si="93"/>
        <v>#VALUE!</v>
      </c>
      <c r="M232" s="185" t="e">
        <f t="shared" ca="1" si="93"/>
        <v>#VALUE!</v>
      </c>
      <c r="N232" s="185" t="e">
        <f t="shared" ca="1" si="93"/>
        <v>#VALUE!</v>
      </c>
      <c r="O232" s="185" t="e">
        <f t="shared" ca="1" si="93"/>
        <v>#VALUE!</v>
      </c>
      <c r="P232" s="185" t="e">
        <f t="shared" ca="1" si="93"/>
        <v>#VALUE!</v>
      </c>
      <c r="Q232" s="185" t="e">
        <f t="shared" ca="1" si="93"/>
        <v>#VALUE!</v>
      </c>
      <c r="R232" s="185" t="e">
        <f t="shared" ca="1" si="93"/>
        <v>#VALUE!</v>
      </c>
      <c r="S232" s="185" t="e">
        <f t="shared" ca="1" si="93"/>
        <v>#VALUE!</v>
      </c>
      <c r="T232" s="185" t="e">
        <f t="shared" ca="1" si="93"/>
        <v>#VALUE!</v>
      </c>
      <c r="U232" s="185" t="e">
        <f t="shared" ca="1" si="93"/>
        <v>#VALUE!</v>
      </c>
      <c r="V232" s="185" t="e">
        <f t="shared" ca="1" si="93"/>
        <v>#VALUE!</v>
      </c>
      <c r="W232" s="185" t="e">
        <f t="shared" ca="1" si="93"/>
        <v>#VALUE!</v>
      </c>
      <c r="X232" s="185" t="e">
        <f t="shared" ca="1" si="93"/>
        <v>#VALUE!</v>
      </c>
      <c r="Y232" s="185" t="e">
        <f t="shared" ca="1" si="93"/>
        <v>#VALUE!</v>
      </c>
      <c r="Z232" s="185" t="e">
        <f t="shared" ca="1" si="93"/>
        <v>#VALUE!</v>
      </c>
      <c r="AA232" s="185" t="e">
        <f t="shared" ca="1" si="94"/>
        <v>#VALUE!</v>
      </c>
      <c r="AB232" s="185" t="e">
        <f t="shared" ca="1" si="94"/>
        <v>#VALUE!</v>
      </c>
      <c r="AC232" s="185" t="e">
        <f t="shared" ca="1" si="94"/>
        <v>#VALUE!</v>
      </c>
      <c r="AD232" s="185" t="e">
        <f t="shared" ca="1" si="94"/>
        <v>#VALUE!</v>
      </c>
      <c r="AE232" s="185" t="e">
        <f t="shared" ca="1" si="94"/>
        <v>#VALUE!</v>
      </c>
      <c r="AF232" s="185" t="e">
        <f t="shared" ca="1" si="94"/>
        <v>#VALUE!</v>
      </c>
      <c r="AG232" s="185" t="e">
        <f t="shared" ca="1" si="94"/>
        <v>#VALUE!</v>
      </c>
      <c r="AH232" s="185" t="e">
        <f t="shared" ca="1" si="94"/>
        <v>#VALUE!</v>
      </c>
      <c r="AI232" s="185" t="e">
        <f t="shared" ca="1" si="94"/>
        <v>#VALUE!</v>
      </c>
      <c r="AJ232" s="185" t="e">
        <f t="shared" ca="1" si="94"/>
        <v>#VALUE!</v>
      </c>
      <c r="AK232" s="185" t="e">
        <f t="shared" ca="1" si="94"/>
        <v>#VALUE!</v>
      </c>
      <c r="AL232" s="185" t="e">
        <f t="shared" ca="1" si="94"/>
        <v>#VALUE!</v>
      </c>
      <c r="AM232" s="185" t="e">
        <f t="shared" ca="1" si="94"/>
        <v>#VALUE!</v>
      </c>
      <c r="AN232" s="185" t="e">
        <f t="shared" ca="1" si="94"/>
        <v>#VALUE!</v>
      </c>
      <c r="AO232" s="185" t="e">
        <f t="shared" ca="1" si="94"/>
        <v>#VALUE!</v>
      </c>
      <c r="AP232" s="185" t="e">
        <f t="shared" ca="1" si="94"/>
        <v>#VALUE!</v>
      </c>
    </row>
    <row r="233" spans="1:42">
      <c r="A233" s="57" t="str">
        <f>'[4]TS BYDem'!A172</f>
        <v/>
      </c>
      <c r="B233" s="185" t="s">
        <v>288</v>
      </c>
      <c r="C233" s="185" t="s">
        <v>137</v>
      </c>
      <c r="D233" s="185" t="str">
        <f>'[4]TS BYDem'!D172</f>
        <v>IOTK</v>
      </c>
      <c r="E233" s="185" t="s">
        <v>137</v>
      </c>
      <c r="F233" s="185" t="s">
        <v>137</v>
      </c>
      <c r="G233" s="185" t="s">
        <v>137</v>
      </c>
      <c r="H233" s="185" t="s">
        <v>137</v>
      </c>
      <c r="I233" s="185">
        <v>0</v>
      </c>
      <c r="J233" s="185">
        <f>INDEX('[4]TS BYDem'!$J$10:$J$203,MATCH(D233,'[4]TS BYDem'!$D$10:$D$203,0))</f>
        <v>4.0241553496851505</v>
      </c>
      <c r="K233" s="185">
        <f t="shared" ca="1" si="93"/>
        <v>4.1362170927295789</v>
      </c>
      <c r="L233" s="185">
        <f t="shared" ca="1" si="93"/>
        <v>4.2154705500951453</v>
      </c>
      <c r="M233" s="192">
        <f t="shared" ref="M233:M241" si="95">O233</f>
        <v>2.1816720000000003</v>
      </c>
      <c r="N233" s="192">
        <f t="shared" ref="N233:N241" si="96">O233</f>
        <v>2.1816720000000003</v>
      </c>
      <c r="O233" s="192">
        <f>INDEX('[4]TS BYDem'!$O$10:$O$203,MATCH(D233,'[4]TS BYDem'!$D$10:$D$203,0))</f>
        <v>2.1816720000000003</v>
      </c>
      <c r="P233" s="185">
        <f t="shared" ca="1" si="93"/>
        <v>2.2068085625289617</v>
      </c>
      <c r="Q233" s="185">
        <f t="shared" ca="1" si="93"/>
        <v>2.2044439779147851</v>
      </c>
      <c r="R233" s="185">
        <f t="shared" ca="1" si="93"/>
        <v>1.9978769502611429</v>
      </c>
      <c r="S233" s="185">
        <f t="shared" ca="1" si="93"/>
        <v>2.0502589045794628</v>
      </c>
      <c r="T233" s="185">
        <f t="shared" ca="1" si="93"/>
        <v>2.1035203934109896</v>
      </c>
      <c r="U233" s="185">
        <f t="shared" ca="1" si="93"/>
        <v>2.1604384518678206</v>
      </c>
      <c r="V233" s="185">
        <f t="shared" ca="1" si="93"/>
        <v>2.2210461569261781</v>
      </c>
      <c r="W233" s="185">
        <f t="shared" ca="1" si="93"/>
        <v>2.2813638091116428</v>
      </c>
      <c r="X233" s="185">
        <f t="shared" ca="1" si="93"/>
        <v>2.347937062531845</v>
      </c>
      <c r="Y233" s="185">
        <f t="shared" ca="1" si="93"/>
        <v>2.4156630982973422</v>
      </c>
      <c r="Z233" s="185">
        <f t="shared" ca="1" si="93"/>
        <v>2.4872864064512501</v>
      </c>
      <c r="AA233" s="185">
        <f t="shared" ca="1" si="94"/>
        <v>2.5591884242429019</v>
      </c>
      <c r="AB233" s="185">
        <f t="shared" ca="1" si="94"/>
        <v>2.6195886202038867</v>
      </c>
      <c r="AC233" s="185">
        <f t="shared" ca="1" si="94"/>
        <v>2.6952095889138081</v>
      </c>
      <c r="AD233" s="185">
        <f t="shared" ca="1" si="94"/>
        <v>2.7729030517812805</v>
      </c>
      <c r="AE233" s="185">
        <f t="shared" ca="1" si="94"/>
        <v>2.8514590116909297</v>
      </c>
      <c r="AF233" s="185">
        <f t="shared" ca="1" si="94"/>
        <v>2.9278579602848245</v>
      </c>
      <c r="AG233" s="185">
        <f t="shared" ca="1" si="94"/>
        <v>3.0099011019360566</v>
      </c>
      <c r="AH233" s="185">
        <f t="shared" ca="1" si="94"/>
        <v>3.0934094807569115</v>
      </c>
      <c r="AI233" s="185">
        <f t="shared" ca="1" si="94"/>
        <v>3.179860194823974</v>
      </c>
      <c r="AJ233" s="185">
        <f t="shared" ca="1" si="94"/>
        <v>3.2650142217493192</v>
      </c>
      <c r="AK233" s="185">
        <f t="shared" ca="1" si="94"/>
        <v>3.3530968024113097</v>
      </c>
      <c r="AL233" s="185">
        <f t="shared" ca="1" si="94"/>
        <v>3.4464153434762625</v>
      </c>
      <c r="AM233" s="185">
        <f t="shared" ca="1" si="94"/>
        <v>3.9758450818915061</v>
      </c>
      <c r="AN233" s="185">
        <f t="shared" ca="1" si="94"/>
        <v>4.5741558246950493</v>
      </c>
      <c r="AO233" s="185">
        <f t="shared" ca="1" si="94"/>
        <v>5.6904161385157863</v>
      </c>
      <c r="AP233" s="185">
        <f t="shared" ca="1" si="94"/>
        <v>6.8181566197345784</v>
      </c>
    </row>
    <row r="234" spans="1:42">
      <c r="A234" s="57" t="str">
        <f>'[4]TS BYDem'!A173</f>
        <v/>
      </c>
      <c r="B234" s="185" t="s">
        <v>288</v>
      </c>
      <c r="C234" s="185" t="s">
        <v>137</v>
      </c>
      <c r="D234" s="185" t="str">
        <f>'[4]TS BYDem'!D173</f>
        <v>IOTA</v>
      </c>
      <c r="E234" s="185" t="s">
        <v>137</v>
      </c>
      <c r="F234" s="185" t="s">
        <v>137</v>
      </c>
      <c r="G234" s="185" t="s">
        <v>137</v>
      </c>
      <c r="H234" s="185" t="s">
        <v>137</v>
      </c>
      <c r="I234" s="185">
        <v>0</v>
      </c>
      <c r="J234" s="185">
        <f>INDEX('[4]TS BYDem'!$J$10:$J$203,MATCH(D234,'[4]TS BYDem'!$D$10:$D$203,0))</f>
        <v>0.22789646617646991</v>
      </c>
      <c r="K234" s="185">
        <f t="shared" ca="1" si="93"/>
        <v>0.23424276074370104</v>
      </c>
      <c r="L234" s="185">
        <f t="shared" ca="1" si="93"/>
        <v>0.23873105239658002</v>
      </c>
      <c r="M234" s="192">
        <f t="shared" si="95"/>
        <v>0.12355272</v>
      </c>
      <c r="N234" s="192">
        <f t="shared" si="96"/>
        <v>0.12355272</v>
      </c>
      <c r="O234" s="192">
        <f>INDEX('[4]TS BYDem'!$O$10:$O$203,MATCH(D234,'[4]TS BYDem'!$D$10:$D$203,0))</f>
        <v>0.12355272</v>
      </c>
      <c r="P234" s="185">
        <f t="shared" ca="1" si="93"/>
        <v>0.12497625693493029</v>
      </c>
      <c r="Q234" s="185">
        <f t="shared" ca="1" si="93"/>
        <v>0.12484234548501864</v>
      </c>
      <c r="R234" s="185">
        <f t="shared" ca="1" si="93"/>
        <v>0.11314401588784606</v>
      </c>
      <c r="S234" s="185">
        <f t="shared" ca="1" si="93"/>
        <v>0.11611051723861932</v>
      </c>
      <c r="T234" s="185">
        <f t="shared" ca="1" si="93"/>
        <v>0.11912682849731665</v>
      </c>
      <c r="U234" s="185">
        <f t="shared" ca="1" si="93"/>
        <v>0.12235021906173718</v>
      </c>
      <c r="V234" s="185">
        <f t="shared" ca="1" si="93"/>
        <v>0.12578256215131153</v>
      </c>
      <c r="W234" s="185">
        <f t="shared" ca="1" si="93"/>
        <v>0.12919847893051947</v>
      </c>
      <c r="X234" s="185">
        <f t="shared" ca="1" si="93"/>
        <v>0.13296866369675164</v>
      </c>
      <c r="Y234" s="185">
        <f t="shared" ca="1" si="93"/>
        <v>0.13680413297611374</v>
      </c>
      <c r="Z234" s="185">
        <f t="shared" ca="1" si="93"/>
        <v>0.14086031307001123</v>
      </c>
      <c r="AA234" s="185">
        <f t="shared" ca="1" si="94"/>
        <v>0.14493227708277162</v>
      </c>
      <c r="AB234" s="185">
        <f t="shared" ca="1" si="94"/>
        <v>0.1483528684913393</v>
      </c>
      <c r="AC234" s="185">
        <f t="shared" ca="1" si="94"/>
        <v>0.15263544459496334</v>
      </c>
      <c r="AD234" s="185">
        <f t="shared" ca="1" si="94"/>
        <v>0.1570353904454373</v>
      </c>
      <c r="AE234" s="185">
        <f t="shared" ca="1" si="94"/>
        <v>0.16148418133565731</v>
      </c>
      <c r="AF234" s="185">
        <f t="shared" ca="1" si="94"/>
        <v>0.16581081609281415</v>
      </c>
      <c r="AG234" s="185">
        <f t="shared" ca="1" si="94"/>
        <v>0.17045709349306268</v>
      </c>
      <c r="AH234" s="185">
        <f t="shared" ca="1" si="94"/>
        <v>0.17518635038690694</v>
      </c>
      <c r="AI234" s="185">
        <f t="shared" ca="1" si="94"/>
        <v>0.18008223797630069</v>
      </c>
      <c r="AJ234" s="185">
        <f t="shared" ca="1" si="94"/>
        <v>0.18490469141823862</v>
      </c>
      <c r="AK234" s="185">
        <f t="shared" ca="1" si="94"/>
        <v>0.18989299507956273</v>
      </c>
      <c r="AL234" s="185">
        <f t="shared" ca="1" si="94"/>
        <v>0.1951778223015313</v>
      </c>
      <c r="AM234" s="185">
        <f t="shared" ca="1" si="94"/>
        <v>0.22516055308328575</v>
      </c>
      <c r="AN234" s="185">
        <f t="shared" ca="1" si="94"/>
        <v>0.2590441614710719</v>
      </c>
      <c r="AO234" s="185">
        <f t="shared" ca="1" si="94"/>
        <v>0.32226035437294054</v>
      </c>
      <c r="AP234" s="185">
        <f t="shared" ca="1" si="94"/>
        <v>0.38612669354248141</v>
      </c>
    </row>
    <row r="235" spans="1:42">
      <c r="A235" s="57" t="str">
        <f>'[4]TS BYDem'!A174</f>
        <v/>
      </c>
      <c r="B235" s="185" t="s">
        <v>288</v>
      </c>
      <c r="C235" s="185" t="s">
        <v>137</v>
      </c>
      <c r="D235" s="185" t="str">
        <f>'[4]TS BYDem'!D174</f>
        <v>IOTL</v>
      </c>
      <c r="E235" s="185" t="s">
        <v>137</v>
      </c>
      <c r="F235" s="185" t="s">
        <v>137</v>
      </c>
      <c r="G235" s="185" t="s">
        <v>137</v>
      </c>
      <c r="H235" s="185" t="s">
        <v>137</v>
      </c>
      <c r="I235" s="185">
        <v>0</v>
      </c>
      <c r="J235" s="185">
        <f>INDEX('[4]TS BYDem'!$J$10:$J$203,MATCH(D235,'[4]TS BYDem'!$D$10:$D$203,0))</f>
        <v>1.0095834302163471</v>
      </c>
      <c r="K235" s="185">
        <f t="shared" ca="1" si="93"/>
        <v>1.0376975732122602</v>
      </c>
      <c r="L235" s="185">
        <f t="shared" ca="1" si="93"/>
        <v>1.0575807462984816</v>
      </c>
      <c r="M235" s="192">
        <f t="shared" si="95"/>
        <v>0.54733968</v>
      </c>
      <c r="N235" s="192">
        <f t="shared" si="96"/>
        <v>0.54733968</v>
      </c>
      <c r="O235" s="192">
        <f>INDEX('[4]TS BYDem'!$O$10:$O$203,MATCH(D235,'[4]TS BYDem'!$D$10:$D$203,0))</f>
        <v>0.54733968</v>
      </c>
      <c r="P235" s="185">
        <f t="shared" ca="1" si="93"/>
        <v>0.55364596164586688</v>
      </c>
      <c r="Q235" s="185">
        <f t="shared" ca="1" si="93"/>
        <v>0.55305273269758493</v>
      </c>
      <c r="R235" s="185">
        <f t="shared" ca="1" si="93"/>
        <v>0.50122902555256232</v>
      </c>
      <c r="S235" s="185">
        <f t="shared" ca="1" si="93"/>
        <v>0.51437065367739676</v>
      </c>
      <c r="T235" s="185">
        <f t="shared" ca="1" si="93"/>
        <v>0.52773294015005234</v>
      </c>
      <c r="U235" s="185">
        <f t="shared" ca="1" si="93"/>
        <v>0.54201258984165734</v>
      </c>
      <c r="V235" s="185">
        <f t="shared" ca="1" si="93"/>
        <v>0.55721790113142766</v>
      </c>
      <c r="W235" s="185">
        <f t="shared" ca="1" si="93"/>
        <v>0.57235044371598831</v>
      </c>
      <c r="X235" s="185">
        <f t="shared" ca="1" si="93"/>
        <v>0.58905239672431053</v>
      </c>
      <c r="Y235" s="185">
        <f t="shared" ca="1" si="93"/>
        <v>0.60604356072309484</v>
      </c>
      <c r="Z235" s="185">
        <f t="shared" ca="1" si="93"/>
        <v>0.62401247564958306</v>
      </c>
      <c r="AA235" s="185">
        <f t="shared" ca="1" si="94"/>
        <v>0.64205131348104305</v>
      </c>
      <c r="AB235" s="185">
        <f t="shared" ca="1" si="94"/>
        <v>0.65720456471643629</v>
      </c>
      <c r="AC235" s="185">
        <f t="shared" ca="1" si="94"/>
        <v>0.67617641603733991</v>
      </c>
      <c r="AD235" s="185">
        <f t="shared" ca="1" si="94"/>
        <v>0.69566821641061982</v>
      </c>
      <c r="AE235" s="185">
        <f t="shared" ca="1" si="94"/>
        <v>0.71537640075686448</v>
      </c>
      <c r="AF235" s="185">
        <f t="shared" ca="1" si="94"/>
        <v>0.73454343231601671</v>
      </c>
      <c r="AG235" s="185">
        <f t="shared" ca="1" si="94"/>
        <v>0.75512648370851754</v>
      </c>
      <c r="AH235" s="185">
        <f t="shared" ca="1" si="94"/>
        <v>0.77607713501683773</v>
      </c>
      <c r="AI235" s="185">
        <f t="shared" ca="1" si="94"/>
        <v>0.79776596183096804</v>
      </c>
      <c r="AJ235" s="185">
        <f t="shared" ca="1" si="94"/>
        <v>0.81912947470001063</v>
      </c>
      <c r="AK235" s="185">
        <f t="shared" ca="1" si="94"/>
        <v>0.84122770555831927</v>
      </c>
      <c r="AL235" s="185">
        <f t="shared" ca="1" si="94"/>
        <v>0.86463953850321573</v>
      </c>
      <c r="AM235" s="185">
        <f t="shared" ca="1" si="94"/>
        <v>0.99746331018231471</v>
      </c>
      <c r="AN235" s="185">
        <f t="shared" ca="1" si="94"/>
        <v>1.1475680053457735</v>
      </c>
      <c r="AO235" s="185">
        <f t="shared" ca="1" si="94"/>
        <v>1.4276163182742714</v>
      </c>
      <c r="AP235" s="185">
        <f t="shared" ca="1" si="94"/>
        <v>1.7105447851168305</v>
      </c>
    </row>
    <row r="236" spans="1:42">
      <c r="A236" s="57" t="str">
        <f>'[4]TS BYDem'!A175</f>
        <v/>
      </c>
      <c r="B236" s="185" t="s">
        <v>288</v>
      </c>
      <c r="C236" s="185" t="s">
        <v>137</v>
      </c>
      <c r="D236" s="185" t="str">
        <f>'[4]TS BYDem'!D175</f>
        <v>IOTC</v>
      </c>
      <c r="E236" s="185" t="s">
        <v>137</v>
      </c>
      <c r="F236" s="185" t="s">
        <v>137</v>
      </c>
      <c r="G236" s="185" t="s">
        <v>137</v>
      </c>
      <c r="H236" s="185" t="s">
        <v>137</v>
      </c>
      <c r="I236" s="185">
        <v>0</v>
      </c>
      <c r="J236" s="185">
        <f>INDEX('[4]TS BYDem'!$J$10:$J$203,MATCH(D236,'[4]TS BYDem'!$D$10:$D$203,0))</f>
        <v>4.2868722274366169</v>
      </c>
      <c r="K236" s="185">
        <f t="shared" ca="1" si="93"/>
        <v>4.4062499184725477</v>
      </c>
      <c r="L236" s="185">
        <f t="shared" ca="1" si="93"/>
        <v>4.4906774357490269</v>
      </c>
      <c r="M236" s="192">
        <f t="shared" si="95"/>
        <v>2.3241024000000006</v>
      </c>
      <c r="N236" s="192">
        <f t="shared" si="96"/>
        <v>2.3241024000000006</v>
      </c>
      <c r="O236" s="192">
        <f>INDEX('[4]TS BYDem'!$O$10:$O$203,MATCH(D236,'[4]TS BYDem'!$D$10:$D$203,0))</f>
        <v>2.3241024000000006</v>
      </c>
      <c r="P236" s="185">
        <f t="shared" ca="1" si="93"/>
        <v>2.3508800023624588</v>
      </c>
      <c r="Q236" s="185">
        <f t="shared" ca="1" si="93"/>
        <v>2.3483610459030047</v>
      </c>
      <c r="R236" s="185">
        <f t="shared" ca="1" si="93"/>
        <v>2.1283082952004717</v>
      </c>
      <c r="S236" s="185">
        <f t="shared" ca="1" si="93"/>
        <v>2.1841100040494177</v>
      </c>
      <c r="T236" s="185">
        <f t="shared" ca="1" si="93"/>
        <v>2.2408486677994794</v>
      </c>
      <c r="U236" s="185">
        <f t="shared" ca="1" si="93"/>
        <v>2.3014826202281036</v>
      </c>
      <c r="V236" s="185">
        <f t="shared" ca="1" si="93"/>
        <v>2.3660470977410482</v>
      </c>
      <c r="W236" s="185">
        <f t="shared" ca="1" si="93"/>
        <v>2.4303025862868077</v>
      </c>
      <c r="X236" s="185">
        <f t="shared" ca="1" si="93"/>
        <v>2.5012220728318519</v>
      </c>
      <c r="Y236" s="185">
        <f t="shared" ca="1" si="93"/>
        <v>2.5733696010877392</v>
      </c>
      <c r="Z236" s="185">
        <f t="shared" ca="1" si="93"/>
        <v>2.6496688350589492</v>
      </c>
      <c r="AA236" s="185">
        <f t="shared" ca="1" si="94"/>
        <v>2.7262649742193825</v>
      </c>
      <c r="AB236" s="185">
        <f t="shared" ca="1" si="94"/>
        <v>2.7906083954089085</v>
      </c>
      <c r="AC236" s="185">
        <f t="shared" ca="1" si="94"/>
        <v>2.8711662771019646</v>
      </c>
      <c r="AD236" s="185">
        <f t="shared" ca="1" si="94"/>
        <v>2.9539319556799559</v>
      </c>
      <c r="AE236" s="185">
        <f t="shared" ca="1" si="94"/>
        <v>3.0376164393971781</v>
      </c>
      <c r="AF236" s="185">
        <f t="shared" ca="1" si="94"/>
        <v>3.1190030913707778</v>
      </c>
      <c r="AG236" s="185">
        <f t="shared" ca="1" si="94"/>
        <v>3.2064024173992407</v>
      </c>
      <c r="AH236" s="185">
        <f t="shared" ca="1" si="94"/>
        <v>3.2953626385679855</v>
      </c>
      <c r="AI236" s="185">
        <f t="shared" ca="1" si="94"/>
        <v>3.3874572852632601</v>
      </c>
      <c r="AJ236" s="185">
        <f t="shared" ca="1" si="94"/>
        <v>3.4781705906303633</v>
      </c>
      <c r="AK236" s="185">
        <f t="shared" ca="1" si="94"/>
        <v>3.5720036402889397</v>
      </c>
      <c r="AL236" s="185">
        <f t="shared" ca="1" si="94"/>
        <v>3.671414479889739</v>
      </c>
      <c r="AM236" s="185">
        <f t="shared" ca="1" si="94"/>
        <v>4.2354080250616253</v>
      </c>
      <c r="AN236" s="185">
        <f t="shared" ca="1" si="94"/>
        <v>4.8727794692088189</v>
      </c>
      <c r="AO236" s="185">
        <f t="shared" ca="1" si="94"/>
        <v>6.0619148086986812</v>
      </c>
      <c r="AP236" s="185">
        <f t="shared" ca="1" si="94"/>
        <v>7.2632797980177672</v>
      </c>
    </row>
    <row r="237" spans="1:42">
      <c r="A237" s="57" t="str">
        <f>'[4]TS BYDem'!A176</f>
        <v/>
      </c>
      <c r="B237" s="185" t="s">
        <v>288</v>
      </c>
      <c r="C237" s="185" t="s">
        <v>137</v>
      </c>
      <c r="D237" s="185" t="str">
        <f>'[4]TS BYDem'!D176</f>
        <v>IOTH</v>
      </c>
      <c r="E237" s="185" t="s">
        <v>137</v>
      </c>
      <c r="F237" s="185" t="s">
        <v>137</v>
      </c>
      <c r="G237" s="185" t="s">
        <v>137</v>
      </c>
      <c r="H237" s="185" t="s">
        <v>137</v>
      </c>
      <c r="I237" s="185">
        <v>0</v>
      </c>
      <c r="J237" s="185">
        <f>INDEX('[4]TS BYDem'!$J$10:$J$203,MATCH(D237,'[4]TS BYDem'!$D$10:$D$203,0))</f>
        <v>3.1863804172999206</v>
      </c>
      <c r="K237" s="185">
        <f t="shared" ca="1" si="93"/>
        <v>3.2751124150825612</v>
      </c>
      <c r="L237" s="185">
        <f t="shared" ca="1" si="93"/>
        <v>3.3378663702877733</v>
      </c>
      <c r="M237" s="192">
        <f t="shared" si="95"/>
        <v>1.7274772800000002</v>
      </c>
      <c r="N237" s="192">
        <f t="shared" si="96"/>
        <v>1.7274772800000002</v>
      </c>
      <c r="O237" s="192">
        <f>INDEX('[4]TS BYDem'!$O$10:$O$203,MATCH(D237,'[4]TS BYDem'!$D$10:$D$203,0))</f>
        <v>1.7274772800000002</v>
      </c>
      <c r="P237" s="185">
        <f t="shared" ca="1" si="93"/>
        <v>1.7473807488376989</v>
      </c>
      <c r="Q237" s="185">
        <f t="shared" ca="1" si="93"/>
        <v>1.7455084388856863</v>
      </c>
      <c r="R237" s="185">
        <f t="shared" ca="1" si="93"/>
        <v>1.5819458836212843</v>
      </c>
      <c r="S237" s="185">
        <f t="shared" ca="1" si="93"/>
        <v>1.6234226207141633</v>
      </c>
      <c r="T237" s="185">
        <f t="shared" ca="1" si="93"/>
        <v>1.6655957850832508</v>
      </c>
      <c r="U237" s="185">
        <f t="shared" ca="1" si="93"/>
        <v>1.7106642705411415</v>
      </c>
      <c r="V237" s="185">
        <f t="shared" ca="1" si="93"/>
        <v>1.7586542678832047</v>
      </c>
      <c r="W237" s="185">
        <f t="shared" ca="1" si="93"/>
        <v>1.8064145974530634</v>
      </c>
      <c r="X237" s="185">
        <f t="shared" ca="1" si="93"/>
        <v>1.8591281963529354</v>
      </c>
      <c r="Y237" s="185">
        <f t="shared" ca="1" si="93"/>
        <v>1.9127545838435225</v>
      </c>
      <c r="Z237" s="185">
        <f t="shared" ca="1" si="93"/>
        <v>1.9694668841133682</v>
      </c>
      <c r="AA237" s="185">
        <f t="shared" ca="1" si="94"/>
        <v>2.0263998704290169</v>
      </c>
      <c r="AB237" s="185">
        <f t="shared" ca="1" si="94"/>
        <v>2.0742255592723211</v>
      </c>
      <c r="AC237" s="185">
        <f t="shared" ca="1" si="94"/>
        <v>2.1341032610249129</v>
      </c>
      <c r="AD237" s="185">
        <f t="shared" ca="1" si="94"/>
        <v>2.195621991571064</v>
      </c>
      <c r="AE237" s="185">
        <f t="shared" ca="1" si="94"/>
        <v>2.2578236588943414</v>
      </c>
      <c r="AF237" s="185">
        <f t="shared" ca="1" si="94"/>
        <v>2.3183173755996211</v>
      </c>
      <c r="AG237" s="185">
        <f t="shared" ca="1" si="94"/>
        <v>2.3832802404034621</v>
      </c>
      <c r="AH237" s="185">
        <f t="shared" ca="1" si="94"/>
        <v>2.4494032997371566</v>
      </c>
      <c r="AI237" s="185">
        <f t="shared" ca="1" si="94"/>
        <v>2.5178561397564749</v>
      </c>
      <c r="AJ237" s="185">
        <f t="shared" ca="1" si="94"/>
        <v>2.5852822454286577</v>
      </c>
      <c r="AK237" s="185">
        <f t="shared" ca="1" si="94"/>
        <v>2.6550272194015352</v>
      </c>
      <c r="AL237" s="185">
        <f t="shared" ca="1" si="94"/>
        <v>2.7289180973577323</v>
      </c>
      <c r="AM237" s="185">
        <f t="shared" ca="1" si="94"/>
        <v>3.1481276964490146</v>
      </c>
      <c r="AN237" s="185">
        <f t="shared" ca="1" si="94"/>
        <v>3.6218782027455814</v>
      </c>
      <c r="AO237" s="185">
        <f t="shared" ca="1" si="94"/>
        <v>4.5057481569325502</v>
      </c>
      <c r="AP237" s="185">
        <f t="shared" ca="1" si="94"/>
        <v>5.3987082623204037</v>
      </c>
    </row>
    <row r="238" spans="1:42">
      <c r="A238" s="57" t="str">
        <f>'[4]TS BYDem'!A177</f>
        <v/>
      </c>
      <c r="B238" s="185" t="s">
        <v>288</v>
      </c>
      <c r="C238" s="185" t="s">
        <v>137</v>
      </c>
      <c r="D238" s="185" t="str">
        <f>'[4]TS BYDem'!D177</f>
        <v>IOTP</v>
      </c>
      <c r="E238" s="185" t="s">
        <v>137</v>
      </c>
      <c r="F238" s="185" t="s">
        <v>137</v>
      </c>
      <c r="G238" s="185" t="s">
        <v>137</v>
      </c>
      <c r="H238" s="185" t="s">
        <v>137</v>
      </c>
      <c r="I238" s="185">
        <v>0</v>
      </c>
      <c r="J238" s="185">
        <f>INDEX('[4]TS BYDem'!$J$10:$J$203,MATCH(D238,'[4]TS BYDem'!$D$10:$D$203,0))</f>
        <v>4.3369135374845138</v>
      </c>
      <c r="K238" s="185">
        <f t="shared" ca="1" si="93"/>
        <v>4.457684742423587</v>
      </c>
      <c r="L238" s="185">
        <f t="shared" ca="1" si="93"/>
        <v>4.5430977949211924</v>
      </c>
      <c r="M238" s="192">
        <f t="shared" si="95"/>
        <v>2.3512320000000004</v>
      </c>
      <c r="N238" s="192">
        <f t="shared" si="96"/>
        <v>2.3512320000000004</v>
      </c>
      <c r="O238" s="192">
        <f>INDEX('[4]TS BYDem'!$O$10:$O$203,MATCH(D238,'[4]TS BYDem'!$D$10:$D$203,0))</f>
        <v>2.3512320000000004</v>
      </c>
      <c r="P238" s="185">
        <f t="shared" ca="1" si="93"/>
        <v>2.3783221813783628</v>
      </c>
      <c r="Q238" s="185">
        <f t="shared" ca="1" si="93"/>
        <v>2.3757738207579031</v>
      </c>
      <c r="R238" s="185">
        <f t="shared" ca="1" si="93"/>
        <v>2.1531523609032006</v>
      </c>
      <c r="S238" s="185">
        <f t="shared" ca="1" si="93"/>
        <v>2.2096054515675041</v>
      </c>
      <c r="T238" s="185">
        <f t="shared" ca="1" si="93"/>
        <v>2.2670064343496676</v>
      </c>
      <c r="U238" s="185">
        <f t="shared" ca="1" si="93"/>
        <v>2.3283481761062523</v>
      </c>
      <c r="V238" s="185">
        <f t="shared" ca="1" si="93"/>
        <v>2.3936663245629277</v>
      </c>
      <c r="W238" s="185">
        <f t="shared" ca="1" si="93"/>
        <v>2.4586718771773146</v>
      </c>
      <c r="X238" s="185">
        <f t="shared" ca="1" si="93"/>
        <v>2.5304192176509002</v>
      </c>
      <c r="Y238" s="185">
        <f t="shared" ca="1" si="93"/>
        <v>2.6034089349525762</v>
      </c>
      <c r="Z238" s="185">
        <f t="shared" ca="1" si="93"/>
        <v>2.6805988214604151</v>
      </c>
      <c r="AA238" s="185">
        <f t="shared" ca="1" si="94"/>
        <v>2.7580890789768064</v>
      </c>
      <c r="AB238" s="185">
        <f t="shared" ca="1" si="94"/>
        <v>2.8231835906860545</v>
      </c>
      <c r="AC238" s="185">
        <f t="shared" ca="1" si="94"/>
        <v>2.9046818367568505</v>
      </c>
      <c r="AD238" s="185">
        <f t="shared" ca="1" si="94"/>
        <v>2.9884136516606552</v>
      </c>
      <c r="AE238" s="185">
        <f t="shared" ca="1" si="94"/>
        <v>3.0730749970555102</v>
      </c>
      <c r="AF238" s="185">
        <f t="shared" ca="1" si="94"/>
        <v>3.1554116877681015</v>
      </c>
      <c r="AG238" s="185">
        <f t="shared" ca="1" si="94"/>
        <v>3.2438312393922275</v>
      </c>
      <c r="AH238" s="185">
        <f t="shared" ca="1" si="94"/>
        <v>3.3338299067224755</v>
      </c>
      <c r="AI238" s="185">
        <f t="shared" ca="1" si="94"/>
        <v>3.4269995882040765</v>
      </c>
      <c r="AJ238" s="185">
        <f t="shared" ca="1" si="94"/>
        <v>3.5187718037505622</v>
      </c>
      <c r="AK238" s="185">
        <f t="shared" ca="1" si="94"/>
        <v>3.6137001808370597</v>
      </c>
      <c r="AL238" s="185">
        <f t="shared" ca="1" si="94"/>
        <v>3.7142714582542107</v>
      </c>
      <c r="AM238" s="185">
        <f t="shared" ca="1" si="94"/>
        <v>4.2848485856654577</v>
      </c>
      <c r="AN238" s="185">
        <f t="shared" ca="1" si="94"/>
        <v>4.9296601634019188</v>
      </c>
      <c r="AO238" s="185">
        <f t="shared" ca="1" si="94"/>
        <v>6.1326764601620916</v>
      </c>
      <c r="AP238" s="185">
        <f t="shared" ca="1" si="94"/>
        <v>7.3480651653098059</v>
      </c>
    </row>
    <row r="239" spans="1:42">
      <c r="A239" s="57" t="str">
        <f>'[4]TS BYDem'!A178</f>
        <v/>
      </c>
      <c r="B239" s="185" t="s">
        <v>288</v>
      </c>
      <c r="C239" s="185" t="s">
        <v>137</v>
      </c>
      <c r="D239" s="185" t="str">
        <f>'[4]TS BYDem'!D178</f>
        <v>IOTF</v>
      </c>
      <c r="E239" s="185" t="s">
        <v>137</v>
      </c>
      <c r="F239" s="185" t="s">
        <v>137</v>
      </c>
      <c r="G239" s="185" t="s">
        <v>137</v>
      </c>
      <c r="H239" s="185" t="s">
        <v>137</v>
      </c>
      <c r="I239" s="185">
        <v>0</v>
      </c>
      <c r="J239" s="185">
        <f>INDEX('[4]TS BYDem'!$J$10:$J$203,MATCH(D239,'[4]TS BYDem'!$D$10:$D$203,0))</f>
        <v>1.8465243407674456</v>
      </c>
      <c r="K239" s="185">
        <f t="shared" ca="1" si="93"/>
        <v>1.8979450037934282</v>
      </c>
      <c r="L239" s="185">
        <f t="shared" ca="1" si="93"/>
        <v>1.9343112534529856</v>
      </c>
      <c r="M239" s="192">
        <f t="shared" si="95"/>
        <v>1.0010822400000001</v>
      </c>
      <c r="N239" s="192">
        <f t="shared" si="96"/>
        <v>1.0010822400000001</v>
      </c>
      <c r="O239" s="192">
        <f>INDEX('[4]TS BYDem'!$O$10:$O$203,MATCH(D239,'[4]TS BYDem'!$D$10:$D$203,0))</f>
        <v>1.0010822400000001</v>
      </c>
      <c r="P239" s="185">
        <f t="shared" ca="1" si="93"/>
        <v>1.0126164056868645</v>
      </c>
      <c r="Q239" s="185">
        <f t="shared" ca="1" si="93"/>
        <v>1.0115313921457689</v>
      </c>
      <c r="R239" s="185">
        <f t="shared" ca="1" si="93"/>
        <v>0.91674602443070907</v>
      </c>
      <c r="S239" s="185">
        <f t="shared" ca="1" si="93"/>
        <v>0.9407820134173952</v>
      </c>
      <c r="T239" s="185">
        <f t="shared" ca="1" si="93"/>
        <v>0.96522158570195482</v>
      </c>
      <c r="U239" s="185">
        <f t="shared" ca="1" si="93"/>
        <v>0.99133901190370066</v>
      </c>
      <c r="V239" s="185">
        <f t="shared" ca="1" si="93"/>
        <v>1.0191494697273698</v>
      </c>
      <c r="W239" s="185">
        <f t="shared" ca="1" si="93"/>
        <v>1.046826833859726</v>
      </c>
      <c r="X239" s="185">
        <f t="shared" ca="1" si="93"/>
        <v>1.0773746438229026</v>
      </c>
      <c r="Y239" s="185">
        <f t="shared" ca="1" si="93"/>
        <v>1.1084514196125008</v>
      </c>
      <c r="Z239" s="185">
        <f t="shared" ca="1" si="93"/>
        <v>1.1413164982141075</v>
      </c>
      <c r="AA239" s="185">
        <f t="shared" ca="1" si="94"/>
        <v>1.1743094655489712</v>
      </c>
      <c r="AB239" s="185">
        <f t="shared" ca="1" si="94"/>
        <v>1.2020247057267164</v>
      </c>
      <c r="AC239" s="185">
        <f t="shared" ca="1" si="94"/>
        <v>1.2367241512653209</v>
      </c>
      <c r="AD239" s="185">
        <f t="shared" ca="1" si="94"/>
        <v>1.2723745816878254</v>
      </c>
      <c r="AE239" s="185">
        <f t="shared" ca="1" si="94"/>
        <v>1.308420777592481</v>
      </c>
      <c r="AF239" s="185">
        <f t="shared" ca="1" si="94"/>
        <v>1.3434772070612651</v>
      </c>
      <c r="AG239" s="185">
        <f t="shared" ca="1" si="94"/>
        <v>1.3811235315412294</v>
      </c>
      <c r="AH239" s="185">
        <f t="shared" ca="1" si="94"/>
        <v>1.4194421949006848</v>
      </c>
      <c r="AI239" s="185">
        <f t="shared" ca="1" si="94"/>
        <v>1.4591109785161203</v>
      </c>
      <c r="AJ239" s="185">
        <f t="shared" ca="1" si="94"/>
        <v>1.4981847641353356</v>
      </c>
      <c r="AK239" s="185">
        <f t="shared" ca="1" si="94"/>
        <v>1.5386023462256251</v>
      </c>
      <c r="AL239" s="185">
        <f t="shared" ca="1" si="94"/>
        <v>1.5814225016490044</v>
      </c>
      <c r="AM239" s="185">
        <f t="shared" ca="1" si="94"/>
        <v>1.8243566862814085</v>
      </c>
      <c r="AN239" s="185">
        <f t="shared" ca="1" si="94"/>
        <v>2.0988976157253556</v>
      </c>
      <c r="AO239" s="185">
        <f t="shared" ca="1" si="94"/>
        <v>2.6111049389997829</v>
      </c>
      <c r="AP239" s="185">
        <f t="shared" ca="1" si="94"/>
        <v>3.1285800530761367</v>
      </c>
    </row>
    <row r="240" spans="1:42">
      <c r="A240" s="57" t="str">
        <f>'[4]TS BYDem'!A179</f>
        <v/>
      </c>
      <c r="B240" s="185" t="s">
        <v>288</v>
      </c>
      <c r="C240" s="185" t="s">
        <v>137</v>
      </c>
      <c r="D240" s="185" t="str">
        <f>'[4]TS BYDem'!D179</f>
        <v>IOTO</v>
      </c>
      <c r="E240" s="185" t="s">
        <v>137</v>
      </c>
      <c r="F240" s="185" t="s">
        <v>137</v>
      </c>
      <c r="G240" s="185" t="s">
        <v>137</v>
      </c>
      <c r="H240" s="185" t="s">
        <v>137</v>
      </c>
      <c r="I240" s="185">
        <v>0</v>
      </c>
      <c r="J240" s="185">
        <f>INDEX('[4]TS BYDem'!$J$10:$J$203,MATCH(D240,'[4]TS BYDem'!$D$10:$D$203,0))</f>
        <v>12.304490923310874</v>
      </c>
      <c r="K240" s="185">
        <f t="shared" ca="1" si="93"/>
        <v>12.647137411908401</v>
      </c>
      <c r="L240" s="185">
        <f t="shared" ca="1" si="93"/>
        <v>12.889467382313724</v>
      </c>
      <c r="M240" s="192">
        <f t="shared" si="95"/>
        <v>6.6708069120000006</v>
      </c>
      <c r="N240" s="192">
        <f t="shared" si="96"/>
        <v>6.6708069120000006</v>
      </c>
      <c r="O240" s="192">
        <f>INDEX('[4]TS BYDem'!$O$10:$O$203,MATCH(D240,'[4]TS BYDem'!$D$10:$D$203,0))</f>
        <v>6.6708069120000006</v>
      </c>
      <c r="P240" s="185">
        <f t="shared" ca="1" si="93"/>
        <v>6.7476659242906267</v>
      </c>
      <c r="Q240" s="185">
        <f t="shared" ca="1" si="93"/>
        <v>6.740435833154903</v>
      </c>
      <c r="R240" s="185">
        <f t="shared" ca="1" si="93"/>
        <v>6.1088245020917498</v>
      </c>
      <c r="S240" s="185">
        <f t="shared" ca="1" si="93"/>
        <v>6.2689906053972502</v>
      </c>
      <c r="T240" s="185">
        <f t="shared" ca="1" si="93"/>
        <v>6.4318460244706754</v>
      </c>
      <c r="U240" s="185">
        <f t="shared" ca="1" si="93"/>
        <v>6.6058819830251458</v>
      </c>
      <c r="V240" s="185">
        <f t="shared" ca="1" si="93"/>
        <v>6.7911996191426507</v>
      </c>
      <c r="W240" s="185">
        <f t="shared" ca="1" si="93"/>
        <v>6.9756303727639146</v>
      </c>
      <c r="X240" s="185">
        <f t="shared" ca="1" si="93"/>
        <v>7.1791886157398572</v>
      </c>
      <c r="Y240" s="185">
        <f t="shared" ca="1" si="93"/>
        <v>7.3862716729119891</v>
      </c>
      <c r="Z240" s="185">
        <f t="shared" ca="1" si="93"/>
        <v>7.6052712563018829</v>
      </c>
      <c r="AA240" s="185">
        <f t="shared" ca="1" si="94"/>
        <v>7.825123038453965</v>
      </c>
      <c r="AB240" s="185">
        <f t="shared" ca="1" si="94"/>
        <v>8.0098061827133638</v>
      </c>
      <c r="AC240" s="185">
        <f t="shared" ca="1" si="94"/>
        <v>8.2410292450079154</v>
      </c>
      <c r="AD240" s="185">
        <f t="shared" ca="1" si="94"/>
        <v>8.4785892857076863</v>
      </c>
      <c r="AE240" s="185">
        <f t="shared" ca="1" si="94"/>
        <v>8.7187865474152577</v>
      </c>
      <c r="AF240" s="185">
        <f t="shared" ca="1" si="94"/>
        <v>8.9523884061500656</v>
      </c>
      <c r="AG240" s="185">
        <f t="shared" ca="1" si="94"/>
        <v>9.2032482771156516</v>
      </c>
      <c r="AH240" s="185">
        <f t="shared" ca="1" si="94"/>
        <v>9.4585883422803843</v>
      </c>
      <c r="AI240" s="185">
        <f t="shared" ca="1" si="94"/>
        <v>9.7229250624408365</v>
      </c>
      <c r="AJ240" s="185">
        <f t="shared" ca="1" si="94"/>
        <v>9.9832969567486085</v>
      </c>
      <c r="AK240" s="185">
        <f t="shared" ca="1" si="94"/>
        <v>10.252623366908708</v>
      </c>
      <c r="AL240" s="185">
        <f t="shared" ca="1" si="94"/>
        <v>10.537959553445383</v>
      </c>
      <c r="AM240" s="185">
        <f t="shared" ca="1" si="94"/>
        <v>12.156774645007614</v>
      </c>
      <c r="AN240" s="185">
        <f t="shared" ca="1" si="94"/>
        <v>13.986204292827143</v>
      </c>
      <c r="AO240" s="185">
        <f t="shared" ca="1" si="94"/>
        <v>17.39934660616602</v>
      </c>
      <c r="AP240" s="185">
        <f t="shared" ca="1" si="94"/>
        <v>20.847591345547798</v>
      </c>
    </row>
    <row r="241" spans="1:42">
      <c r="A241" s="57" t="str">
        <f>'[4]TS BYDem'!A180</f>
        <v/>
      </c>
      <c r="B241" s="185" t="s">
        <v>288</v>
      </c>
      <c r="C241" s="185" t="s">
        <v>137</v>
      </c>
      <c r="D241" s="185" t="str">
        <f>'[4]TS BYDem'!D180</f>
        <v>IOTE</v>
      </c>
      <c r="E241" s="185" t="s">
        <v>137</v>
      </c>
      <c r="F241" s="185" t="s">
        <v>137</v>
      </c>
      <c r="G241" s="185" t="s">
        <v>137</v>
      </c>
      <c r="H241" s="185" t="s">
        <v>137</v>
      </c>
      <c r="I241" s="185">
        <v>0</v>
      </c>
      <c r="J241" s="185">
        <f>INDEX('[4]TS BYDem'!$J$10:$J$203,MATCH(D241,'[4]TS BYDem'!$D$10:$D$203,0))</f>
        <v>0.41264064265496897</v>
      </c>
      <c r="K241" s="185">
        <f t="shared" ca="1" si="93"/>
        <v>0.42413155830028743</v>
      </c>
      <c r="L241" s="185">
        <f t="shared" ca="1" si="93"/>
        <v>0.43225828173369424</v>
      </c>
      <c r="M241" s="192">
        <f t="shared" si="95"/>
        <v>0.22371068160000002</v>
      </c>
      <c r="N241" s="192">
        <f t="shared" si="96"/>
        <v>0.22371068160000002</v>
      </c>
      <c r="O241" s="192">
        <f>INDEX('[4]TS BYDem'!$O$10:$O$203,MATCH(D241,'[4]TS BYDem'!$D$10:$D$203,0))</f>
        <v>0.22371068160000002</v>
      </c>
      <c r="P241" s="185">
        <f t="shared" ca="1" si="93"/>
        <v>0.22628820816514589</v>
      </c>
      <c r="Q241" s="185">
        <f t="shared" ca="1" si="93"/>
        <v>0.22604574145349615</v>
      </c>
      <c r="R241" s="185">
        <f t="shared" ca="1" si="93"/>
        <v>0.20486416578470529</v>
      </c>
      <c r="S241" s="185">
        <f t="shared" ca="1" si="93"/>
        <v>0.21023546023414197</v>
      </c>
      <c r="T241" s="185">
        <f t="shared" ca="1" si="93"/>
        <v>0.21569694297285411</v>
      </c>
      <c r="U241" s="185">
        <f t="shared" ca="1" si="93"/>
        <v>0.22153337377121715</v>
      </c>
      <c r="V241" s="185">
        <f t="shared" ca="1" si="93"/>
        <v>0.22774814437322191</v>
      </c>
      <c r="W241" s="185">
        <f t="shared" ca="1" si="93"/>
        <v>0.23393317268312461</v>
      </c>
      <c r="X241" s="185">
        <f t="shared" ca="1" si="93"/>
        <v>0.24075965617787676</v>
      </c>
      <c r="Y241" s="185">
        <f t="shared" ca="1" si="93"/>
        <v>0.24770434704944927</v>
      </c>
      <c r="Z241" s="185">
        <f t="shared" ca="1" si="93"/>
        <v>0.25504866786649127</v>
      </c>
      <c r="AA241" s="185">
        <f t="shared" ca="1" si="94"/>
        <v>0.26242156782972392</v>
      </c>
      <c r="AB241" s="185">
        <f t="shared" ca="1" si="94"/>
        <v>0.26861506025535231</v>
      </c>
      <c r="AC241" s="185">
        <f t="shared" ca="1" si="94"/>
        <v>0.27636930491419598</v>
      </c>
      <c r="AD241" s="185">
        <f t="shared" ca="1" si="94"/>
        <v>0.28433606505685105</v>
      </c>
      <c r="AE241" s="185">
        <f t="shared" ca="1" si="94"/>
        <v>0.29239126645061231</v>
      </c>
      <c r="AF241" s="185">
        <f t="shared" ca="1" si="94"/>
        <v>0.30022528589233571</v>
      </c>
      <c r="AG241" s="185">
        <f t="shared" ca="1" si="94"/>
        <v>0.30863806615417272</v>
      </c>
      <c r="AH241" s="185">
        <f t="shared" ca="1" si="94"/>
        <v>0.3172010932019253</v>
      </c>
      <c r="AI241" s="185">
        <f t="shared" ca="1" si="94"/>
        <v>0.32606583004997086</v>
      </c>
      <c r="AJ241" s="185">
        <f t="shared" ca="1" si="94"/>
        <v>0.3347976033891592</v>
      </c>
      <c r="AK241" s="185">
        <f t="shared" ca="1" si="94"/>
        <v>0.34382967335979681</v>
      </c>
      <c r="AL241" s="185">
        <f t="shared" ca="1" si="94"/>
        <v>0.35339864359343326</v>
      </c>
      <c r="AM241" s="185">
        <f t="shared" ca="1" si="94"/>
        <v>0.4076868627392003</v>
      </c>
      <c r="AN241" s="185">
        <f t="shared" ca="1" si="94"/>
        <v>0.46903820431629478</v>
      </c>
      <c r="AO241" s="185">
        <f t="shared" ca="1" si="94"/>
        <v>0.5835005779672684</v>
      </c>
      <c r="AP241" s="185">
        <f t="shared" ca="1" si="94"/>
        <v>0.69914013869013047</v>
      </c>
    </row>
    <row r="242" spans="1:42">
      <c r="A242" s="57" t="str">
        <f>'[4]TS BYDem'!A181</f>
        <v>*</v>
      </c>
      <c r="B242" s="185" t="s">
        <v>288</v>
      </c>
      <c r="C242" s="185" t="s">
        <v>137</v>
      </c>
      <c r="D242" s="185" t="str">
        <f>'[4]TS BYDem'!D181</f>
        <v xml:space="preserve"> </v>
      </c>
      <c r="E242" s="185" t="s">
        <v>137</v>
      </c>
      <c r="F242" s="185" t="s">
        <v>137</v>
      </c>
      <c r="G242" s="185" t="s">
        <v>137</v>
      </c>
      <c r="H242" s="185" t="s">
        <v>137</v>
      </c>
      <c r="I242" s="185">
        <v>0</v>
      </c>
      <c r="J242" s="185" t="str">
        <f>INDEX('[4]TS BYDem'!$J$10:$J$203,MATCH(D242,'[4]TS BYDem'!$D$10:$D$203,0))</f>
        <v/>
      </c>
      <c r="K242" s="185" t="e">
        <f t="shared" ca="1" si="93"/>
        <v>#VALUE!</v>
      </c>
      <c r="L242" s="185" t="e">
        <f t="shared" ca="1" si="93"/>
        <v>#VALUE!</v>
      </c>
      <c r="M242" s="185" t="e">
        <f t="shared" ca="1" si="93"/>
        <v>#VALUE!</v>
      </c>
      <c r="N242" s="185" t="e">
        <f t="shared" ca="1" si="93"/>
        <v>#VALUE!</v>
      </c>
      <c r="O242" s="185" t="e">
        <f t="shared" ca="1" si="93"/>
        <v>#VALUE!</v>
      </c>
      <c r="P242" s="185" t="e">
        <f t="shared" ca="1" si="93"/>
        <v>#VALUE!</v>
      </c>
      <c r="Q242" s="185" t="e">
        <f t="shared" ca="1" si="93"/>
        <v>#VALUE!</v>
      </c>
      <c r="R242" s="185" t="e">
        <f t="shared" ca="1" si="93"/>
        <v>#VALUE!</v>
      </c>
      <c r="S242" s="185" t="e">
        <f t="shared" ca="1" si="93"/>
        <v>#VALUE!</v>
      </c>
      <c r="T242" s="185" t="e">
        <f t="shared" ca="1" si="93"/>
        <v>#VALUE!</v>
      </c>
      <c r="U242" s="185" t="e">
        <f t="shared" ca="1" si="93"/>
        <v>#VALUE!</v>
      </c>
      <c r="V242" s="185" t="e">
        <f t="shared" ca="1" si="93"/>
        <v>#VALUE!</v>
      </c>
      <c r="W242" s="185" t="e">
        <f t="shared" ca="1" si="93"/>
        <v>#VALUE!</v>
      </c>
      <c r="X242" s="185" t="e">
        <f t="shared" ca="1" si="93"/>
        <v>#VALUE!</v>
      </c>
      <c r="Y242" s="185" t="e">
        <f t="shared" ca="1" si="93"/>
        <v>#VALUE!</v>
      </c>
      <c r="Z242" s="185" t="e">
        <f t="shared" ca="1" si="93"/>
        <v>#VALUE!</v>
      </c>
      <c r="AA242" s="185" t="e">
        <f t="shared" ca="1" si="94"/>
        <v>#VALUE!</v>
      </c>
      <c r="AB242" s="185" t="e">
        <f t="shared" ca="1" si="94"/>
        <v>#VALUE!</v>
      </c>
      <c r="AC242" s="185" t="e">
        <f t="shared" ca="1" si="94"/>
        <v>#VALUE!</v>
      </c>
      <c r="AD242" s="185" t="e">
        <f t="shared" ca="1" si="94"/>
        <v>#VALUE!</v>
      </c>
      <c r="AE242" s="185" t="e">
        <f t="shared" ca="1" si="94"/>
        <v>#VALUE!</v>
      </c>
      <c r="AF242" s="185" t="e">
        <f t="shared" ca="1" si="94"/>
        <v>#VALUE!</v>
      </c>
      <c r="AG242" s="185" t="e">
        <f t="shared" ca="1" si="94"/>
        <v>#VALUE!</v>
      </c>
      <c r="AH242" s="185" t="e">
        <f t="shared" ca="1" si="94"/>
        <v>#VALUE!</v>
      </c>
      <c r="AI242" s="185" t="e">
        <f t="shared" ca="1" si="94"/>
        <v>#VALUE!</v>
      </c>
      <c r="AJ242" s="185" t="e">
        <f t="shared" ca="1" si="94"/>
        <v>#VALUE!</v>
      </c>
      <c r="AK242" s="185" t="e">
        <f t="shared" ca="1" si="94"/>
        <v>#VALUE!</v>
      </c>
      <c r="AL242" s="185" t="e">
        <f t="shared" ca="1" si="94"/>
        <v>#VALUE!</v>
      </c>
      <c r="AM242" s="185" t="e">
        <f t="shared" ca="1" si="94"/>
        <v>#VALUE!</v>
      </c>
      <c r="AN242" s="185" t="e">
        <f t="shared" ca="1" si="94"/>
        <v>#VALUE!</v>
      </c>
      <c r="AO242" s="185" t="e">
        <f t="shared" ca="1" si="94"/>
        <v>#VALUE!</v>
      </c>
      <c r="AP242" s="185" t="e">
        <f t="shared" ca="1" si="94"/>
        <v>#VALUE!</v>
      </c>
    </row>
    <row r="243" spans="1:42">
      <c r="A243" s="57" t="str">
        <f>'[4]TS BYDem'!A182</f>
        <v/>
      </c>
      <c r="B243" s="185" t="s">
        <v>288</v>
      </c>
      <c r="C243" s="185" t="s">
        <v>137</v>
      </c>
      <c r="D243" s="185" t="str">
        <f>'[4]TS BYDem'!D182</f>
        <v>IOTS</v>
      </c>
      <c r="E243" s="185" t="s">
        <v>137</v>
      </c>
      <c r="F243" s="185" t="s">
        <v>137</v>
      </c>
      <c r="G243" s="185" t="s">
        <v>137</v>
      </c>
      <c r="H243" s="185" t="s">
        <v>137</v>
      </c>
      <c r="I243" s="185">
        <v>0</v>
      </c>
      <c r="J243" s="185">
        <f>INDEX('[4]TS BYDem'!$J$10:$J$203,MATCH(D243,'[4]TS BYDem'!$D$10:$D$203,0))</f>
        <v>73.690487252999532</v>
      </c>
      <c r="K243" s="185">
        <f t="shared" ca="1" si="93"/>
        <v>75.742566193741837</v>
      </c>
      <c r="L243" s="185">
        <f t="shared" ca="1" si="93"/>
        <v>77.193858547604464</v>
      </c>
      <c r="M243" s="192">
        <f t="shared" ref="M243" si="97">O243</f>
        <v>61.561340800000004</v>
      </c>
      <c r="N243" s="192">
        <f t="shared" ref="N243" si="98">O243</f>
        <v>61.561340800000004</v>
      </c>
      <c r="O243" s="192">
        <f>INDEX('[4]TS BYDem'!$O$10:$O$203,MATCH(D243,'[4]TS BYDem'!$D$10:$D$203,0))</f>
        <v>61.561340800000004</v>
      </c>
      <c r="P243" s="185">
        <f t="shared" ca="1" si="93"/>
        <v>62.270631881512664</v>
      </c>
      <c r="Q243" s="185">
        <f t="shared" ca="1" si="93"/>
        <v>62.203909203088159</v>
      </c>
      <c r="R243" s="185">
        <f t="shared" ca="1" si="93"/>
        <v>56.375103045504027</v>
      </c>
      <c r="S243" s="185">
        <f t="shared" ca="1" si="93"/>
        <v>57.853191108952672</v>
      </c>
      <c r="T243" s="185">
        <f t="shared" ca="1" si="93"/>
        <v>59.356097442018779</v>
      </c>
      <c r="U243" s="185">
        <f t="shared" ca="1" si="93"/>
        <v>60.962183047158</v>
      </c>
      <c r="V243" s="185">
        <f t="shared" ca="1" si="93"/>
        <v>62.672381274115779</v>
      </c>
      <c r="W243" s="185">
        <f t="shared" ca="1" si="93"/>
        <v>64.37439493265164</v>
      </c>
      <c r="X243" s="185">
        <f t="shared" ca="1" si="93"/>
        <v>66.252926050970899</v>
      </c>
      <c r="Y243" s="185">
        <f t="shared" ca="1" si="93"/>
        <v>68.163985811004835</v>
      </c>
      <c r="Z243" s="185">
        <f t="shared" ca="1" si="93"/>
        <v>70.185016874558912</v>
      </c>
      <c r="AA243" s="185">
        <f t="shared" ca="1" si="94"/>
        <v>72.213912428739164</v>
      </c>
      <c r="AB243" s="185">
        <f t="shared" ca="1" si="94"/>
        <v>73.918255266682252</v>
      </c>
      <c r="AC243" s="185">
        <f t="shared" ca="1" si="94"/>
        <v>76.052090337388393</v>
      </c>
      <c r="AD243" s="185">
        <f t="shared" ca="1" si="94"/>
        <v>78.244406022567759</v>
      </c>
      <c r="AE243" s="185">
        <f t="shared" ca="1" si="94"/>
        <v>80.461059222438791</v>
      </c>
      <c r="AF243" s="185">
        <f t="shared" ca="1" si="94"/>
        <v>82.616846944493446</v>
      </c>
      <c r="AG243" s="185">
        <f t="shared" ca="1" si="94"/>
        <v>84.931899712963755</v>
      </c>
      <c r="AH243" s="185">
        <f t="shared" ca="1" si="94"/>
        <v>87.288297818749669</v>
      </c>
      <c r="AI243" s="185">
        <f t="shared" ca="1" si="94"/>
        <v>89.727721284369508</v>
      </c>
      <c r="AJ243" s="185">
        <f t="shared" ca="1" si="94"/>
        <v>92.130555473946828</v>
      </c>
      <c r="AK243" s="185">
        <f t="shared" ca="1" si="94"/>
        <v>94.616026143541646</v>
      </c>
      <c r="AL243" s="185">
        <f t="shared" ca="1" si="94"/>
        <v>97.249242552542796</v>
      </c>
      <c r="AM243" s="185">
        <f t="shared" ca="1" si="94"/>
        <v>112.18842889963605</v>
      </c>
      <c r="AN243" s="185">
        <f t="shared" ca="1" si="94"/>
        <v>129.07126533977464</v>
      </c>
      <c r="AO243" s="185">
        <f t="shared" ca="1" si="94"/>
        <v>160.56934644483226</v>
      </c>
      <c r="AP243" s="185">
        <f t="shared" ca="1" si="94"/>
        <v>192.39136923206428</v>
      </c>
    </row>
    <row r="244" spans="1:42">
      <c r="A244" s="57" t="str">
        <f>'[4]TS BYDem'!A183</f>
        <v>*</v>
      </c>
      <c r="B244" s="185" t="s">
        <v>288</v>
      </c>
      <c r="C244" s="185" t="s">
        <v>137</v>
      </c>
      <c r="D244" s="185" t="str">
        <f>'[4]TS BYDem'!D183</f>
        <v>IOTS</v>
      </c>
      <c r="E244" s="185" t="s">
        <v>137</v>
      </c>
      <c r="F244" s="185" t="s">
        <v>137</v>
      </c>
      <c r="G244" s="185" t="s">
        <v>137</v>
      </c>
      <c r="H244" s="185" t="s">
        <v>137</v>
      </c>
      <c r="I244" s="185">
        <v>0</v>
      </c>
      <c r="J244" s="185">
        <f>INDEX('[4]TS BYDem'!$J$10:$J$203,MATCH(D244,'[4]TS BYDem'!$D$10:$D$203,0))</f>
        <v>73.690487252999532</v>
      </c>
      <c r="K244" s="185">
        <f t="shared" ca="1" si="93"/>
        <v>75.742566193741837</v>
      </c>
      <c r="L244" s="185">
        <f t="shared" ca="1" si="93"/>
        <v>77.193858547604464</v>
      </c>
      <c r="M244" s="185">
        <f t="shared" ca="1" si="93"/>
        <v>78.267464426453699</v>
      </c>
      <c r="N244" s="185">
        <f t="shared" ca="1" si="93"/>
        <v>79.076032654651428</v>
      </c>
      <c r="O244" s="185">
        <f t="shared" ca="1" si="93"/>
        <v>79.683397566002739</v>
      </c>
      <c r="P244" s="185">
        <f t="shared" ca="1" si="93"/>
        <v>80.601485484552327</v>
      </c>
      <c r="Q244" s="185">
        <f t="shared" ca="1" si="93"/>
        <v>80.515121385874863</v>
      </c>
      <c r="R244" s="185">
        <f t="shared" ca="1" si="93"/>
        <v>72.970466374235784</v>
      </c>
      <c r="S244" s="185">
        <f t="shared" ca="1" si="93"/>
        <v>74.883665100364595</v>
      </c>
      <c r="T244" s="185">
        <f t="shared" ca="1" si="93"/>
        <v>76.828987948858668</v>
      </c>
      <c r="U244" s="185">
        <f t="shared" ca="1" si="93"/>
        <v>78.907863362165827</v>
      </c>
      <c r="V244" s="185">
        <f t="shared" ca="1" si="93"/>
        <v>81.121499443908704</v>
      </c>
      <c r="W244" s="185">
        <f t="shared" ca="1" si="93"/>
        <v>83.324541633267259</v>
      </c>
      <c r="X244" s="185">
        <f t="shared" ca="1" si="93"/>
        <v>85.756063429185346</v>
      </c>
      <c r="Y244" s="185">
        <f t="shared" ca="1" si="93"/>
        <v>88.229689452469984</v>
      </c>
      <c r="Z244" s="185">
        <f t="shared" ca="1" si="93"/>
        <v>90.845659469328695</v>
      </c>
      <c r="AA244" s="185">
        <f t="shared" ca="1" si="94"/>
        <v>93.471809078202071</v>
      </c>
      <c r="AB244" s="185">
        <f t="shared" ca="1" si="94"/>
        <v>95.677866096774807</v>
      </c>
      <c r="AC244" s="185">
        <f t="shared" ca="1" si="94"/>
        <v>98.439846685075395</v>
      </c>
      <c r="AD244" s="185">
        <f t="shared" ca="1" si="94"/>
        <v>101.27752305895207</v>
      </c>
      <c r="AE244" s="185">
        <f t="shared" ca="1" si="94"/>
        <v>104.14670127852841</v>
      </c>
      <c r="AF244" s="185">
        <f t="shared" ca="1" si="94"/>
        <v>106.93709680747682</v>
      </c>
      <c r="AG244" s="185">
        <f t="shared" ca="1" si="94"/>
        <v>109.93364086806842</v>
      </c>
      <c r="AH244" s="185">
        <f t="shared" ca="1" si="94"/>
        <v>112.98370125738201</v>
      </c>
      <c r="AI244" s="185">
        <f t="shared" ca="1" si="94"/>
        <v>116.14122751195673</v>
      </c>
      <c r="AJ244" s="185">
        <f t="shared" ca="1" si="94"/>
        <v>119.25139355975786</v>
      </c>
      <c r="AK244" s="185">
        <f t="shared" ca="1" si="94"/>
        <v>122.46852211690526</v>
      </c>
      <c r="AL244" s="185">
        <f t="shared" ca="1" si="94"/>
        <v>125.87688891446143</v>
      </c>
      <c r="AM244" s="185">
        <f t="shared" ca="1" si="94"/>
        <v>145.2137829706746</v>
      </c>
      <c r="AN244" s="185">
        <f t="shared" ca="1" si="94"/>
        <v>167.06648712914807</v>
      </c>
      <c r="AO244" s="185">
        <f t="shared" ca="1" si="94"/>
        <v>207.83678366012467</v>
      </c>
      <c r="AP244" s="185">
        <f t="shared" ca="1" si="94"/>
        <v>249.02638187481151</v>
      </c>
    </row>
    <row r="245" spans="1:42">
      <c r="A245" s="57" t="str">
        <f>'[4]TS BYDem'!A184</f>
        <v>*</v>
      </c>
      <c r="B245" s="185" t="s">
        <v>288</v>
      </c>
      <c r="C245" s="185" t="s">
        <v>137</v>
      </c>
      <c r="D245" s="185" t="str">
        <f>'[4]TS BYDem'!D184</f>
        <v>IOTS</v>
      </c>
      <c r="E245" s="185" t="s">
        <v>137</v>
      </c>
      <c r="F245" s="185" t="s">
        <v>137</v>
      </c>
      <c r="G245" s="185" t="s">
        <v>137</v>
      </c>
      <c r="H245" s="185" t="s">
        <v>137</v>
      </c>
      <c r="I245" s="185">
        <v>0</v>
      </c>
      <c r="J245" s="185">
        <f>INDEX('[4]TS BYDem'!$J$10:$J$203,MATCH(D245,'[4]TS BYDem'!$D$10:$D$203,0))</f>
        <v>73.690487252999532</v>
      </c>
      <c r="K245" s="185">
        <f t="shared" ca="1" si="93"/>
        <v>75.742566193741837</v>
      </c>
      <c r="L245" s="185">
        <f t="shared" ca="1" si="93"/>
        <v>77.193858547604464</v>
      </c>
      <c r="M245" s="185">
        <f t="shared" ca="1" si="93"/>
        <v>78.267464426453699</v>
      </c>
      <c r="N245" s="185">
        <f t="shared" ca="1" si="93"/>
        <v>79.076032654651428</v>
      </c>
      <c r="O245" s="185">
        <f t="shared" ca="1" si="93"/>
        <v>79.683397566002739</v>
      </c>
      <c r="P245" s="185">
        <f t="shared" ca="1" si="93"/>
        <v>80.601485484552327</v>
      </c>
      <c r="Q245" s="185">
        <f t="shared" ca="1" si="93"/>
        <v>80.515121385874863</v>
      </c>
      <c r="R245" s="185">
        <f t="shared" ca="1" si="93"/>
        <v>72.970466374235784</v>
      </c>
      <c r="S245" s="185">
        <f t="shared" ca="1" si="93"/>
        <v>74.883665100364595</v>
      </c>
      <c r="T245" s="185">
        <f t="shared" ca="1" si="93"/>
        <v>76.828987948858668</v>
      </c>
      <c r="U245" s="185">
        <f t="shared" ca="1" si="93"/>
        <v>78.907863362165827</v>
      </c>
      <c r="V245" s="185">
        <f t="shared" ca="1" si="93"/>
        <v>81.121499443908704</v>
      </c>
      <c r="W245" s="185">
        <f t="shared" ca="1" si="93"/>
        <v>83.324541633267259</v>
      </c>
      <c r="X245" s="185">
        <f t="shared" ca="1" si="93"/>
        <v>85.756063429185346</v>
      </c>
      <c r="Y245" s="185">
        <f t="shared" ca="1" si="93"/>
        <v>88.229689452469984</v>
      </c>
      <c r="Z245" s="185">
        <f t="shared" ca="1" si="93"/>
        <v>90.845659469328695</v>
      </c>
      <c r="AA245" s="185">
        <f t="shared" ca="1" si="94"/>
        <v>93.471809078202071</v>
      </c>
      <c r="AB245" s="185">
        <f t="shared" ca="1" si="94"/>
        <v>95.677866096774807</v>
      </c>
      <c r="AC245" s="185">
        <f t="shared" ca="1" si="94"/>
        <v>98.439846685075395</v>
      </c>
      <c r="AD245" s="185">
        <f t="shared" ca="1" si="94"/>
        <v>101.27752305895207</v>
      </c>
      <c r="AE245" s="185">
        <f t="shared" ca="1" si="94"/>
        <v>104.14670127852841</v>
      </c>
      <c r="AF245" s="185">
        <f t="shared" ca="1" si="94"/>
        <v>106.93709680747682</v>
      </c>
      <c r="AG245" s="185">
        <f t="shared" ca="1" si="94"/>
        <v>109.93364086806842</v>
      </c>
      <c r="AH245" s="185">
        <f t="shared" ca="1" si="94"/>
        <v>112.98370125738201</v>
      </c>
      <c r="AI245" s="185">
        <f t="shared" ca="1" si="94"/>
        <v>116.14122751195673</v>
      </c>
      <c r="AJ245" s="185">
        <f t="shared" ca="1" si="94"/>
        <v>119.25139355975786</v>
      </c>
      <c r="AK245" s="185">
        <f t="shared" ca="1" si="94"/>
        <v>122.46852211690526</v>
      </c>
      <c r="AL245" s="185">
        <f t="shared" ca="1" si="94"/>
        <v>125.87688891446143</v>
      </c>
      <c r="AM245" s="185">
        <f t="shared" ca="1" si="94"/>
        <v>145.2137829706746</v>
      </c>
      <c r="AN245" s="185">
        <f t="shared" ca="1" si="94"/>
        <v>167.06648712914807</v>
      </c>
      <c r="AO245" s="185">
        <f t="shared" ca="1" si="94"/>
        <v>207.83678366012467</v>
      </c>
      <c r="AP245" s="185">
        <f t="shared" ca="1" si="94"/>
        <v>249.02638187481151</v>
      </c>
    </row>
    <row r="246" spans="1:42">
      <c r="A246" s="57" t="str">
        <f>'[4]TS BYDem'!A185</f>
        <v>*</v>
      </c>
      <c r="B246" s="185" t="s">
        <v>288</v>
      </c>
      <c r="C246" s="185" t="s">
        <v>137</v>
      </c>
      <c r="D246" s="185" t="str">
        <f>'[4]TS BYDem'!D185</f>
        <v>IOTS</v>
      </c>
      <c r="E246" s="185" t="s">
        <v>137</v>
      </c>
      <c r="F246" s="185" t="s">
        <v>137</v>
      </c>
      <c r="G246" s="185" t="s">
        <v>137</v>
      </c>
      <c r="H246" s="185" t="s">
        <v>137</v>
      </c>
      <c r="I246" s="185">
        <v>0</v>
      </c>
      <c r="J246" s="185">
        <f>INDEX('[4]TS BYDem'!$J$10:$J$203,MATCH(D246,'[4]TS BYDem'!$D$10:$D$203,0))</f>
        <v>73.690487252999532</v>
      </c>
      <c r="K246" s="185">
        <f t="shared" ca="1" si="93"/>
        <v>75.742566193741837</v>
      </c>
      <c r="L246" s="185">
        <f t="shared" ca="1" si="93"/>
        <v>77.193858547604464</v>
      </c>
      <c r="M246" s="185">
        <f t="shared" ca="1" si="93"/>
        <v>78.267464426453699</v>
      </c>
      <c r="N246" s="185">
        <f t="shared" ca="1" si="93"/>
        <v>79.076032654651428</v>
      </c>
      <c r="O246" s="185">
        <f t="shared" ca="1" si="93"/>
        <v>79.683397566002739</v>
      </c>
      <c r="P246" s="185">
        <f t="shared" ca="1" si="93"/>
        <v>80.601485484552327</v>
      </c>
      <c r="Q246" s="185">
        <f t="shared" ca="1" si="93"/>
        <v>80.515121385874863</v>
      </c>
      <c r="R246" s="185">
        <f t="shared" ca="1" si="93"/>
        <v>72.970466374235784</v>
      </c>
      <c r="S246" s="185">
        <f t="shared" ca="1" si="93"/>
        <v>74.883665100364595</v>
      </c>
      <c r="T246" s="185">
        <f t="shared" ca="1" si="93"/>
        <v>76.828987948858668</v>
      </c>
      <c r="U246" s="185">
        <f t="shared" ca="1" si="93"/>
        <v>78.907863362165827</v>
      </c>
      <c r="V246" s="185">
        <f t="shared" ca="1" si="93"/>
        <v>81.121499443908704</v>
      </c>
      <c r="W246" s="185">
        <f t="shared" ca="1" si="93"/>
        <v>83.324541633267259</v>
      </c>
      <c r="X246" s="185">
        <f t="shared" ca="1" si="93"/>
        <v>85.756063429185346</v>
      </c>
      <c r="Y246" s="185">
        <f t="shared" ca="1" si="93"/>
        <v>88.229689452469984</v>
      </c>
      <c r="Z246" s="185">
        <f t="shared" ca="1" si="93"/>
        <v>90.845659469328695</v>
      </c>
      <c r="AA246" s="185">
        <f t="shared" ca="1" si="94"/>
        <v>93.471809078202071</v>
      </c>
      <c r="AB246" s="185">
        <f t="shared" ca="1" si="94"/>
        <v>95.677866096774807</v>
      </c>
      <c r="AC246" s="185">
        <f t="shared" ca="1" si="94"/>
        <v>98.439846685075395</v>
      </c>
      <c r="AD246" s="185">
        <f t="shared" ca="1" si="94"/>
        <v>101.27752305895207</v>
      </c>
      <c r="AE246" s="185">
        <f t="shared" ca="1" si="94"/>
        <v>104.14670127852841</v>
      </c>
      <c r="AF246" s="185">
        <f t="shared" ca="1" si="94"/>
        <v>106.93709680747682</v>
      </c>
      <c r="AG246" s="185">
        <f t="shared" ca="1" si="94"/>
        <v>109.93364086806842</v>
      </c>
      <c r="AH246" s="185">
        <f t="shared" ca="1" si="94"/>
        <v>112.98370125738201</v>
      </c>
      <c r="AI246" s="185">
        <f t="shared" ca="1" si="94"/>
        <v>116.14122751195673</v>
      </c>
      <c r="AJ246" s="185">
        <f t="shared" ca="1" si="94"/>
        <v>119.25139355975786</v>
      </c>
      <c r="AK246" s="185">
        <f t="shared" ca="1" si="94"/>
        <v>122.46852211690526</v>
      </c>
      <c r="AL246" s="185">
        <f t="shared" ca="1" si="94"/>
        <v>125.87688891446143</v>
      </c>
      <c r="AM246" s="185">
        <f t="shared" ca="1" si="94"/>
        <v>145.2137829706746</v>
      </c>
      <c r="AN246" s="185">
        <f t="shared" ca="1" si="94"/>
        <v>167.06648712914807</v>
      </c>
      <c r="AO246" s="185">
        <f t="shared" ca="1" si="94"/>
        <v>207.83678366012467</v>
      </c>
      <c r="AP246" s="185">
        <f t="shared" ref="L246:AP253" ca="1" si="99">AP$230/AO$230*AO246</f>
        <v>249.02638187481151</v>
      </c>
    </row>
    <row r="247" spans="1:42">
      <c r="A247" s="57" t="str">
        <f>'[4]TS BYDem'!A186</f>
        <v>*</v>
      </c>
      <c r="B247" s="185" t="s">
        <v>288</v>
      </c>
      <c r="C247" s="185" t="s">
        <v>137</v>
      </c>
      <c r="D247" s="185" t="str">
        <f>'[4]TS BYDem'!D186</f>
        <v>IOTS</v>
      </c>
      <c r="E247" s="185" t="s">
        <v>137</v>
      </c>
      <c r="F247" s="185" t="s">
        <v>137</v>
      </c>
      <c r="G247" s="185" t="s">
        <v>137</v>
      </c>
      <c r="H247" s="185" t="s">
        <v>137</v>
      </c>
      <c r="I247" s="185">
        <v>0</v>
      </c>
      <c r="J247" s="185">
        <f>INDEX('[4]TS BYDem'!$J$10:$J$203,MATCH(D247,'[4]TS BYDem'!$D$10:$D$203,0))</f>
        <v>73.690487252999532</v>
      </c>
      <c r="K247" s="185">
        <f t="shared" ca="1" si="93"/>
        <v>75.742566193741837</v>
      </c>
      <c r="L247" s="185">
        <f t="shared" ca="1" si="99"/>
        <v>77.193858547604464</v>
      </c>
      <c r="M247" s="185">
        <f t="shared" ca="1" si="99"/>
        <v>78.267464426453699</v>
      </c>
      <c r="N247" s="185">
        <f t="shared" ca="1" si="99"/>
        <v>79.076032654651428</v>
      </c>
      <c r="O247" s="185">
        <f t="shared" ca="1" si="99"/>
        <v>79.683397566002739</v>
      </c>
      <c r="P247" s="185">
        <f t="shared" ca="1" si="99"/>
        <v>80.601485484552327</v>
      </c>
      <c r="Q247" s="185">
        <f t="shared" ca="1" si="99"/>
        <v>80.515121385874863</v>
      </c>
      <c r="R247" s="185">
        <f t="shared" ca="1" si="99"/>
        <v>72.970466374235784</v>
      </c>
      <c r="S247" s="185">
        <f t="shared" ca="1" si="99"/>
        <v>74.883665100364595</v>
      </c>
      <c r="T247" s="185">
        <f t="shared" ca="1" si="99"/>
        <v>76.828987948858668</v>
      </c>
      <c r="U247" s="185">
        <f t="shared" ca="1" si="99"/>
        <v>78.907863362165827</v>
      </c>
      <c r="V247" s="185">
        <f t="shared" ca="1" si="99"/>
        <v>81.121499443908704</v>
      </c>
      <c r="W247" s="185">
        <f t="shared" ca="1" si="99"/>
        <v>83.324541633267259</v>
      </c>
      <c r="X247" s="185">
        <f t="shared" ca="1" si="99"/>
        <v>85.756063429185346</v>
      </c>
      <c r="Y247" s="185">
        <f t="shared" ca="1" si="99"/>
        <v>88.229689452469984</v>
      </c>
      <c r="Z247" s="185">
        <f t="shared" ca="1" si="99"/>
        <v>90.845659469328695</v>
      </c>
      <c r="AA247" s="185">
        <f t="shared" ca="1" si="99"/>
        <v>93.471809078202071</v>
      </c>
      <c r="AB247" s="185">
        <f t="shared" ca="1" si="99"/>
        <v>95.677866096774807</v>
      </c>
      <c r="AC247" s="185">
        <f t="shared" ca="1" si="99"/>
        <v>98.439846685075395</v>
      </c>
      <c r="AD247" s="185">
        <f t="shared" ca="1" si="99"/>
        <v>101.27752305895207</v>
      </c>
      <c r="AE247" s="185">
        <f t="shared" ca="1" si="99"/>
        <v>104.14670127852841</v>
      </c>
      <c r="AF247" s="185">
        <f t="shared" ca="1" si="99"/>
        <v>106.93709680747682</v>
      </c>
      <c r="AG247" s="185">
        <f t="shared" ca="1" si="99"/>
        <v>109.93364086806842</v>
      </c>
      <c r="AH247" s="185">
        <f t="shared" ca="1" si="99"/>
        <v>112.98370125738201</v>
      </c>
      <c r="AI247" s="185">
        <f t="shared" ca="1" si="99"/>
        <v>116.14122751195673</v>
      </c>
      <c r="AJ247" s="185">
        <f t="shared" ca="1" si="99"/>
        <v>119.25139355975786</v>
      </c>
      <c r="AK247" s="185">
        <f t="shared" ca="1" si="99"/>
        <v>122.46852211690526</v>
      </c>
      <c r="AL247" s="185">
        <f t="shared" ca="1" si="99"/>
        <v>125.87688891446143</v>
      </c>
      <c r="AM247" s="185">
        <f t="shared" ca="1" si="99"/>
        <v>145.2137829706746</v>
      </c>
      <c r="AN247" s="185">
        <f t="shared" ca="1" si="99"/>
        <v>167.06648712914807</v>
      </c>
      <c r="AO247" s="185">
        <f t="shared" ca="1" si="99"/>
        <v>207.83678366012467</v>
      </c>
      <c r="AP247" s="185">
        <f t="shared" ca="1" si="99"/>
        <v>249.02638187481151</v>
      </c>
    </row>
    <row r="248" spans="1:42">
      <c r="A248" s="57" t="str">
        <f>'[4]TS BYDem'!A187</f>
        <v>*</v>
      </c>
      <c r="B248" s="185" t="s">
        <v>288</v>
      </c>
      <c r="C248" s="185" t="s">
        <v>137</v>
      </c>
      <c r="D248" s="185" t="str">
        <f>'[4]TS BYDem'!D187</f>
        <v>IOTS</v>
      </c>
      <c r="E248" s="185" t="s">
        <v>137</v>
      </c>
      <c r="F248" s="185" t="s">
        <v>137</v>
      </c>
      <c r="G248" s="185" t="s">
        <v>137</v>
      </c>
      <c r="H248" s="185" t="s">
        <v>137</v>
      </c>
      <c r="I248" s="185">
        <v>0</v>
      </c>
      <c r="J248" s="185">
        <f>INDEX('[4]TS BYDem'!$J$10:$J$203,MATCH(D248,'[4]TS BYDem'!$D$10:$D$203,0))</f>
        <v>73.690487252999532</v>
      </c>
      <c r="K248" s="185">
        <f t="shared" ca="1" si="93"/>
        <v>75.742566193741837</v>
      </c>
      <c r="L248" s="185">
        <f t="shared" ca="1" si="99"/>
        <v>77.193858547604464</v>
      </c>
      <c r="M248" s="185">
        <f t="shared" ca="1" si="99"/>
        <v>78.267464426453699</v>
      </c>
      <c r="N248" s="185">
        <f t="shared" ca="1" si="99"/>
        <v>79.076032654651428</v>
      </c>
      <c r="O248" s="185">
        <f t="shared" ca="1" si="99"/>
        <v>79.683397566002739</v>
      </c>
      <c r="P248" s="185">
        <f t="shared" ca="1" si="99"/>
        <v>80.601485484552327</v>
      </c>
      <c r="Q248" s="185">
        <f t="shared" ca="1" si="99"/>
        <v>80.515121385874863</v>
      </c>
      <c r="R248" s="185">
        <f t="shared" ca="1" si="99"/>
        <v>72.970466374235784</v>
      </c>
      <c r="S248" s="185">
        <f t="shared" ca="1" si="99"/>
        <v>74.883665100364595</v>
      </c>
      <c r="T248" s="185">
        <f t="shared" ca="1" si="99"/>
        <v>76.828987948858668</v>
      </c>
      <c r="U248" s="185">
        <f t="shared" ca="1" si="99"/>
        <v>78.907863362165827</v>
      </c>
      <c r="V248" s="185">
        <f t="shared" ca="1" si="99"/>
        <v>81.121499443908704</v>
      </c>
      <c r="W248" s="185">
        <f t="shared" ca="1" si="99"/>
        <v>83.324541633267259</v>
      </c>
      <c r="X248" s="185">
        <f t="shared" ca="1" si="99"/>
        <v>85.756063429185346</v>
      </c>
      <c r="Y248" s="185">
        <f t="shared" ca="1" si="99"/>
        <v>88.229689452469984</v>
      </c>
      <c r="Z248" s="185">
        <f t="shared" ca="1" si="99"/>
        <v>90.845659469328695</v>
      </c>
      <c r="AA248" s="185">
        <f t="shared" ca="1" si="99"/>
        <v>93.471809078202071</v>
      </c>
      <c r="AB248" s="185">
        <f t="shared" ca="1" si="99"/>
        <v>95.677866096774807</v>
      </c>
      <c r="AC248" s="185">
        <f t="shared" ca="1" si="99"/>
        <v>98.439846685075395</v>
      </c>
      <c r="AD248" s="185">
        <f t="shared" ca="1" si="99"/>
        <v>101.27752305895207</v>
      </c>
      <c r="AE248" s="185">
        <f t="shared" ca="1" si="99"/>
        <v>104.14670127852841</v>
      </c>
      <c r="AF248" s="185">
        <f t="shared" ca="1" si="99"/>
        <v>106.93709680747682</v>
      </c>
      <c r="AG248" s="185">
        <f t="shared" ca="1" si="99"/>
        <v>109.93364086806842</v>
      </c>
      <c r="AH248" s="185">
        <f t="shared" ca="1" si="99"/>
        <v>112.98370125738201</v>
      </c>
      <c r="AI248" s="185">
        <f t="shared" ca="1" si="99"/>
        <v>116.14122751195673</v>
      </c>
      <c r="AJ248" s="185">
        <f t="shared" ca="1" si="99"/>
        <v>119.25139355975786</v>
      </c>
      <c r="AK248" s="185">
        <f t="shared" ca="1" si="99"/>
        <v>122.46852211690526</v>
      </c>
      <c r="AL248" s="185">
        <f t="shared" ca="1" si="99"/>
        <v>125.87688891446143</v>
      </c>
      <c r="AM248" s="185">
        <f t="shared" ca="1" si="99"/>
        <v>145.2137829706746</v>
      </c>
      <c r="AN248" s="185">
        <f t="shared" ca="1" si="99"/>
        <v>167.06648712914807</v>
      </c>
      <c r="AO248" s="185">
        <f t="shared" ca="1" si="99"/>
        <v>207.83678366012467</v>
      </c>
      <c r="AP248" s="185">
        <f t="shared" ca="1" si="99"/>
        <v>249.02638187481151</v>
      </c>
    </row>
    <row r="249" spans="1:42">
      <c r="A249" s="57" t="str">
        <f>'[4]TS BYDem'!A184</f>
        <v>*</v>
      </c>
      <c r="B249" s="185" t="s">
        <v>288</v>
      </c>
      <c r="C249" s="185" t="s">
        <v>137</v>
      </c>
      <c r="D249" s="185" t="str">
        <f>'[4]TS BYDem'!D184</f>
        <v>IOTS</v>
      </c>
      <c r="E249" s="185" t="s">
        <v>137</v>
      </c>
      <c r="F249" s="185" t="s">
        <v>137</v>
      </c>
      <c r="G249" s="185" t="s">
        <v>137</v>
      </c>
      <c r="H249" s="185" t="s">
        <v>137</v>
      </c>
      <c r="I249" s="185">
        <v>0</v>
      </c>
      <c r="J249" s="185">
        <f>INDEX('[4]TS BYDem'!$J$10:$J$203,MATCH(D249,'[4]TS BYDem'!$D$10:$D$203,0))</f>
        <v>73.690487252999532</v>
      </c>
      <c r="K249" s="185">
        <f t="shared" ca="1" si="93"/>
        <v>75.742566193741837</v>
      </c>
      <c r="L249" s="185">
        <f t="shared" ca="1" si="99"/>
        <v>77.193858547604464</v>
      </c>
      <c r="M249" s="185">
        <f t="shared" ca="1" si="99"/>
        <v>78.267464426453699</v>
      </c>
      <c r="N249" s="185">
        <f t="shared" ca="1" si="99"/>
        <v>79.076032654651428</v>
      </c>
      <c r="O249" s="185">
        <f t="shared" ca="1" si="99"/>
        <v>79.683397566002739</v>
      </c>
      <c r="P249" s="185">
        <f t="shared" ca="1" si="99"/>
        <v>80.601485484552327</v>
      </c>
      <c r="Q249" s="185">
        <f t="shared" ca="1" si="99"/>
        <v>80.515121385874863</v>
      </c>
      <c r="R249" s="185">
        <f t="shared" ca="1" si="99"/>
        <v>72.970466374235784</v>
      </c>
      <c r="S249" s="185">
        <f t="shared" ca="1" si="99"/>
        <v>74.883665100364595</v>
      </c>
      <c r="T249" s="185">
        <f t="shared" ca="1" si="99"/>
        <v>76.828987948858668</v>
      </c>
      <c r="U249" s="185">
        <f t="shared" ca="1" si="99"/>
        <v>78.907863362165827</v>
      </c>
      <c r="V249" s="185">
        <f t="shared" ca="1" si="99"/>
        <v>81.121499443908704</v>
      </c>
      <c r="W249" s="185">
        <f t="shared" ca="1" si="99"/>
        <v>83.324541633267259</v>
      </c>
      <c r="X249" s="185">
        <f t="shared" ca="1" si="99"/>
        <v>85.756063429185346</v>
      </c>
      <c r="Y249" s="185">
        <f t="shared" ca="1" si="99"/>
        <v>88.229689452469984</v>
      </c>
      <c r="Z249" s="185">
        <f t="shared" ca="1" si="99"/>
        <v>90.845659469328695</v>
      </c>
      <c r="AA249" s="185">
        <f t="shared" ca="1" si="99"/>
        <v>93.471809078202071</v>
      </c>
      <c r="AB249" s="185">
        <f t="shared" ca="1" si="99"/>
        <v>95.677866096774807</v>
      </c>
      <c r="AC249" s="185">
        <f t="shared" ca="1" si="99"/>
        <v>98.439846685075395</v>
      </c>
      <c r="AD249" s="185">
        <f t="shared" ca="1" si="99"/>
        <v>101.27752305895207</v>
      </c>
      <c r="AE249" s="185">
        <f t="shared" ca="1" si="99"/>
        <v>104.14670127852841</v>
      </c>
      <c r="AF249" s="185">
        <f t="shared" ca="1" si="99"/>
        <v>106.93709680747682</v>
      </c>
      <c r="AG249" s="185">
        <f t="shared" ca="1" si="99"/>
        <v>109.93364086806842</v>
      </c>
      <c r="AH249" s="185">
        <f t="shared" ca="1" si="99"/>
        <v>112.98370125738201</v>
      </c>
      <c r="AI249" s="185">
        <f t="shared" ca="1" si="99"/>
        <v>116.14122751195673</v>
      </c>
      <c r="AJ249" s="185">
        <f t="shared" ca="1" si="99"/>
        <v>119.25139355975786</v>
      </c>
      <c r="AK249" s="185">
        <f t="shared" ca="1" si="99"/>
        <v>122.46852211690526</v>
      </c>
      <c r="AL249" s="185">
        <f t="shared" ca="1" si="99"/>
        <v>125.87688891446143</v>
      </c>
      <c r="AM249" s="185">
        <f t="shared" ca="1" si="99"/>
        <v>145.2137829706746</v>
      </c>
      <c r="AN249" s="185">
        <f t="shared" ca="1" si="99"/>
        <v>167.06648712914807</v>
      </c>
      <c r="AO249" s="185">
        <f t="shared" ca="1" si="99"/>
        <v>207.83678366012467</v>
      </c>
      <c r="AP249" s="185">
        <f t="shared" ca="1" si="99"/>
        <v>249.02638187481151</v>
      </c>
    </row>
    <row r="250" spans="1:42">
      <c r="A250" s="57" t="str">
        <f>'[4]TS BYDem'!A185</f>
        <v>*</v>
      </c>
      <c r="B250" s="185" t="s">
        <v>288</v>
      </c>
      <c r="C250" s="185" t="s">
        <v>137</v>
      </c>
      <c r="D250" s="185" t="str">
        <f>'[4]TS BYDem'!D185</f>
        <v>IOTS</v>
      </c>
      <c r="E250" s="185" t="s">
        <v>137</v>
      </c>
      <c r="F250" s="185" t="s">
        <v>137</v>
      </c>
      <c r="G250" s="185" t="s">
        <v>137</v>
      </c>
      <c r="H250" s="185" t="s">
        <v>137</v>
      </c>
      <c r="I250" s="185">
        <v>0</v>
      </c>
      <c r="J250" s="185">
        <f>INDEX('[4]TS BYDem'!$J$10:$J$203,MATCH(D250,'[4]TS BYDem'!$D$10:$D$203,0))</f>
        <v>73.690487252999532</v>
      </c>
      <c r="K250" s="185">
        <f t="shared" ca="1" si="93"/>
        <v>75.742566193741837</v>
      </c>
      <c r="L250" s="185">
        <f t="shared" ca="1" si="99"/>
        <v>77.193858547604464</v>
      </c>
      <c r="M250" s="185">
        <f t="shared" ca="1" si="99"/>
        <v>78.267464426453699</v>
      </c>
      <c r="N250" s="185">
        <f t="shared" ca="1" si="99"/>
        <v>79.076032654651428</v>
      </c>
      <c r="O250" s="185">
        <f t="shared" ca="1" si="99"/>
        <v>79.683397566002739</v>
      </c>
      <c r="P250" s="185">
        <f t="shared" ca="1" si="99"/>
        <v>80.601485484552327</v>
      </c>
      <c r="Q250" s="185">
        <f t="shared" ca="1" si="99"/>
        <v>80.515121385874863</v>
      </c>
      <c r="R250" s="185">
        <f t="shared" ca="1" si="99"/>
        <v>72.970466374235784</v>
      </c>
      <c r="S250" s="185">
        <f t="shared" ca="1" si="99"/>
        <v>74.883665100364595</v>
      </c>
      <c r="T250" s="185">
        <f t="shared" ca="1" si="99"/>
        <v>76.828987948858668</v>
      </c>
      <c r="U250" s="185">
        <f t="shared" ca="1" si="99"/>
        <v>78.907863362165827</v>
      </c>
      <c r="V250" s="185">
        <f t="shared" ca="1" si="99"/>
        <v>81.121499443908704</v>
      </c>
      <c r="W250" s="185">
        <f t="shared" ca="1" si="99"/>
        <v>83.324541633267259</v>
      </c>
      <c r="X250" s="185">
        <f t="shared" ca="1" si="99"/>
        <v>85.756063429185346</v>
      </c>
      <c r="Y250" s="185">
        <f t="shared" ca="1" si="99"/>
        <v>88.229689452469984</v>
      </c>
      <c r="Z250" s="185">
        <f t="shared" ca="1" si="99"/>
        <v>90.845659469328695</v>
      </c>
      <c r="AA250" s="185">
        <f t="shared" ca="1" si="99"/>
        <v>93.471809078202071</v>
      </c>
      <c r="AB250" s="185">
        <f t="shared" ca="1" si="99"/>
        <v>95.677866096774807</v>
      </c>
      <c r="AC250" s="185">
        <f t="shared" ca="1" si="99"/>
        <v>98.439846685075395</v>
      </c>
      <c r="AD250" s="185">
        <f t="shared" ca="1" si="99"/>
        <v>101.27752305895207</v>
      </c>
      <c r="AE250" s="185">
        <f t="shared" ca="1" si="99"/>
        <v>104.14670127852841</v>
      </c>
      <c r="AF250" s="185">
        <f t="shared" ca="1" si="99"/>
        <v>106.93709680747682</v>
      </c>
      <c r="AG250" s="185">
        <f t="shared" ca="1" si="99"/>
        <v>109.93364086806842</v>
      </c>
      <c r="AH250" s="185">
        <f t="shared" ca="1" si="99"/>
        <v>112.98370125738201</v>
      </c>
      <c r="AI250" s="185">
        <f t="shared" ca="1" si="99"/>
        <v>116.14122751195673</v>
      </c>
      <c r="AJ250" s="185">
        <f t="shared" ca="1" si="99"/>
        <v>119.25139355975786</v>
      </c>
      <c r="AK250" s="185">
        <f t="shared" ca="1" si="99"/>
        <v>122.46852211690526</v>
      </c>
      <c r="AL250" s="185">
        <f t="shared" ca="1" si="99"/>
        <v>125.87688891446143</v>
      </c>
      <c r="AM250" s="185">
        <f t="shared" ca="1" si="99"/>
        <v>145.2137829706746</v>
      </c>
      <c r="AN250" s="185">
        <f t="shared" ca="1" si="99"/>
        <v>167.06648712914807</v>
      </c>
      <c r="AO250" s="185">
        <f t="shared" ca="1" si="99"/>
        <v>207.83678366012467</v>
      </c>
      <c r="AP250" s="185">
        <f t="shared" ca="1" si="99"/>
        <v>249.02638187481151</v>
      </c>
    </row>
    <row r="251" spans="1:42">
      <c r="A251" s="57" t="str">
        <f>'[4]TS BYDem'!A186</f>
        <v>*</v>
      </c>
      <c r="B251" s="185" t="s">
        <v>288</v>
      </c>
      <c r="C251" s="185" t="s">
        <v>137</v>
      </c>
      <c r="D251" s="185" t="str">
        <f>'[4]TS BYDem'!D186</f>
        <v>IOTS</v>
      </c>
      <c r="E251" s="185" t="s">
        <v>137</v>
      </c>
      <c r="F251" s="185" t="s">
        <v>137</v>
      </c>
      <c r="G251" s="185" t="s">
        <v>137</v>
      </c>
      <c r="H251" s="185" t="s">
        <v>137</v>
      </c>
      <c r="I251" s="185">
        <v>0</v>
      </c>
      <c r="J251" s="185">
        <f>INDEX('[4]TS BYDem'!$J$10:$J$203,MATCH(D251,'[4]TS BYDem'!$D$10:$D$203,0))</f>
        <v>73.690487252999532</v>
      </c>
      <c r="K251" s="185">
        <f t="shared" ca="1" si="93"/>
        <v>75.742566193741837</v>
      </c>
      <c r="L251" s="185">
        <f t="shared" ca="1" si="99"/>
        <v>77.193858547604464</v>
      </c>
      <c r="M251" s="185">
        <f t="shared" ca="1" si="99"/>
        <v>78.267464426453699</v>
      </c>
      <c r="N251" s="185">
        <f t="shared" ca="1" si="99"/>
        <v>79.076032654651428</v>
      </c>
      <c r="O251" s="185">
        <f t="shared" ca="1" si="99"/>
        <v>79.683397566002739</v>
      </c>
      <c r="P251" s="185">
        <f t="shared" ca="1" si="99"/>
        <v>80.601485484552327</v>
      </c>
      <c r="Q251" s="185">
        <f t="shared" ca="1" si="99"/>
        <v>80.515121385874863</v>
      </c>
      <c r="R251" s="185">
        <f t="shared" ca="1" si="99"/>
        <v>72.970466374235784</v>
      </c>
      <c r="S251" s="185">
        <f t="shared" ca="1" si="99"/>
        <v>74.883665100364595</v>
      </c>
      <c r="T251" s="185">
        <f t="shared" ca="1" si="99"/>
        <v>76.828987948858668</v>
      </c>
      <c r="U251" s="185">
        <f t="shared" ca="1" si="99"/>
        <v>78.907863362165827</v>
      </c>
      <c r="V251" s="185">
        <f t="shared" ca="1" si="99"/>
        <v>81.121499443908704</v>
      </c>
      <c r="W251" s="185">
        <f t="shared" ca="1" si="99"/>
        <v>83.324541633267259</v>
      </c>
      <c r="X251" s="185">
        <f t="shared" ca="1" si="99"/>
        <v>85.756063429185346</v>
      </c>
      <c r="Y251" s="185">
        <f t="shared" ca="1" si="99"/>
        <v>88.229689452469984</v>
      </c>
      <c r="Z251" s="185">
        <f t="shared" ca="1" si="99"/>
        <v>90.845659469328695</v>
      </c>
      <c r="AA251" s="185">
        <f t="shared" ca="1" si="99"/>
        <v>93.471809078202071</v>
      </c>
      <c r="AB251" s="185">
        <f t="shared" ca="1" si="99"/>
        <v>95.677866096774807</v>
      </c>
      <c r="AC251" s="185">
        <f t="shared" ca="1" si="99"/>
        <v>98.439846685075395</v>
      </c>
      <c r="AD251" s="185">
        <f t="shared" ca="1" si="99"/>
        <v>101.27752305895207</v>
      </c>
      <c r="AE251" s="185">
        <f t="shared" ca="1" si="99"/>
        <v>104.14670127852841</v>
      </c>
      <c r="AF251" s="185">
        <f t="shared" ca="1" si="99"/>
        <v>106.93709680747682</v>
      </c>
      <c r="AG251" s="185">
        <f t="shared" ca="1" si="99"/>
        <v>109.93364086806842</v>
      </c>
      <c r="AH251" s="185">
        <f t="shared" ca="1" si="99"/>
        <v>112.98370125738201</v>
      </c>
      <c r="AI251" s="185">
        <f t="shared" ca="1" si="99"/>
        <v>116.14122751195673</v>
      </c>
      <c r="AJ251" s="185">
        <f t="shared" ca="1" si="99"/>
        <v>119.25139355975786</v>
      </c>
      <c r="AK251" s="185">
        <f t="shared" ca="1" si="99"/>
        <v>122.46852211690526</v>
      </c>
      <c r="AL251" s="185">
        <f t="shared" ca="1" si="99"/>
        <v>125.87688891446143</v>
      </c>
      <c r="AM251" s="185">
        <f t="shared" ca="1" si="99"/>
        <v>145.2137829706746</v>
      </c>
      <c r="AN251" s="185">
        <f t="shared" ca="1" si="99"/>
        <v>167.06648712914807</v>
      </c>
      <c r="AO251" s="185">
        <f t="shared" ca="1" si="99"/>
        <v>207.83678366012467</v>
      </c>
      <c r="AP251" s="185">
        <f t="shared" ca="1" si="99"/>
        <v>249.02638187481151</v>
      </c>
    </row>
    <row r="252" spans="1:42">
      <c r="A252" s="57" t="str">
        <f>'[4]TS BYDem'!A187</f>
        <v>*</v>
      </c>
      <c r="B252" s="185" t="s">
        <v>288</v>
      </c>
      <c r="C252" s="185" t="s">
        <v>137</v>
      </c>
      <c r="D252" s="185" t="str">
        <f>'[4]TS BYDem'!D187</f>
        <v>IOTS</v>
      </c>
      <c r="E252" s="185" t="s">
        <v>137</v>
      </c>
      <c r="F252" s="185" t="s">
        <v>137</v>
      </c>
      <c r="G252" s="185" t="s">
        <v>137</v>
      </c>
      <c r="H252" s="185" t="s">
        <v>137</v>
      </c>
      <c r="I252" s="185">
        <v>0</v>
      </c>
      <c r="J252" s="185">
        <f>INDEX('[4]TS BYDem'!$J$10:$J$203,MATCH(D252,'[4]TS BYDem'!$D$10:$D$203,0))</f>
        <v>73.690487252999532</v>
      </c>
      <c r="K252" s="185">
        <f t="shared" ca="1" si="93"/>
        <v>75.742566193741837</v>
      </c>
      <c r="L252" s="185">
        <f t="shared" ca="1" si="99"/>
        <v>77.193858547604464</v>
      </c>
      <c r="M252" s="185">
        <f t="shared" ca="1" si="99"/>
        <v>78.267464426453699</v>
      </c>
      <c r="N252" s="185">
        <f t="shared" ca="1" si="99"/>
        <v>79.076032654651428</v>
      </c>
      <c r="O252" s="185">
        <f t="shared" ca="1" si="99"/>
        <v>79.683397566002739</v>
      </c>
      <c r="P252" s="185">
        <f t="shared" ca="1" si="99"/>
        <v>80.601485484552327</v>
      </c>
      <c r="Q252" s="185">
        <f t="shared" ca="1" si="99"/>
        <v>80.515121385874863</v>
      </c>
      <c r="R252" s="185">
        <f t="shared" ca="1" si="99"/>
        <v>72.970466374235784</v>
      </c>
      <c r="S252" s="185">
        <f t="shared" ca="1" si="99"/>
        <v>74.883665100364595</v>
      </c>
      <c r="T252" s="185">
        <f t="shared" ca="1" si="99"/>
        <v>76.828987948858668</v>
      </c>
      <c r="U252" s="185">
        <f t="shared" ca="1" si="99"/>
        <v>78.907863362165827</v>
      </c>
      <c r="V252" s="185">
        <f t="shared" ca="1" si="99"/>
        <v>81.121499443908704</v>
      </c>
      <c r="W252" s="185">
        <f t="shared" ca="1" si="99"/>
        <v>83.324541633267259</v>
      </c>
      <c r="X252" s="185">
        <f t="shared" ca="1" si="99"/>
        <v>85.756063429185346</v>
      </c>
      <c r="Y252" s="185">
        <f t="shared" ca="1" si="99"/>
        <v>88.229689452469984</v>
      </c>
      <c r="Z252" s="185">
        <f t="shared" ca="1" si="99"/>
        <v>90.845659469328695</v>
      </c>
      <c r="AA252" s="185">
        <f t="shared" ca="1" si="99"/>
        <v>93.471809078202071</v>
      </c>
      <c r="AB252" s="185">
        <f t="shared" ca="1" si="99"/>
        <v>95.677866096774807</v>
      </c>
      <c r="AC252" s="185">
        <f t="shared" ca="1" si="99"/>
        <v>98.439846685075395</v>
      </c>
      <c r="AD252" s="185">
        <f t="shared" ca="1" si="99"/>
        <v>101.27752305895207</v>
      </c>
      <c r="AE252" s="185">
        <f t="shared" ca="1" si="99"/>
        <v>104.14670127852841</v>
      </c>
      <c r="AF252" s="185">
        <f t="shared" ca="1" si="99"/>
        <v>106.93709680747682</v>
      </c>
      <c r="AG252" s="185">
        <f t="shared" ca="1" si="99"/>
        <v>109.93364086806842</v>
      </c>
      <c r="AH252" s="185">
        <f t="shared" ca="1" si="99"/>
        <v>112.98370125738201</v>
      </c>
      <c r="AI252" s="185">
        <f t="shared" ca="1" si="99"/>
        <v>116.14122751195673</v>
      </c>
      <c r="AJ252" s="185">
        <f t="shared" ca="1" si="99"/>
        <v>119.25139355975786</v>
      </c>
      <c r="AK252" s="185">
        <f t="shared" ca="1" si="99"/>
        <v>122.46852211690526</v>
      </c>
      <c r="AL252" s="185">
        <f t="shared" ca="1" si="99"/>
        <v>125.87688891446143</v>
      </c>
      <c r="AM252" s="185">
        <f t="shared" ca="1" si="99"/>
        <v>145.2137829706746</v>
      </c>
      <c r="AN252" s="185">
        <f t="shared" ca="1" si="99"/>
        <v>167.06648712914807</v>
      </c>
      <c r="AO252" s="185">
        <f t="shared" ca="1" si="99"/>
        <v>207.83678366012467</v>
      </c>
      <c r="AP252" s="185">
        <f t="shared" ca="1" si="99"/>
        <v>249.02638187481151</v>
      </c>
    </row>
    <row r="253" spans="1:42">
      <c r="A253" s="57" t="str">
        <f>'[4]TS BYDem'!A188</f>
        <v/>
      </c>
      <c r="B253" s="185" t="s">
        <v>288</v>
      </c>
      <c r="C253" s="185" t="s">
        <v>137</v>
      </c>
      <c r="D253" s="185" t="str">
        <f>'[4]TS BYDem'!D188</f>
        <v>IOTR</v>
      </c>
      <c r="E253" s="185" t="s">
        <v>137</v>
      </c>
      <c r="F253" s="185" t="s">
        <v>137</v>
      </c>
      <c r="G253" s="185" t="s">
        <v>137</v>
      </c>
      <c r="H253" s="185" t="s">
        <v>137</v>
      </c>
      <c r="I253" s="185">
        <v>0</v>
      </c>
      <c r="J253" s="185">
        <f>INDEX('[4]TS BYDem'!$J$10:$J$203,MATCH(D253,'[4]TS BYDem'!$D$10:$D$203,0))</f>
        <v>9.4685659246785185</v>
      </c>
      <c r="K253" s="185">
        <f t="shared" ca="1" si="93"/>
        <v>9.7322396423777064</v>
      </c>
      <c r="L253" s="185">
        <f t="shared" ca="1" si="99"/>
        <v>9.9187176782923192</v>
      </c>
      <c r="M253" s="192">
        <f t="shared" ref="M253" si="100">O253</f>
        <v>37.630000000000003</v>
      </c>
      <c r="N253" s="192">
        <f t="shared" ref="N253" si="101">O253</f>
        <v>37.630000000000003</v>
      </c>
      <c r="O253" s="192">
        <f>INDEX('[4]TS BYDem'!$O$10:$O$203,MATCH(D253,'[4]TS BYDem'!$D$10:$D$203,0))</f>
        <v>37.630000000000003</v>
      </c>
      <c r="P253" s="185">
        <f t="shared" ca="1" si="99"/>
        <v>38.063561437266841</v>
      </c>
      <c r="Q253" s="185">
        <f t="shared" ca="1" si="99"/>
        <v>38.022776516787751</v>
      </c>
      <c r="R253" s="185">
        <f t="shared" ca="1" si="99"/>
        <v>34.459859061456903</v>
      </c>
      <c r="S253" s="185">
        <f t="shared" ca="1" si="99"/>
        <v>35.363355527011024</v>
      </c>
      <c r="T253" s="185">
        <f t="shared" ca="1" si="99"/>
        <v>36.282022414027196</v>
      </c>
      <c r="U253" s="185">
        <f t="shared" ca="1" si="99"/>
        <v>37.26375868773404</v>
      </c>
      <c r="V253" s="185">
        <f t="shared" ca="1" si="99"/>
        <v>38.309134867721681</v>
      </c>
      <c r="W253" s="185">
        <f t="shared" ca="1" si="99"/>
        <v>39.349508146445082</v>
      </c>
      <c r="X253" s="185">
        <f t="shared" ca="1" si="99"/>
        <v>40.49777953013713</v>
      </c>
      <c r="Y253" s="185">
        <f t="shared" ca="1" si="99"/>
        <v>41.665934379195861</v>
      </c>
      <c r="Z253" s="185">
        <f t="shared" ca="1" si="99"/>
        <v>42.901310313722938</v>
      </c>
      <c r="AA253" s="185">
        <f t="shared" ca="1" si="99"/>
        <v>44.141493498683765</v>
      </c>
      <c r="AB253" s="185">
        <f t="shared" ca="1" si="99"/>
        <v>45.183290512172441</v>
      </c>
      <c r="AC253" s="185">
        <f t="shared" ca="1" si="99"/>
        <v>46.48761905127197</v>
      </c>
      <c r="AD253" s="185">
        <f t="shared" ca="1" si="99"/>
        <v>47.82769446485522</v>
      </c>
      <c r="AE253" s="185">
        <f t="shared" ca="1" si="99"/>
        <v>49.182646433528831</v>
      </c>
      <c r="AF253" s="185">
        <f t="shared" ca="1" si="99"/>
        <v>50.500393755577363</v>
      </c>
      <c r="AG253" s="185">
        <f t="shared" ca="1" si="99"/>
        <v>51.91549346824538</v>
      </c>
      <c r="AH253" s="185">
        <f t="shared" ca="1" si="99"/>
        <v>53.355865941755958</v>
      </c>
      <c r="AI253" s="185">
        <f t="shared" ca="1" si="99"/>
        <v>54.846988516709274</v>
      </c>
      <c r="AJ253" s="185">
        <f t="shared" ca="1" si="99"/>
        <v>56.315745521978961</v>
      </c>
      <c r="AK253" s="185">
        <f t="shared" ca="1" si="99"/>
        <v>57.835014921921157</v>
      </c>
      <c r="AL253" s="185">
        <f t="shared" ca="1" si="99"/>
        <v>59.444595418106729</v>
      </c>
      <c r="AM253" s="185">
        <f t="shared" ca="1" si="99"/>
        <v>68.576326061652424</v>
      </c>
      <c r="AN253" s="185">
        <f t="shared" ca="1" si="99"/>
        <v>78.896132729060412</v>
      </c>
      <c r="AO253" s="185">
        <f t="shared" ca="1" si="99"/>
        <v>98.149657369370374</v>
      </c>
      <c r="AP253" s="185">
        <f t="shared" ca="1" si="99"/>
        <v>117.60119468032414</v>
      </c>
    </row>
    <row r="254" spans="1:42">
      <c r="A254" s="57" t="str">
        <f>'[4]TS BYDem'!A189</f>
        <v>*</v>
      </c>
      <c r="B254" s="185" t="s">
        <v>288</v>
      </c>
      <c r="C254" s="185" t="s">
        <v>137</v>
      </c>
      <c r="D254" s="185">
        <f>'[4]TS BYDem'!D189</f>
        <v>0</v>
      </c>
      <c r="E254" s="185" t="s">
        <v>137</v>
      </c>
      <c r="F254" s="185" t="s">
        <v>137</v>
      </c>
      <c r="G254" s="185" t="s">
        <v>137</v>
      </c>
      <c r="H254" s="185" t="s">
        <v>137</v>
      </c>
      <c r="I254" s="185">
        <v>0</v>
      </c>
      <c r="J254" s="185" t="str">
        <f>INDEX('[4]TS BYDem'!$J$10:$J$203,MATCH(D254,'[4]TS BYDem'!$D$10:$D$203,0))</f>
        <v/>
      </c>
    </row>
  </sheetData>
  <mergeCells count="1">
    <mergeCell ref="B2:C2"/>
  </mergeCells>
  <conditionalFormatting sqref="B70:O89">
    <cfRule type="expression" dxfId="22" priority="23">
      <formula>INDIRECT(ADDRESS(ROW(),1))="*"</formula>
    </cfRule>
  </conditionalFormatting>
  <conditionalFormatting sqref="P70:AP89">
    <cfRule type="expression" dxfId="21" priority="22">
      <formula>INDIRECT(ADDRESS(ROW(),1))="*"</formula>
    </cfRule>
  </conditionalFormatting>
  <conditionalFormatting sqref="B91:AP110">
    <cfRule type="expression" dxfId="20" priority="21">
      <formula>INDIRECT(ADDRESS(ROW(),1))="*"</formula>
    </cfRule>
  </conditionalFormatting>
  <conditionalFormatting sqref="B112:AP131">
    <cfRule type="expression" dxfId="19" priority="20">
      <formula>INDIRECT(ADDRESS(ROW(),1))="*"</formula>
    </cfRule>
  </conditionalFormatting>
  <conditionalFormatting sqref="B133:AP133 B143:AP143 B134:L142 P134:AP142 B145:AP150 B144:L144 P144:AP144 B152:AP152 B151:L151 P151:AP151">
    <cfRule type="expression" dxfId="18" priority="19">
      <formula>INDIRECT(ADDRESS(ROW(),1))="*"</formula>
    </cfRule>
  </conditionalFormatting>
  <conditionalFormatting sqref="B154:AP154 B164:AP164 B155:L163 P155:AP163 B166:AP171 B165:L165 P165:AP165">
    <cfRule type="expression" dxfId="17" priority="18">
      <formula>INDIRECT(ADDRESS(ROW(),1))="*"</formula>
    </cfRule>
  </conditionalFormatting>
  <conditionalFormatting sqref="B173:AQ190">
    <cfRule type="expression" dxfId="16" priority="17">
      <formula>INDIRECT(ADDRESS(ROW(),1))="*"</formula>
    </cfRule>
  </conditionalFormatting>
  <conditionalFormatting sqref="B192:AP192 B202:AP202 B193:L201 P193:AP201 B204:AP209 B203:L203 P203:AP203">
    <cfRule type="expression" dxfId="15" priority="16">
      <formula>INDIRECT(ADDRESS(ROW(),1))="*"</formula>
    </cfRule>
  </conditionalFormatting>
  <conditionalFormatting sqref="B211:AP228">
    <cfRule type="expression" dxfId="14" priority="15">
      <formula>INDIRECT(ADDRESS(ROW(),1))="*"</formula>
    </cfRule>
  </conditionalFormatting>
  <conditionalFormatting sqref="B230:AP232 B242:AP242 B238:E238 G238:L238 B239:L241 B233:L237 P233:AP241 B244:AP252 B243:L243 P243:AP243 B253:L253 P253:AP253">
    <cfRule type="expression" dxfId="13" priority="14">
      <formula>INDIRECT(ADDRESS(ROW(),1))="*"</formula>
    </cfRule>
  </conditionalFormatting>
  <conditionalFormatting sqref="F238">
    <cfRule type="expression" dxfId="12" priority="13">
      <formula>INDIRECT(ADDRESS(ROW(),1))="*"</formula>
    </cfRule>
  </conditionalFormatting>
  <conditionalFormatting sqref="O134:O142">
    <cfRule type="expression" dxfId="11" priority="12">
      <formula>INDIRECT(ADDRESS(ROW(),1))="*"</formula>
    </cfRule>
  </conditionalFormatting>
  <conditionalFormatting sqref="O144">
    <cfRule type="expression" dxfId="10" priority="11">
      <formula>INDIRECT(ADDRESS(ROW(),1))="*"</formula>
    </cfRule>
  </conditionalFormatting>
  <conditionalFormatting sqref="O151">
    <cfRule type="expression" dxfId="9" priority="10">
      <formula>INDIRECT(ADDRESS(ROW(),1))="*"</formula>
    </cfRule>
  </conditionalFormatting>
  <conditionalFormatting sqref="O155:O163">
    <cfRule type="expression" dxfId="8" priority="9">
      <formula>INDIRECT(ADDRESS(ROW(),1))="*"</formula>
    </cfRule>
  </conditionalFormatting>
  <conditionalFormatting sqref="O165">
    <cfRule type="expression" dxfId="7" priority="8">
      <formula>INDIRECT(ADDRESS(ROW(),1))="*"</formula>
    </cfRule>
  </conditionalFormatting>
  <conditionalFormatting sqref="O193:O201">
    <cfRule type="expression" dxfId="6" priority="7">
      <formula>INDIRECT(ADDRESS(ROW(),1))="*"</formula>
    </cfRule>
  </conditionalFormatting>
  <conditionalFormatting sqref="O203">
    <cfRule type="expression" dxfId="5" priority="6">
      <formula>INDIRECT(ADDRESS(ROW(),1))="*"</formula>
    </cfRule>
  </conditionalFormatting>
  <conditionalFormatting sqref="O233:O241">
    <cfRule type="expression" dxfId="4" priority="5">
      <formula>INDIRECT(ADDRESS(ROW(),1))="*"</formula>
    </cfRule>
  </conditionalFormatting>
  <conditionalFormatting sqref="O243">
    <cfRule type="expression" dxfId="3" priority="4">
      <formula>INDIRECT(ADDRESS(ROW(),1))="*"</formula>
    </cfRule>
  </conditionalFormatting>
  <conditionalFormatting sqref="O253">
    <cfRule type="expression" dxfId="2" priority="3">
      <formula>INDIRECT(ADDRESS(ROW(),1))="*"</formula>
    </cfRule>
  </conditionalFormatting>
  <conditionalFormatting sqref="M134:N142">
    <cfRule type="expression" dxfId="1" priority="2">
      <formula>INDIRECT(ADDRESS(ROW(),1))="*"</formula>
    </cfRule>
  </conditionalFormatting>
  <conditionalFormatting sqref="M253:N253 M243:N243 M233:N241 M203:N203 M193:N201 M165:N165 M155:N163 M151:N151 M144:N144">
    <cfRule type="expression" dxfId="0" priority="1">
      <formula>INDIRECT(ADDRESS(ROW(),1))="*"</formula>
    </cfRule>
  </conditionalFormatting>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9657D-48FA-46A5-B676-34BABD9B7DA8}">
  <sheetPr codeName="Sheet10"/>
  <dimension ref="A1:H51"/>
  <sheetViews>
    <sheetView workbookViewId="0">
      <selection activeCell="D9" sqref="D9"/>
    </sheetView>
    <sheetView workbookViewId="1"/>
  </sheetViews>
  <sheetFormatPr defaultColWidth="9.140625" defaultRowHeight="11.25"/>
  <cols>
    <col min="1" max="1" width="12.42578125" style="18" customWidth="1"/>
    <col min="2" max="2" width="9.140625" style="18"/>
    <col min="3" max="3" width="11" style="18" customWidth="1"/>
    <col min="4" max="4" width="27.42578125" style="18" customWidth="1"/>
    <col min="5" max="5" width="10.140625" style="18" customWidth="1"/>
    <col min="6" max="6" width="28.85546875" style="18" customWidth="1"/>
    <col min="7" max="16384" width="9.140625" style="18"/>
  </cols>
  <sheetData>
    <row r="1" spans="1:8">
      <c r="A1" s="16" t="s">
        <v>28</v>
      </c>
      <c r="B1" s="18" t="s">
        <v>17</v>
      </c>
      <c r="H1" s="18" t="s">
        <v>29</v>
      </c>
    </row>
    <row r="2" spans="1:8">
      <c r="A2" s="18" t="s">
        <v>16</v>
      </c>
    </row>
    <row r="3" spans="1:8" ht="18.75" customHeight="1">
      <c r="A3" s="18" t="s">
        <v>16</v>
      </c>
    </row>
    <row r="4" spans="1:8">
      <c r="A4" s="18" t="s">
        <v>16</v>
      </c>
    </row>
    <row r="5" spans="1:8">
      <c r="A5" s="18" t="s">
        <v>16</v>
      </c>
    </row>
    <row r="6" spans="1:8">
      <c r="A6" s="18" t="s">
        <v>16</v>
      </c>
    </row>
    <row r="7" spans="1:8">
      <c r="A7" s="18" t="s">
        <v>16</v>
      </c>
      <c r="B7" s="16" t="s">
        <v>30</v>
      </c>
      <c r="C7" s="26" t="s">
        <v>31</v>
      </c>
      <c r="D7" s="16" t="s">
        <v>32</v>
      </c>
      <c r="E7" s="16" t="s">
        <v>33</v>
      </c>
      <c r="F7" s="16" t="s">
        <v>34</v>
      </c>
      <c r="G7" s="16" t="s">
        <v>35</v>
      </c>
    </row>
    <row r="8" spans="1:8">
      <c r="A8" s="18" t="s">
        <v>16</v>
      </c>
      <c r="B8" s="16" t="s">
        <v>36</v>
      </c>
      <c r="C8" s="26"/>
      <c r="D8" s="16"/>
      <c r="E8" s="16"/>
      <c r="F8" s="16"/>
      <c r="G8" s="16"/>
    </row>
    <row r="9" spans="1:8">
      <c r="A9" s="55" t="str">
        <f>[5]ITEMS_Comm!A27</f>
        <v/>
      </c>
      <c r="B9" s="314" t="str">
        <f>[5]ITEMS_Comm!B27</f>
        <v>E</v>
      </c>
      <c r="C9" s="55" t="str">
        <f>[5]ITEMS_Comm!C27</f>
        <v>RLEL</v>
      </c>
      <c r="D9" s="55" t="str">
        <f>[5]ITEMS_Comm!D27</f>
        <v>Residential - Lighting - Low Income Electrified</v>
      </c>
      <c r="E9" s="314" t="str">
        <f>[5]ITEMS_Comm!E27</f>
        <v>PJ</v>
      </c>
      <c r="F9" s="314" t="str">
        <f>[5]ITEMS_Comm!F27</f>
        <v>COM,DEM,DAYNITE,RES</v>
      </c>
    </row>
    <row r="10" spans="1:8">
      <c r="A10" s="55" t="str">
        <f>[5]ITEMS_Comm!A28</f>
        <v/>
      </c>
      <c r="B10" s="314" t="str">
        <f>[5]ITEMS_Comm!B28</f>
        <v>E</v>
      </c>
      <c r="C10" s="55" t="str">
        <f>[5]ITEMS_Comm!C28</f>
        <v>RLNL</v>
      </c>
      <c r="D10" s="55" t="str">
        <f>[5]ITEMS_Comm!D28</f>
        <v>Residential - Lighting - Low Income Electrified paraffin</v>
      </c>
      <c r="E10" s="314" t="str">
        <f>[5]ITEMS_Comm!E28</f>
        <v>PJ</v>
      </c>
      <c r="F10" s="314" t="str">
        <f>[5]ITEMS_Comm!F28</f>
        <v>COM,DEM,DAYNITE,RES</v>
      </c>
    </row>
    <row r="11" spans="1:8">
      <c r="A11" s="55" t="str">
        <f>[5]ITEMS_Comm!A29</f>
        <v/>
      </c>
      <c r="B11" s="314" t="str">
        <f>[5]ITEMS_Comm!B29</f>
        <v>E</v>
      </c>
      <c r="C11" s="55" t="str">
        <f>[5]ITEMS_Comm!C29</f>
        <v>RLEK</v>
      </c>
      <c r="D11" s="55" t="str">
        <f>[5]ITEMS_Comm!D29</f>
        <v>Residential - Cooking - Low Income Electrified</v>
      </c>
      <c r="E11" s="314" t="str">
        <f>[5]ITEMS_Comm!E29</f>
        <v>PJ</v>
      </c>
      <c r="F11" s="314" t="str">
        <f>[5]ITEMS_Comm!F29</f>
        <v>COM,DEM,DAYNITE,RES</v>
      </c>
    </row>
    <row r="12" spans="1:8">
      <c r="A12" s="55" t="str">
        <f>[5]ITEMS_Comm!A30</f>
        <v/>
      </c>
      <c r="B12" s="314" t="str">
        <f>[5]ITEMS_Comm!B30</f>
        <v>E</v>
      </c>
      <c r="C12" s="55" t="str">
        <f>[5]ITEMS_Comm!C30</f>
        <v>RLEH</v>
      </c>
      <c r="D12" s="55" t="str">
        <f>[5]ITEMS_Comm!D30</f>
        <v>Residential - Space Heating - Low Income Electrified</v>
      </c>
      <c r="E12" s="314" t="str">
        <f>[5]ITEMS_Comm!E30</f>
        <v>PJ</v>
      </c>
      <c r="F12" s="314" t="str">
        <f>[5]ITEMS_Comm!F30</f>
        <v>COM,DEM,DAYNITE,RES</v>
      </c>
    </row>
    <row r="13" spans="1:8">
      <c r="A13" s="55" t="str">
        <f>[5]ITEMS_Comm!A31</f>
        <v/>
      </c>
      <c r="B13" s="314" t="str">
        <f>[5]ITEMS_Comm!B31</f>
        <v>E</v>
      </c>
      <c r="C13" s="55" t="str">
        <f>[5]ITEMS_Comm!C31</f>
        <v>RLEWG</v>
      </c>
      <c r="D13" s="55" t="str">
        <f>[5]ITEMS_Comm!D31</f>
        <v>Residential - Water Heating Geyser - Low Income Electrified</v>
      </c>
      <c r="E13" s="314" t="str">
        <f>[5]ITEMS_Comm!E31</f>
        <v>PJ</v>
      </c>
      <c r="F13" s="314" t="str">
        <f>[5]ITEMS_Comm!F31</f>
        <v>COM,DEM,DAYNITE,RES</v>
      </c>
    </row>
    <row r="14" spans="1:8">
      <c r="A14" s="55" t="str">
        <f>[5]ITEMS_Comm!A32</f>
        <v/>
      </c>
      <c r="B14" s="314" t="str">
        <f>[5]ITEMS_Comm!B32</f>
        <v>E</v>
      </c>
      <c r="C14" s="55" t="str">
        <f>[5]ITEMS_Comm!C32</f>
        <v>RLEW</v>
      </c>
      <c r="D14" s="55" t="str">
        <f>[5]ITEMS_Comm!D32</f>
        <v>Residential - Water Heating - Low Income Electrified</v>
      </c>
      <c r="E14" s="314" t="str">
        <f>[5]ITEMS_Comm!E32</f>
        <v>PJ</v>
      </c>
      <c r="F14" s="314" t="str">
        <f>[5]ITEMS_Comm!F32</f>
        <v>COM,DEM,DAYNITE,RES</v>
      </c>
    </row>
    <row r="15" spans="1:8">
      <c r="A15" s="55" t="str">
        <f>[5]ITEMS_Comm!A33</f>
        <v/>
      </c>
      <c r="B15" s="314" t="str">
        <f>[5]ITEMS_Comm!B33</f>
        <v>E</v>
      </c>
      <c r="C15" s="55" t="str">
        <f>[5]ITEMS_Comm!C33</f>
        <v>RLER</v>
      </c>
      <c r="D15" s="55" t="str">
        <f>[5]ITEMS_Comm!D33</f>
        <v>Residential - Refrigeration - Low Income Electrified</v>
      </c>
      <c r="E15" s="314" t="str">
        <f>[5]ITEMS_Comm!E33</f>
        <v>PJ</v>
      </c>
      <c r="F15" s="314" t="str">
        <f>[5]ITEMS_Comm!F33</f>
        <v>COM,DEM,DAYNITE,RES</v>
      </c>
    </row>
    <row r="16" spans="1:8">
      <c r="A16" s="55" t="str">
        <f>[5]ITEMS_Comm!A34</f>
        <v/>
      </c>
      <c r="B16" s="314" t="str">
        <f>[5]ITEMS_Comm!B34</f>
        <v>E</v>
      </c>
      <c r="C16" s="55" t="str">
        <f>[5]ITEMS_Comm!C34</f>
        <v>RLEO</v>
      </c>
      <c r="D16" s="55" t="str">
        <f>[5]ITEMS_Comm!D34</f>
        <v>Residential - Other - Low Income Electrified</v>
      </c>
      <c r="E16" s="314" t="str">
        <f>[5]ITEMS_Comm!E34</f>
        <v>PJ</v>
      </c>
      <c r="F16" s="314" t="str">
        <f>[5]ITEMS_Comm!F34</f>
        <v>COM,DEM,DAYNITE,RES</v>
      </c>
    </row>
    <row r="17" spans="1:6">
      <c r="A17" s="55" t="str">
        <f>[5]ITEMS_Comm!A35</f>
        <v>*</v>
      </c>
      <c r="B17" s="314" t="str">
        <f>[5]ITEMS_Comm!B35</f>
        <v>E</v>
      </c>
      <c r="C17" s="55">
        <f>[5]ITEMS_Comm!C35</f>
        <v>0</v>
      </c>
      <c r="D17" s="55" t="str">
        <f>[5]ITEMS_Comm!D35</f>
        <v/>
      </c>
      <c r="E17" s="314" t="str">
        <f>[5]ITEMS_Comm!E35</f>
        <v/>
      </c>
      <c r="F17" s="314" t="str">
        <f>[5]ITEMS_Comm!F35</f>
        <v/>
      </c>
    </row>
    <row r="18" spans="1:6">
      <c r="A18" s="55" t="str">
        <f>[5]ITEMS_Comm!A36</f>
        <v>*</v>
      </c>
      <c r="B18" s="314" t="str">
        <f>[5]ITEMS_Comm!B36</f>
        <v>E</v>
      </c>
      <c r="C18" s="55">
        <f>[5]ITEMS_Comm!C36</f>
        <v>0</v>
      </c>
      <c r="D18" s="55" t="str">
        <f>[5]ITEMS_Comm!D36</f>
        <v/>
      </c>
      <c r="E18" s="314" t="str">
        <f>[5]ITEMS_Comm!E36</f>
        <v/>
      </c>
      <c r="F18" s="314" t="str">
        <f>[5]ITEMS_Comm!F36</f>
        <v/>
      </c>
    </row>
    <row r="19" spans="1:6">
      <c r="A19" s="55" t="str">
        <f>[5]ITEMS_Comm!A37</f>
        <v>*</v>
      </c>
      <c r="B19" s="314" t="str">
        <f>[5]ITEMS_Comm!B37</f>
        <v>E</v>
      </c>
      <c r="C19" s="55">
        <f>[5]ITEMS_Comm!C37</f>
        <v>0</v>
      </c>
      <c r="D19" s="55" t="str">
        <f>[5]ITEMS_Comm!D37</f>
        <v/>
      </c>
      <c r="E19" s="314" t="str">
        <f>[5]ITEMS_Comm!E37</f>
        <v/>
      </c>
      <c r="F19" s="314" t="str">
        <f>[5]ITEMS_Comm!F37</f>
        <v/>
      </c>
    </row>
    <row r="20" spans="1:6">
      <c r="A20" s="55" t="str">
        <f>[5]ITEMS_Comm!A38</f>
        <v/>
      </c>
      <c r="B20" s="314" t="str">
        <f>[5]ITEMS_Comm!B38</f>
        <v>E</v>
      </c>
      <c r="C20" s="55" t="str">
        <f>[5]ITEMS_Comm!C38</f>
        <v>RMEL</v>
      </c>
      <c r="D20" s="55" t="str">
        <f>[5]ITEMS_Comm!D38</f>
        <v>Residential - Lighting - Middle Income Electrified</v>
      </c>
      <c r="E20" s="314" t="str">
        <f>[5]ITEMS_Comm!E38</f>
        <v>PJ</v>
      </c>
      <c r="F20" s="314" t="str">
        <f>[5]ITEMS_Comm!F38</f>
        <v>COM,DEM,DAYNITE,RES</v>
      </c>
    </row>
    <row r="21" spans="1:6">
      <c r="A21" s="55" t="str">
        <f>[5]ITEMS_Comm!A39</f>
        <v/>
      </c>
      <c r="B21" s="314" t="str">
        <f>[5]ITEMS_Comm!B39</f>
        <v>E</v>
      </c>
      <c r="C21" s="55" t="str">
        <f>[5]ITEMS_Comm!C39</f>
        <v>RMNL</v>
      </c>
      <c r="D21" s="55" t="str">
        <f>[5]ITEMS_Comm!D39</f>
        <v>Residential - Lighting - Middle Income Electrified paraffin</v>
      </c>
      <c r="E21" s="314" t="str">
        <f>[5]ITEMS_Comm!E39</f>
        <v>PJ</v>
      </c>
      <c r="F21" s="314" t="str">
        <f>[5]ITEMS_Comm!F39</f>
        <v>COM,DEM,DAYNITE,RES</v>
      </c>
    </row>
    <row r="22" spans="1:6">
      <c r="A22" s="55" t="str">
        <f>[5]ITEMS_Comm!A40</f>
        <v/>
      </c>
      <c r="B22" s="314" t="str">
        <f>[5]ITEMS_Comm!B40</f>
        <v>E</v>
      </c>
      <c r="C22" s="55" t="str">
        <f>[5]ITEMS_Comm!C40</f>
        <v>RMEK</v>
      </c>
      <c r="D22" s="55" t="str">
        <f>[5]ITEMS_Comm!D40</f>
        <v>Residential - Cooking - Middle Income Electrified</v>
      </c>
      <c r="E22" s="314" t="str">
        <f>[5]ITEMS_Comm!E40</f>
        <v>PJ</v>
      </c>
      <c r="F22" s="314" t="str">
        <f>[5]ITEMS_Comm!F40</f>
        <v>COM,DEM,DAYNITE,RES</v>
      </c>
    </row>
    <row r="23" spans="1:6">
      <c r="A23" s="55" t="str">
        <f>[5]ITEMS_Comm!A41</f>
        <v/>
      </c>
      <c r="B23" s="314" t="str">
        <f>[5]ITEMS_Comm!B41</f>
        <v>E</v>
      </c>
      <c r="C23" s="55" t="str">
        <f>[5]ITEMS_Comm!C41</f>
        <v>RMEH</v>
      </c>
      <c r="D23" s="55" t="str">
        <f>[5]ITEMS_Comm!D41</f>
        <v>Residential - Space Heating - Middle Income Electrified</v>
      </c>
      <c r="E23" s="314" t="str">
        <f>[5]ITEMS_Comm!E41</f>
        <v>PJ</v>
      </c>
      <c r="F23" s="314" t="str">
        <f>[5]ITEMS_Comm!F41</f>
        <v>COM,DEM,DAYNITE,RES</v>
      </c>
    </row>
    <row r="24" spans="1:6">
      <c r="A24" s="55" t="str">
        <f>[5]ITEMS_Comm!A42</f>
        <v/>
      </c>
      <c r="B24" s="314" t="str">
        <f>[5]ITEMS_Comm!B42</f>
        <v>E</v>
      </c>
      <c r="C24" s="55" t="str">
        <f>[5]ITEMS_Comm!C42</f>
        <v>RMEWG</v>
      </c>
      <c r="D24" s="55" t="str">
        <f>[5]ITEMS_Comm!D42</f>
        <v>Residential - Water Heating Geyser - Middle Income Electrified</v>
      </c>
      <c r="E24" s="314" t="str">
        <f>[5]ITEMS_Comm!E42</f>
        <v>PJ</v>
      </c>
      <c r="F24" s="314" t="str">
        <f>[5]ITEMS_Comm!F42</f>
        <v>COM,DEM,DAYNITE,RES</v>
      </c>
    </row>
    <row r="25" spans="1:6">
      <c r="A25" s="55" t="str">
        <f>[5]ITEMS_Comm!A43</f>
        <v/>
      </c>
      <c r="B25" s="314" t="str">
        <f>[5]ITEMS_Comm!B43</f>
        <v>E</v>
      </c>
      <c r="C25" s="55" t="str">
        <f>[5]ITEMS_Comm!C43</f>
        <v>RMEW</v>
      </c>
      <c r="D25" s="55">
        <f>[5]ITEMS_Comm!D43</f>
        <v>0</v>
      </c>
      <c r="E25" s="314" t="str">
        <f>[5]ITEMS_Comm!E43</f>
        <v>PJ</v>
      </c>
      <c r="F25" s="314" t="str">
        <f>[5]ITEMS_Comm!F43</f>
        <v>COM,DEM,DAYNITE,RES</v>
      </c>
    </row>
    <row r="26" spans="1:6">
      <c r="A26" s="55" t="str">
        <f>[5]ITEMS_Comm!A44</f>
        <v/>
      </c>
      <c r="B26" s="314" t="str">
        <f>[5]ITEMS_Comm!B44</f>
        <v>E</v>
      </c>
      <c r="C26" s="55" t="str">
        <f>[5]ITEMS_Comm!C44</f>
        <v>RMER</v>
      </c>
      <c r="D26" s="55" t="str">
        <f>[5]ITEMS_Comm!D44</f>
        <v>Residential - Refrigeration - Middle Income Electrified</v>
      </c>
      <c r="E26" s="314" t="str">
        <f>[5]ITEMS_Comm!E44</f>
        <v>PJ</v>
      </c>
      <c r="F26" s="314" t="str">
        <f>[5]ITEMS_Comm!F44</f>
        <v>COM,DEM,DAYNITE,RES</v>
      </c>
    </row>
    <row r="27" spans="1:6">
      <c r="A27" s="55" t="str">
        <f>[5]ITEMS_Comm!A45</f>
        <v/>
      </c>
      <c r="B27" s="314" t="str">
        <f>[5]ITEMS_Comm!B45</f>
        <v>E</v>
      </c>
      <c r="C27" s="55" t="str">
        <f>[5]ITEMS_Comm!C45</f>
        <v>RMEO</v>
      </c>
      <c r="D27" s="55" t="str">
        <f>[5]ITEMS_Comm!D45</f>
        <v>Residential - Other - Middle Income Electrified</v>
      </c>
      <c r="E27" s="314" t="str">
        <f>[5]ITEMS_Comm!E45</f>
        <v>PJ</v>
      </c>
      <c r="F27" s="314" t="str">
        <f>[5]ITEMS_Comm!F45</f>
        <v>COM,DEM,DAYNITE,RES</v>
      </c>
    </row>
    <row r="28" spans="1:6">
      <c r="A28" s="55" t="str">
        <f>[5]ITEMS_Comm!A46</f>
        <v>*</v>
      </c>
      <c r="B28" s="314" t="str">
        <f>[5]ITEMS_Comm!B46</f>
        <v>E</v>
      </c>
      <c r="C28" s="55">
        <f>[5]ITEMS_Comm!C46</f>
        <v>0</v>
      </c>
      <c r="D28" s="55" t="str">
        <f>[5]ITEMS_Comm!D46</f>
        <v/>
      </c>
      <c r="E28" s="314" t="str">
        <f>[5]ITEMS_Comm!E46</f>
        <v/>
      </c>
      <c r="F28" s="314" t="str">
        <f>[5]ITEMS_Comm!F46</f>
        <v/>
      </c>
    </row>
    <row r="29" spans="1:6">
      <c r="A29" s="55" t="str">
        <f>[5]ITEMS_Comm!A47</f>
        <v>*</v>
      </c>
      <c r="B29" s="314" t="str">
        <f>[5]ITEMS_Comm!B47</f>
        <v>E</v>
      </c>
      <c r="C29" s="55">
        <f>[5]ITEMS_Comm!C47</f>
        <v>0</v>
      </c>
      <c r="D29" s="55" t="str">
        <f>[5]ITEMS_Comm!D47</f>
        <v/>
      </c>
      <c r="E29" s="314" t="str">
        <f>[5]ITEMS_Comm!E47</f>
        <v/>
      </c>
      <c r="F29" s="314" t="str">
        <f>[5]ITEMS_Comm!F47</f>
        <v/>
      </c>
    </row>
    <row r="30" spans="1:6">
      <c r="A30" s="55" t="str">
        <f>[5]ITEMS_Comm!A48</f>
        <v>*</v>
      </c>
      <c r="B30" s="314" t="str">
        <f>[5]ITEMS_Comm!B48</f>
        <v>E</v>
      </c>
      <c r="C30" s="55">
        <f>[5]ITEMS_Comm!C48</f>
        <v>0</v>
      </c>
      <c r="D30" s="55" t="str">
        <f>[5]ITEMS_Comm!D48</f>
        <v/>
      </c>
      <c r="E30" s="314" t="str">
        <f>[5]ITEMS_Comm!E48</f>
        <v/>
      </c>
      <c r="F30" s="314" t="str">
        <f>[5]ITEMS_Comm!F48</f>
        <v/>
      </c>
    </row>
    <row r="31" spans="1:6">
      <c r="A31" s="55" t="str">
        <f>[5]ITEMS_Comm!A49</f>
        <v/>
      </c>
      <c r="B31" s="314" t="str">
        <f>[5]ITEMS_Comm!B49</f>
        <v>E</v>
      </c>
      <c r="C31" s="55" t="str">
        <f>[5]ITEMS_Comm!C49</f>
        <v>RHEL</v>
      </c>
      <c r="D31" s="55" t="str">
        <f>[5]ITEMS_Comm!D49</f>
        <v>Residential - Lighting - High Income Electrified</v>
      </c>
      <c r="E31" s="314" t="str">
        <f>[5]ITEMS_Comm!E49</f>
        <v>PJ</v>
      </c>
      <c r="F31" s="314" t="str">
        <f>[5]ITEMS_Comm!F49</f>
        <v>COM,DEM,DAYNITE,RES</v>
      </c>
    </row>
    <row r="32" spans="1:6">
      <c r="A32" s="55" t="str">
        <f>[5]ITEMS_Comm!A50</f>
        <v/>
      </c>
      <c r="B32" s="314" t="str">
        <f>[5]ITEMS_Comm!B50</f>
        <v>E</v>
      </c>
      <c r="C32" s="55" t="str">
        <f>[5]ITEMS_Comm!C50</f>
        <v>RHEK</v>
      </c>
      <c r="D32" s="55" t="str">
        <f>[5]ITEMS_Comm!D50</f>
        <v>Residential - Cooking - High Income Electrified</v>
      </c>
      <c r="E32" s="314" t="str">
        <f>[5]ITEMS_Comm!E50</f>
        <v>PJ</v>
      </c>
      <c r="F32" s="314" t="str">
        <f>[5]ITEMS_Comm!F50</f>
        <v>COM,DEM,DAYNITE,RES</v>
      </c>
    </row>
    <row r="33" spans="1:6">
      <c r="A33" s="55" t="str">
        <f>[5]ITEMS_Comm!A51</f>
        <v/>
      </c>
      <c r="B33" s="314" t="str">
        <f>[5]ITEMS_Comm!B51</f>
        <v>E</v>
      </c>
      <c r="C33" s="55" t="str">
        <f>[5]ITEMS_Comm!C51</f>
        <v>RHEH</v>
      </c>
      <c r="D33" s="55" t="str">
        <f>[5]ITEMS_Comm!D51</f>
        <v>Residential - Space Heating - High Income Electrified</v>
      </c>
      <c r="E33" s="314" t="str">
        <f>[5]ITEMS_Comm!E51</f>
        <v>PJ</v>
      </c>
      <c r="F33" s="314" t="str">
        <f>[5]ITEMS_Comm!F51</f>
        <v>COM,DEM,DAYNITE,RES</v>
      </c>
    </row>
    <row r="34" spans="1:6">
      <c r="A34" s="55" t="str">
        <f>[5]ITEMS_Comm!A52</f>
        <v/>
      </c>
      <c r="B34" s="314" t="str">
        <f>[5]ITEMS_Comm!B52</f>
        <v>E</v>
      </c>
      <c r="C34" s="55" t="str">
        <f>[5]ITEMS_Comm!C52</f>
        <v>RHEWG</v>
      </c>
      <c r="D34" s="55" t="str">
        <f>[5]ITEMS_Comm!D52</f>
        <v>Residential - Water Heating Geyser - High Income Electrified</v>
      </c>
      <c r="E34" s="314" t="str">
        <f>[5]ITEMS_Comm!E52</f>
        <v>PJ</v>
      </c>
      <c r="F34" s="314" t="str">
        <f>[5]ITEMS_Comm!F52</f>
        <v>COM,DEM,DAYNITE,RES</v>
      </c>
    </row>
    <row r="35" spans="1:6">
      <c r="A35" s="55" t="str">
        <f>[5]ITEMS_Comm!A53</f>
        <v/>
      </c>
      <c r="B35" s="314" t="str">
        <f>[5]ITEMS_Comm!B53</f>
        <v>E</v>
      </c>
      <c r="C35" s="55" t="str">
        <f>[5]ITEMS_Comm!C53</f>
        <v>RHEW</v>
      </c>
      <c r="D35" s="55" t="str">
        <f>[5]ITEMS_Comm!D53</f>
        <v xml:space="preserve">Residential -water heating non geyser high income </v>
      </c>
      <c r="E35" s="314" t="str">
        <f>[5]ITEMS_Comm!E53</f>
        <v>PJ</v>
      </c>
      <c r="F35" s="314" t="str">
        <f>[5]ITEMS_Comm!F53</f>
        <v>COM,DEM,DAYNITE,RES</v>
      </c>
    </row>
    <row r="36" spans="1:6">
      <c r="A36" s="55" t="str">
        <f>[5]ITEMS_Comm!A54</f>
        <v/>
      </c>
      <c r="B36" s="314" t="str">
        <f>[5]ITEMS_Comm!B54</f>
        <v>E</v>
      </c>
      <c r="C36" s="55" t="str">
        <f>[5]ITEMS_Comm!C54</f>
        <v>RHER</v>
      </c>
      <c r="D36" s="55" t="str">
        <f>[5]ITEMS_Comm!D54</f>
        <v>Residential - Refrigeration - High Income Electrified</v>
      </c>
      <c r="E36" s="314" t="str">
        <f>[5]ITEMS_Comm!E54</f>
        <v>PJ</v>
      </c>
      <c r="F36" s="314" t="str">
        <f>[5]ITEMS_Comm!F54</f>
        <v>COM,DEM,DAYNITE,RES</v>
      </c>
    </row>
    <row r="37" spans="1:6">
      <c r="A37" s="55" t="str">
        <f>[5]ITEMS_Comm!A55</f>
        <v/>
      </c>
      <c r="B37" s="314" t="str">
        <f>[5]ITEMS_Comm!B55</f>
        <v>E</v>
      </c>
      <c r="C37" s="55" t="str">
        <f>[5]ITEMS_Comm!C55</f>
        <v>RHEO</v>
      </c>
      <c r="D37" s="55" t="str">
        <f>[5]ITEMS_Comm!D55</f>
        <v>Residential - Other - High Income Electrified</v>
      </c>
      <c r="E37" s="314" t="str">
        <f>[5]ITEMS_Comm!E55</f>
        <v>PJ</v>
      </c>
      <c r="F37" s="314" t="str">
        <f>[5]ITEMS_Comm!F55</f>
        <v>COM,DEM,DAYNITE,RES</v>
      </c>
    </row>
    <row r="38" spans="1:6">
      <c r="A38" s="55" t="str">
        <f>[5]ITEMS_Comm!A56</f>
        <v>*</v>
      </c>
      <c r="B38" s="314" t="str">
        <f>[5]ITEMS_Comm!B56</f>
        <v>E</v>
      </c>
      <c r="C38" s="55">
        <f>[5]ITEMS_Comm!C56</f>
        <v>0</v>
      </c>
      <c r="D38" s="55" t="str">
        <f>[5]ITEMS_Comm!D56</f>
        <v/>
      </c>
      <c r="E38" s="314" t="str">
        <f>[5]ITEMS_Comm!E56</f>
        <v/>
      </c>
      <c r="F38" s="314" t="str">
        <f>[5]ITEMS_Comm!F56</f>
        <v/>
      </c>
    </row>
    <row r="39" spans="1:6">
      <c r="A39" s="55" t="str">
        <f>[5]ITEMS_Comm!A57</f>
        <v>*</v>
      </c>
      <c r="B39" s="314" t="str">
        <f>[5]ITEMS_Comm!B57</f>
        <v>E</v>
      </c>
      <c r="C39" s="55">
        <f>[5]ITEMS_Comm!C57</f>
        <v>0</v>
      </c>
      <c r="D39" s="55">
        <f>[5]ITEMS_Comm!D57</f>
        <v>0</v>
      </c>
      <c r="E39" s="314">
        <f>[5]ITEMS_Comm!E57</f>
        <v>0</v>
      </c>
      <c r="F39" s="314">
        <f>[5]ITEMS_Comm!F57</f>
        <v>0</v>
      </c>
    </row>
    <row r="40" spans="1:6">
      <c r="A40" s="55" t="str">
        <f>[5]ITEMS_Comm!A58</f>
        <v>*</v>
      </c>
      <c r="B40" s="314" t="str">
        <f>[5]ITEMS_Comm!B58</f>
        <v>E</v>
      </c>
      <c r="C40" s="55">
        <f>[5]ITEMS_Comm!C58</f>
        <v>0</v>
      </c>
      <c r="D40" s="55">
        <f>[5]ITEMS_Comm!D58</f>
        <v>0</v>
      </c>
      <c r="E40" s="314">
        <f>[5]ITEMS_Comm!E58</f>
        <v>0</v>
      </c>
      <c r="F40" s="314">
        <f>[5]ITEMS_Comm!F58</f>
        <v>0</v>
      </c>
    </row>
    <row r="41" spans="1:6">
      <c r="A41" s="55" t="str">
        <f>[5]ITEMS_Comm!A59</f>
        <v>*</v>
      </c>
      <c r="B41" s="314" t="str">
        <f>[5]ITEMS_Comm!B59</f>
        <v>E</v>
      </c>
      <c r="C41" s="55">
        <f>[5]ITEMS_Comm!C59</f>
        <v>0</v>
      </c>
      <c r="D41" s="55">
        <f>[5]ITEMS_Comm!D59</f>
        <v>0</v>
      </c>
      <c r="E41" s="314">
        <f>[5]ITEMS_Comm!E59</f>
        <v>0</v>
      </c>
      <c r="F41" s="314">
        <f>[5]ITEMS_Comm!F59</f>
        <v>0</v>
      </c>
    </row>
    <row r="42" spans="1:6">
      <c r="A42" s="55" t="str">
        <f>[5]ITEMS_Comm!A60</f>
        <v>*</v>
      </c>
      <c r="B42" s="314" t="str">
        <f>[5]ITEMS_Comm!B60</f>
        <v>E</v>
      </c>
      <c r="C42" s="55">
        <f>[5]ITEMS_Comm!C60</f>
        <v>0</v>
      </c>
      <c r="D42" s="55">
        <f>[5]ITEMS_Comm!D60</f>
        <v>0</v>
      </c>
      <c r="E42" s="314">
        <f>[5]ITEMS_Comm!E60</f>
        <v>0</v>
      </c>
      <c r="F42" s="314">
        <f>[5]ITEMS_Comm!F60</f>
        <v>0</v>
      </c>
    </row>
    <row r="43" spans="1:6">
      <c r="A43" s="55" t="str">
        <f>[5]ITEMS_Comm!A61</f>
        <v>*</v>
      </c>
      <c r="B43" s="314" t="str">
        <f>[5]ITEMS_Comm!B61</f>
        <v>E</v>
      </c>
      <c r="C43" s="55">
        <f>[5]ITEMS_Comm!C61</f>
        <v>0</v>
      </c>
      <c r="D43" s="55">
        <f>[5]ITEMS_Comm!D61</f>
        <v>0</v>
      </c>
      <c r="E43" s="314">
        <f>[5]ITEMS_Comm!E61</f>
        <v>0</v>
      </c>
      <c r="F43" s="314">
        <f>[5]ITEMS_Comm!F61</f>
        <v>0</v>
      </c>
    </row>
    <row r="44" spans="1:6">
      <c r="A44" s="55" t="str">
        <f>[5]ITEMS_Comm!A62</f>
        <v>*</v>
      </c>
      <c r="B44" s="314" t="str">
        <f>[5]ITEMS_Comm!B62</f>
        <v>E</v>
      </c>
      <c r="C44" s="55">
        <f>[5]ITEMS_Comm!C62</f>
        <v>0</v>
      </c>
      <c r="D44" s="55">
        <f>[5]ITEMS_Comm!D62</f>
        <v>0</v>
      </c>
      <c r="E44" s="314">
        <f>[5]ITEMS_Comm!E62</f>
        <v>0</v>
      </c>
      <c r="F44" s="314">
        <f>[5]ITEMS_Comm!F62</f>
        <v>0</v>
      </c>
    </row>
    <row r="45" spans="1:6">
      <c r="A45" s="55" t="str">
        <f>[5]ITEMS_Comm!A63</f>
        <v>*</v>
      </c>
      <c r="B45" s="314" t="str">
        <f>[5]ITEMS_Comm!B63</f>
        <v>E</v>
      </c>
      <c r="C45" s="55">
        <f>[5]ITEMS_Comm!C63</f>
        <v>0</v>
      </c>
      <c r="D45" s="55">
        <f>[5]ITEMS_Comm!D63</f>
        <v>0</v>
      </c>
      <c r="E45" s="314">
        <f>[5]ITEMS_Comm!E63</f>
        <v>0</v>
      </c>
      <c r="F45" s="314">
        <f>[5]ITEMS_Comm!F63</f>
        <v>0</v>
      </c>
    </row>
    <row r="46" spans="1:6">
      <c r="A46" s="55" t="str">
        <f>[5]ITEMS_Comm!A64</f>
        <v>*</v>
      </c>
      <c r="B46" s="314" t="str">
        <f>[5]ITEMS_Comm!B64</f>
        <v>E</v>
      </c>
      <c r="C46" s="55">
        <f>[5]ITEMS_Comm!C64</f>
        <v>0</v>
      </c>
      <c r="D46" s="55">
        <f>[5]ITEMS_Comm!D64</f>
        <v>0</v>
      </c>
      <c r="E46" s="314">
        <f>[5]ITEMS_Comm!E64</f>
        <v>0</v>
      </c>
      <c r="F46" s="314">
        <f>[5]ITEMS_Comm!F64</f>
        <v>0</v>
      </c>
    </row>
    <row r="47" spans="1:6">
      <c r="A47" s="55" t="str">
        <f>[5]ITEMS_Comm!A65</f>
        <v>*</v>
      </c>
      <c r="B47" s="314" t="str">
        <f>[5]ITEMS_Comm!B65</f>
        <v>E</v>
      </c>
      <c r="C47" s="55">
        <f>[5]ITEMS_Comm!C65</f>
        <v>0</v>
      </c>
      <c r="D47" s="55">
        <f>[5]ITEMS_Comm!D65</f>
        <v>0</v>
      </c>
      <c r="E47" s="314">
        <f>[5]ITEMS_Comm!E65</f>
        <v>0</v>
      </c>
      <c r="F47" s="314">
        <f>[5]ITEMS_Comm!F65</f>
        <v>0</v>
      </c>
    </row>
    <row r="48" spans="1:6">
      <c r="A48" s="55" t="str">
        <f>[5]ITEMS_Comm!A66</f>
        <v>*</v>
      </c>
      <c r="B48" s="314" t="str">
        <f>[5]ITEMS_Comm!B66</f>
        <v>E</v>
      </c>
      <c r="C48" s="55">
        <f>[5]ITEMS_Comm!C66</f>
        <v>0</v>
      </c>
      <c r="D48" s="55">
        <f>[5]ITEMS_Comm!D66</f>
        <v>0</v>
      </c>
      <c r="E48" s="314">
        <f>[5]ITEMS_Comm!E66</f>
        <v>0</v>
      </c>
      <c r="F48" s="314">
        <f>[5]ITEMS_Comm!F66</f>
        <v>0</v>
      </c>
    </row>
    <row r="49" spans="1:6">
      <c r="A49" s="55" t="str">
        <f>[5]ITEMS_Comm!A67</f>
        <v>*</v>
      </c>
      <c r="B49" s="314" t="str">
        <f>[5]ITEMS_Comm!B67</f>
        <v>E</v>
      </c>
      <c r="C49" s="55">
        <f>[5]ITEMS_Comm!C67</f>
        <v>0</v>
      </c>
      <c r="D49" s="55">
        <f>[5]ITEMS_Comm!D67</f>
        <v>0</v>
      </c>
      <c r="E49" s="314">
        <f>[5]ITEMS_Comm!E67</f>
        <v>0</v>
      </c>
      <c r="F49" s="314">
        <f>[5]ITEMS_Comm!F67</f>
        <v>0</v>
      </c>
    </row>
    <row r="50" spans="1:6">
      <c r="A50" s="18" t="str">
        <f>[5]ITEMS_Comm!A68</f>
        <v>*</v>
      </c>
      <c r="B50" s="18" t="str">
        <f>[5]ITEMS_Comm!B68</f>
        <v>E</v>
      </c>
      <c r="C50" s="18">
        <f>[5]ITEMS_Comm!C68</f>
        <v>0</v>
      </c>
      <c r="D50" s="18">
        <f>[5]ITEMS_Comm!D68</f>
        <v>0</v>
      </c>
      <c r="E50" s="18">
        <f>[5]ITEMS_Comm!E68</f>
        <v>0</v>
      </c>
      <c r="F50" s="18">
        <f>[5]ITEMS_Comm!F68</f>
        <v>0</v>
      </c>
    </row>
    <row r="51" spans="1:6">
      <c r="A51" s="18" t="str">
        <f>[5]ITEMS_Comm!A69</f>
        <v>*</v>
      </c>
      <c r="B51" s="18" t="str">
        <f>[5]ITEMS_Comm!B69</f>
        <v>E</v>
      </c>
      <c r="C51" s="18">
        <f>[5]ITEMS_Comm!C69</f>
        <v>0</v>
      </c>
      <c r="D51" s="18">
        <f>[5]ITEMS_Comm!D69</f>
        <v>0</v>
      </c>
      <c r="E51" s="18">
        <f>[5]ITEMS_Comm!E69</f>
        <v>0</v>
      </c>
      <c r="F51" s="18">
        <f>[5]ITEMS_Comm!F69</f>
        <v>0</v>
      </c>
    </row>
  </sheetData>
  <pageMargins left="0.75" right="0.75" top="1" bottom="1" header="0.5" footer="0.5"/>
  <pageSetup paperSize="9" orientation="portrait"/>
  <headerFooter alignWithMargins="0"/>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BF7A5-2825-4CFC-839A-FEF9F43D8A0E}">
  <sheetPr codeName="Sheet11">
    <tabColor theme="9" tint="-0.249977111117893"/>
  </sheetPr>
  <dimension ref="A1:BB139"/>
  <sheetViews>
    <sheetView topLeftCell="H91" zoomScale="90" zoomScaleNormal="90" workbookViewId="0">
      <selection activeCell="AA112" sqref="AA112"/>
    </sheetView>
    <sheetView tabSelected="1" topLeftCell="A91" workbookViewId="1">
      <selection activeCell="C133" sqref="C133"/>
    </sheetView>
  </sheetViews>
  <sheetFormatPr defaultColWidth="9.140625" defaultRowHeight="15"/>
  <cols>
    <col min="1" max="1" width="8.85546875" style="313" bestFit="1" customWidth="1"/>
    <col min="2" max="2" width="35.42578125" style="313" bestFit="1" customWidth="1"/>
    <col min="3" max="3" width="48" style="313" bestFit="1" customWidth="1"/>
    <col min="4" max="4" width="11.42578125" style="313" bestFit="1" customWidth="1"/>
    <col min="5" max="6" width="6.42578125" style="313" bestFit="1" customWidth="1"/>
    <col min="7" max="8" width="8.42578125" style="313" bestFit="1" customWidth="1"/>
    <col min="9" max="9" width="17.140625" style="313" bestFit="1" customWidth="1"/>
    <col min="10" max="10" width="8.7109375" style="40" bestFit="1" customWidth="1"/>
    <col min="11" max="12" width="13.140625" style="313" hidden="1" customWidth="1"/>
    <col min="13" max="13" width="13.28515625" style="313" customWidth="1"/>
    <col min="14" max="15" width="13.140625" style="313" customWidth="1"/>
    <col min="16" max="16" width="12.140625" style="313" customWidth="1"/>
    <col min="17" max="17" width="13.140625" style="313" customWidth="1"/>
    <col min="18" max="18" width="13.140625" style="313" bestFit="1" customWidth="1"/>
    <col min="19" max="20" width="13.140625" style="313" customWidth="1"/>
    <col min="21" max="22" width="13" style="313" customWidth="1"/>
    <col min="23" max="23" width="13" style="313" bestFit="1" customWidth="1"/>
    <col min="24" max="27" width="13" style="313" customWidth="1"/>
    <col min="28" max="28" width="8.42578125" style="313" bestFit="1" customWidth="1"/>
    <col min="29" max="32" width="8.42578125" style="313" customWidth="1"/>
    <col min="33" max="33" width="8.42578125" style="313" bestFit="1" customWidth="1"/>
    <col min="34" max="37" width="8.42578125" style="313" customWidth="1"/>
    <col min="38" max="40" width="8.42578125" style="313" bestFit="1" customWidth="1"/>
    <col min="41" max="42" width="8.42578125" style="313" hidden="1" customWidth="1"/>
    <col min="43" max="48" width="6.42578125" style="313" customWidth="1"/>
    <col min="49" max="53" width="9.140625" style="313"/>
    <col min="54" max="54" width="10.42578125" style="313" bestFit="1" customWidth="1"/>
    <col min="55" max="16384" width="9.140625" style="313"/>
  </cols>
  <sheetData>
    <row r="1" spans="1:54">
      <c r="A1" s="313" t="str">
        <f>IF(RES,"TS DATA","")</f>
        <v>TS DATA</v>
      </c>
      <c r="B1" s="313" t="s">
        <v>17</v>
      </c>
      <c r="J1" s="39"/>
    </row>
    <row r="2" spans="1:54" ht="15.75" thickBot="1">
      <c r="A2" s="313" t="s">
        <v>16</v>
      </c>
      <c r="B2" s="349" t="s">
        <v>197</v>
      </c>
      <c r="C2" s="349"/>
      <c r="I2" s="121"/>
      <c r="J2" s="313"/>
      <c r="BB2" s="313" t="s">
        <v>295</v>
      </c>
    </row>
    <row r="3" spans="1:54" ht="15.75" thickBot="1">
      <c r="A3" s="313" t="s">
        <v>16</v>
      </c>
      <c r="C3" s="312"/>
      <c r="D3" s="312"/>
      <c r="E3" s="14"/>
      <c r="F3" s="14"/>
      <c r="G3" s="14"/>
      <c r="H3" s="14"/>
      <c r="I3" s="147"/>
      <c r="J3" s="313">
        <v>2012</v>
      </c>
      <c r="K3" s="313">
        <v>2013</v>
      </c>
      <c r="L3" s="313">
        <v>2014</v>
      </c>
      <c r="M3" s="313">
        <v>2015</v>
      </c>
      <c r="N3" s="313">
        <v>2016</v>
      </c>
      <c r="O3" s="313">
        <v>2017</v>
      </c>
      <c r="P3" s="313">
        <v>2018</v>
      </c>
      <c r="Q3" s="313">
        <v>2019</v>
      </c>
      <c r="R3" s="313">
        <v>2020</v>
      </c>
      <c r="S3" s="313">
        <v>2021</v>
      </c>
      <c r="T3" s="313">
        <v>2022</v>
      </c>
      <c r="U3" s="313">
        <v>2023</v>
      </c>
      <c r="V3" s="313">
        <v>2024</v>
      </c>
      <c r="W3" s="313">
        <v>2025</v>
      </c>
      <c r="X3" s="313">
        <v>2026</v>
      </c>
      <c r="Y3" s="313">
        <v>2027</v>
      </c>
      <c r="Z3" s="313">
        <v>2028</v>
      </c>
      <c r="AA3" s="313">
        <v>2029</v>
      </c>
      <c r="AB3" s="313">
        <v>2030</v>
      </c>
      <c r="AC3" s="313">
        <v>2031</v>
      </c>
      <c r="AD3" s="313">
        <v>2032</v>
      </c>
      <c r="AE3" s="313">
        <v>2033</v>
      </c>
      <c r="AF3" s="313">
        <v>2034</v>
      </c>
      <c r="AG3" s="313">
        <v>2035</v>
      </c>
      <c r="AH3" s="313">
        <v>2036</v>
      </c>
      <c r="AI3" s="313">
        <v>2037</v>
      </c>
      <c r="AJ3" s="313">
        <v>2038</v>
      </c>
      <c r="AK3" s="313">
        <v>2039</v>
      </c>
      <c r="AL3" s="313">
        <v>2040</v>
      </c>
      <c r="AM3" s="313">
        <v>2045</v>
      </c>
      <c r="AN3" s="313">
        <v>2050</v>
      </c>
      <c r="AO3" s="313">
        <v>2060</v>
      </c>
      <c r="AP3" s="313">
        <v>2070</v>
      </c>
    </row>
    <row r="4" spans="1:54">
      <c r="A4" s="313" t="s">
        <v>16</v>
      </c>
      <c r="C4" s="313" t="s">
        <v>392</v>
      </c>
      <c r="D4" s="313">
        <v>1</v>
      </c>
      <c r="E4" s="313">
        <v>2012</v>
      </c>
      <c r="F4" s="313">
        <v>2020</v>
      </c>
      <c r="G4" s="313">
        <v>2030</v>
      </c>
      <c r="H4" s="313">
        <v>2040</v>
      </c>
      <c r="I4" s="121">
        <v>2050</v>
      </c>
      <c r="J4" s="313">
        <f t="shared" ref="J4:S5" si="0">MATCH(J$3,$E$4:$I$4,$D4)</f>
        <v>1</v>
      </c>
      <c r="K4" s="313">
        <f t="shared" si="0"/>
        <v>1</v>
      </c>
      <c r="L4" s="313">
        <f t="shared" si="0"/>
        <v>1</v>
      </c>
      <c r="M4" s="313">
        <f t="shared" si="0"/>
        <v>1</v>
      </c>
      <c r="N4" s="313">
        <f t="shared" si="0"/>
        <v>1</v>
      </c>
      <c r="O4" s="313">
        <f t="shared" si="0"/>
        <v>1</v>
      </c>
      <c r="P4" s="313">
        <f t="shared" si="0"/>
        <v>1</v>
      </c>
      <c r="Q4" s="313">
        <f t="shared" si="0"/>
        <v>1</v>
      </c>
      <c r="R4" s="313">
        <f t="shared" si="0"/>
        <v>2</v>
      </c>
      <c r="S4" s="313">
        <f t="shared" si="0"/>
        <v>2</v>
      </c>
      <c r="T4" s="313">
        <f t="shared" ref="T4:AC5" si="1">MATCH(T$3,$E$4:$I$4,$D4)</f>
        <v>2</v>
      </c>
      <c r="U4" s="313">
        <f t="shared" si="1"/>
        <v>2</v>
      </c>
      <c r="V4" s="313">
        <f t="shared" si="1"/>
        <v>2</v>
      </c>
      <c r="W4" s="313">
        <f t="shared" si="1"/>
        <v>2</v>
      </c>
      <c r="X4" s="313">
        <f t="shared" si="1"/>
        <v>2</v>
      </c>
      <c r="Y4" s="313">
        <f t="shared" si="1"/>
        <v>2</v>
      </c>
      <c r="Z4" s="313">
        <f t="shared" si="1"/>
        <v>2</v>
      </c>
      <c r="AA4" s="313">
        <f t="shared" si="1"/>
        <v>2</v>
      </c>
      <c r="AB4" s="313">
        <f t="shared" si="1"/>
        <v>3</v>
      </c>
      <c r="AC4" s="313">
        <f t="shared" si="1"/>
        <v>3</v>
      </c>
      <c r="AD4" s="313">
        <f t="shared" ref="AD4:AP5" si="2">MATCH(AD$3,$E$4:$I$4,$D4)</f>
        <v>3</v>
      </c>
      <c r="AE4" s="313">
        <f t="shared" si="2"/>
        <v>3</v>
      </c>
      <c r="AF4" s="313">
        <f t="shared" si="2"/>
        <v>3</v>
      </c>
      <c r="AG4" s="313">
        <f t="shared" si="2"/>
        <v>3</v>
      </c>
      <c r="AH4" s="313">
        <f t="shared" si="2"/>
        <v>3</v>
      </c>
      <c r="AI4" s="313">
        <f t="shared" si="2"/>
        <v>3</v>
      </c>
      <c r="AJ4" s="313">
        <f t="shared" si="2"/>
        <v>3</v>
      </c>
      <c r="AK4" s="313">
        <f t="shared" si="2"/>
        <v>3</v>
      </c>
      <c r="AL4" s="313">
        <f t="shared" si="2"/>
        <v>4</v>
      </c>
      <c r="AM4" s="313">
        <f t="shared" si="2"/>
        <v>4</v>
      </c>
      <c r="AN4" s="313">
        <f t="shared" si="2"/>
        <v>5</v>
      </c>
      <c r="AO4" s="313">
        <f t="shared" si="2"/>
        <v>5</v>
      </c>
      <c r="AP4" s="313">
        <f t="shared" si="2"/>
        <v>5</v>
      </c>
    </row>
    <row r="5" spans="1:54">
      <c r="A5" s="313" t="s">
        <v>16</v>
      </c>
      <c r="C5" s="313" t="s">
        <v>393</v>
      </c>
      <c r="D5" s="313">
        <v>0</v>
      </c>
      <c r="E5" s="313" cm="1">
        <f t="array" ref="E5">INDEX($E4:$I4,0,COUNT($E4:$I4)-E6)</f>
        <v>2050</v>
      </c>
      <c r="F5" s="313" cm="1">
        <f t="array" ref="F5">INDEX($E4:$I4,0,COUNT($E4:$I4)-F6)</f>
        <v>2040</v>
      </c>
      <c r="G5" s="313" cm="1">
        <f t="array" ref="G5">INDEX($E4:$I4,0,COUNT($E4:$I4)-G6)</f>
        <v>2030</v>
      </c>
      <c r="H5" s="313" cm="1">
        <f t="array" ref="H5">INDEX($E4:$I4,0,COUNT($E4:$I4)-H6)</f>
        <v>2020</v>
      </c>
      <c r="I5" s="121" cm="1">
        <f t="array" ref="I5">INDEX($E4:$I4,0,COUNT($E4:$I4)-I6)</f>
        <v>2012</v>
      </c>
      <c r="J5" s="313">
        <f t="shared" si="0"/>
        <v>1</v>
      </c>
      <c r="K5" s="313" t="e">
        <f t="shared" si="0"/>
        <v>#N/A</v>
      </c>
      <c r="L5" s="313" t="e">
        <f t="shared" si="0"/>
        <v>#N/A</v>
      </c>
      <c r="M5" s="313" t="e">
        <f t="shared" si="0"/>
        <v>#N/A</v>
      </c>
      <c r="N5" s="313" t="e">
        <f t="shared" si="0"/>
        <v>#N/A</v>
      </c>
      <c r="O5" s="313" t="e">
        <f t="shared" si="0"/>
        <v>#N/A</v>
      </c>
      <c r="P5" s="313" t="e">
        <f t="shared" si="0"/>
        <v>#N/A</v>
      </c>
      <c r="Q5" s="313" t="e">
        <f t="shared" si="0"/>
        <v>#N/A</v>
      </c>
      <c r="R5" s="313">
        <f t="shared" si="0"/>
        <v>2</v>
      </c>
      <c r="S5" s="313" t="e">
        <f t="shared" si="0"/>
        <v>#N/A</v>
      </c>
      <c r="T5" s="313" t="e">
        <f t="shared" si="1"/>
        <v>#N/A</v>
      </c>
      <c r="U5" s="313" t="e">
        <f t="shared" si="1"/>
        <v>#N/A</v>
      </c>
      <c r="V5" s="313" t="e">
        <f t="shared" si="1"/>
        <v>#N/A</v>
      </c>
      <c r="W5" s="313" t="e">
        <f t="shared" si="1"/>
        <v>#N/A</v>
      </c>
      <c r="X5" s="313" t="e">
        <f t="shared" si="1"/>
        <v>#N/A</v>
      </c>
      <c r="Y5" s="313" t="e">
        <f t="shared" si="1"/>
        <v>#N/A</v>
      </c>
      <c r="Z5" s="313" t="e">
        <f t="shared" si="1"/>
        <v>#N/A</v>
      </c>
      <c r="AA5" s="313" t="e">
        <f t="shared" si="1"/>
        <v>#N/A</v>
      </c>
      <c r="AB5" s="313">
        <f t="shared" si="1"/>
        <v>3</v>
      </c>
      <c r="AC5" s="313" t="e">
        <f t="shared" si="1"/>
        <v>#N/A</v>
      </c>
      <c r="AD5" s="313" t="e">
        <f t="shared" si="2"/>
        <v>#N/A</v>
      </c>
      <c r="AE5" s="313" t="e">
        <f t="shared" si="2"/>
        <v>#N/A</v>
      </c>
      <c r="AF5" s="313" t="e">
        <f t="shared" si="2"/>
        <v>#N/A</v>
      </c>
      <c r="AG5" s="313" t="e">
        <f t="shared" si="2"/>
        <v>#N/A</v>
      </c>
      <c r="AH5" s="313" t="e">
        <f t="shared" si="2"/>
        <v>#N/A</v>
      </c>
      <c r="AI5" s="313" t="e">
        <f t="shared" si="2"/>
        <v>#N/A</v>
      </c>
      <c r="AJ5" s="313" t="e">
        <f t="shared" si="2"/>
        <v>#N/A</v>
      </c>
      <c r="AK5" s="313" t="e">
        <f t="shared" si="2"/>
        <v>#N/A</v>
      </c>
      <c r="AL5" s="313">
        <f t="shared" si="2"/>
        <v>4</v>
      </c>
      <c r="AM5" s="313" t="e">
        <f t="shared" si="2"/>
        <v>#N/A</v>
      </c>
      <c r="AN5" s="313">
        <f t="shared" si="2"/>
        <v>5</v>
      </c>
      <c r="AO5" s="313" t="e">
        <f t="shared" si="2"/>
        <v>#N/A</v>
      </c>
      <c r="AP5" s="313" t="e">
        <f t="shared" si="2"/>
        <v>#N/A</v>
      </c>
    </row>
    <row r="6" spans="1:54">
      <c r="A6" s="313" t="s">
        <v>16</v>
      </c>
      <c r="C6" s="313" t="s">
        <v>391</v>
      </c>
      <c r="D6" s="313">
        <v>-1</v>
      </c>
      <c r="E6" s="313">
        <v>0</v>
      </c>
      <c r="F6" s="313">
        <v>1</v>
      </c>
      <c r="G6" s="313">
        <v>2</v>
      </c>
      <c r="H6" s="313">
        <v>3</v>
      </c>
      <c r="I6" s="121">
        <v>4</v>
      </c>
      <c r="J6" s="313">
        <f t="shared" ref="J6:AP6" si="3">MATCH(J$3,$E$5:$I$5,$D6)</f>
        <v>5</v>
      </c>
      <c r="K6" s="313">
        <f t="shared" si="3"/>
        <v>4</v>
      </c>
      <c r="L6" s="313">
        <f t="shared" si="3"/>
        <v>4</v>
      </c>
      <c r="M6" s="313">
        <f t="shared" si="3"/>
        <v>4</v>
      </c>
      <c r="N6" s="313">
        <f t="shared" si="3"/>
        <v>4</v>
      </c>
      <c r="O6" s="313">
        <f t="shared" si="3"/>
        <v>4</v>
      </c>
      <c r="P6" s="313">
        <f t="shared" si="3"/>
        <v>4</v>
      </c>
      <c r="Q6" s="313">
        <f t="shared" si="3"/>
        <v>4</v>
      </c>
      <c r="R6" s="313">
        <f t="shared" si="3"/>
        <v>4</v>
      </c>
      <c r="S6" s="313">
        <f t="shared" si="3"/>
        <v>3</v>
      </c>
      <c r="T6" s="313">
        <f t="shared" si="3"/>
        <v>3</v>
      </c>
      <c r="U6" s="313">
        <f t="shared" si="3"/>
        <v>3</v>
      </c>
      <c r="V6" s="313">
        <f t="shared" si="3"/>
        <v>3</v>
      </c>
      <c r="W6" s="313">
        <f t="shared" si="3"/>
        <v>3</v>
      </c>
      <c r="X6" s="313">
        <f t="shared" si="3"/>
        <v>3</v>
      </c>
      <c r="Y6" s="313">
        <f t="shared" si="3"/>
        <v>3</v>
      </c>
      <c r="Z6" s="313">
        <f t="shared" si="3"/>
        <v>3</v>
      </c>
      <c r="AA6" s="313">
        <f t="shared" si="3"/>
        <v>3</v>
      </c>
      <c r="AB6" s="313">
        <f t="shared" si="3"/>
        <v>3</v>
      </c>
      <c r="AC6" s="313">
        <f t="shared" si="3"/>
        <v>2</v>
      </c>
      <c r="AD6" s="313">
        <f t="shared" si="3"/>
        <v>2</v>
      </c>
      <c r="AE6" s="313">
        <f t="shared" si="3"/>
        <v>2</v>
      </c>
      <c r="AF6" s="313">
        <f t="shared" si="3"/>
        <v>2</v>
      </c>
      <c r="AG6" s="313">
        <f t="shared" si="3"/>
        <v>2</v>
      </c>
      <c r="AH6" s="313">
        <f t="shared" si="3"/>
        <v>2</v>
      </c>
      <c r="AI6" s="313">
        <f t="shared" si="3"/>
        <v>2</v>
      </c>
      <c r="AJ6" s="313">
        <f t="shared" si="3"/>
        <v>2</v>
      </c>
      <c r="AK6" s="313">
        <f t="shared" si="3"/>
        <v>2</v>
      </c>
      <c r="AL6" s="313">
        <f t="shared" si="3"/>
        <v>2</v>
      </c>
      <c r="AM6" s="313">
        <f t="shared" si="3"/>
        <v>1</v>
      </c>
      <c r="AN6" s="313">
        <f t="shared" si="3"/>
        <v>1</v>
      </c>
      <c r="AO6" s="313" t="e">
        <f t="shared" si="3"/>
        <v>#N/A</v>
      </c>
      <c r="AP6" s="313" t="e">
        <f t="shared" si="3"/>
        <v>#N/A</v>
      </c>
    </row>
    <row r="7" spans="1:54">
      <c r="A7" s="313" t="s">
        <v>16</v>
      </c>
      <c r="C7" s="313" t="s">
        <v>394</v>
      </c>
      <c r="I7" s="121"/>
      <c r="J7" s="5">
        <f t="shared" ref="J7:AP7" si="4">IF(ISNA(J4),-1,IF(ISNA(J6),99,IF(ISNA(J5),J4,0)))</f>
        <v>0</v>
      </c>
      <c r="K7" s="5">
        <f t="shared" si="4"/>
        <v>1</v>
      </c>
      <c r="L7" s="5">
        <f t="shared" si="4"/>
        <v>1</v>
      </c>
      <c r="M7" s="5">
        <f t="shared" si="4"/>
        <v>1</v>
      </c>
      <c r="N7" s="5">
        <f t="shared" si="4"/>
        <v>1</v>
      </c>
      <c r="O7" s="5">
        <f t="shared" si="4"/>
        <v>1</v>
      </c>
      <c r="P7" s="5">
        <f t="shared" si="4"/>
        <v>1</v>
      </c>
      <c r="Q7" s="5">
        <f t="shared" si="4"/>
        <v>1</v>
      </c>
      <c r="R7" s="5">
        <f t="shared" si="4"/>
        <v>0</v>
      </c>
      <c r="S7" s="5">
        <f t="shared" si="4"/>
        <v>2</v>
      </c>
      <c r="T7" s="5">
        <f t="shared" si="4"/>
        <v>2</v>
      </c>
      <c r="U7" s="5">
        <f t="shared" si="4"/>
        <v>2</v>
      </c>
      <c r="V7" s="5">
        <f t="shared" si="4"/>
        <v>2</v>
      </c>
      <c r="W7" s="5">
        <f t="shared" si="4"/>
        <v>2</v>
      </c>
      <c r="X7" s="5">
        <f t="shared" si="4"/>
        <v>2</v>
      </c>
      <c r="Y7" s="5">
        <f t="shared" si="4"/>
        <v>2</v>
      </c>
      <c r="Z7" s="5">
        <f t="shared" si="4"/>
        <v>2</v>
      </c>
      <c r="AA7" s="5">
        <f t="shared" si="4"/>
        <v>2</v>
      </c>
      <c r="AB7" s="5">
        <f t="shared" si="4"/>
        <v>0</v>
      </c>
      <c r="AC7" s="5">
        <f t="shared" si="4"/>
        <v>3</v>
      </c>
      <c r="AD7" s="5">
        <f t="shared" si="4"/>
        <v>3</v>
      </c>
      <c r="AE7" s="5">
        <f t="shared" si="4"/>
        <v>3</v>
      </c>
      <c r="AF7" s="5">
        <f t="shared" si="4"/>
        <v>3</v>
      </c>
      <c r="AG7" s="5">
        <f t="shared" si="4"/>
        <v>3</v>
      </c>
      <c r="AH7" s="5">
        <f t="shared" si="4"/>
        <v>3</v>
      </c>
      <c r="AI7" s="5">
        <f t="shared" si="4"/>
        <v>3</v>
      </c>
      <c r="AJ7" s="5">
        <f t="shared" si="4"/>
        <v>3</v>
      </c>
      <c r="AK7" s="5">
        <f t="shared" si="4"/>
        <v>3</v>
      </c>
      <c r="AL7" s="5">
        <f t="shared" si="4"/>
        <v>0</v>
      </c>
      <c r="AM7" s="5">
        <f t="shared" si="4"/>
        <v>4</v>
      </c>
      <c r="AN7" s="5">
        <f t="shared" si="4"/>
        <v>0</v>
      </c>
      <c r="AO7" s="5">
        <f t="shared" si="4"/>
        <v>99</v>
      </c>
      <c r="AP7" s="5">
        <f t="shared" si="4"/>
        <v>99</v>
      </c>
      <c r="AQ7" s="5"/>
      <c r="AR7" s="5"/>
      <c r="AS7" s="5"/>
      <c r="AT7" s="5"/>
      <c r="AU7" s="5"/>
      <c r="AV7" s="5"/>
    </row>
    <row r="8" spans="1:54" ht="15.75" thickBot="1">
      <c r="A8" s="313" t="s">
        <v>16</v>
      </c>
      <c r="B8" s="312"/>
      <c r="C8" s="312" t="s">
        <v>44</v>
      </c>
      <c r="D8" s="312"/>
      <c r="I8" s="121"/>
      <c r="J8" s="313"/>
    </row>
    <row r="9" spans="1:54">
      <c r="A9" s="313" t="s">
        <v>16</v>
      </c>
      <c r="C9" s="313" t="s">
        <v>41</v>
      </c>
      <c r="D9" s="313" t="s">
        <v>47</v>
      </c>
      <c r="J9" s="41"/>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5"/>
      <c r="AP9" s="145"/>
      <c r="AQ9" s="145"/>
      <c r="AR9" s="145"/>
      <c r="AS9" s="145"/>
      <c r="AT9" s="145"/>
      <c r="AU9" s="145"/>
      <c r="AV9" s="145"/>
    </row>
    <row r="10" spans="1:54">
      <c r="A10" s="313" t="s">
        <v>16</v>
      </c>
      <c r="C10" s="313" t="s">
        <v>42</v>
      </c>
      <c r="D10" s="313" t="s">
        <v>47</v>
      </c>
    </row>
    <row r="11" spans="1:54">
      <c r="A11" s="313" t="s">
        <v>16</v>
      </c>
      <c r="C11" s="313" t="s">
        <v>43</v>
      </c>
      <c r="D11" s="313" t="s">
        <v>47</v>
      </c>
    </row>
    <row r="12" spans="1:54">
      <c r="A12" s="313" t="s">
        <v>16</v>
      </c>
    </row>
    <row r="13" spans="1:54" ht="18" thickBot="1">
      <c r="A13" s="313" t="s">
        <v>16</v>
      </c>
      <c r="B13" s="228"/>
      <c r="C13" s="37" t="s">
        <v>40</v>
      </c>
    </row>
    <row r="14" spans="1:54" ht="16.5" thickTop="1" thickBot="1">
      <c r="A14" s="313" t="s">
        <v>16</v>
      </c>
      <c r="C14" s="312" t="s">
        <v>46</v>
      </c>
      <c r="D14" s="313" t="s">
        <v>47</v>
      </c>
      <c r="V14" s="32"/>
      <c r="W14" s="32"/>
      <c r="X14" s="32"/>
      <c r="Y14" s="32"/>
      <c r="Z14" s="32"/>
      <c r="AA14" s="32"/>
      <c r="AB14" s="32"/>
      <c r="AC14" s="32"/>
      <c r="AD14" s="32"/>
      <c r="AE14" s="32"/>
      <c r="AF14" s="32"/>
      <c r="AG14" s="32"/>
      <c r="AH14" s="32"/>
      <c r="AI14" s="32"/>
      <c r="AJ14" s="32"/>
      <c r="AK14" s="32"/>
      <c r="AL14" s="32"/>
      <c r="AM14" s="32"/>
      <c r="AN14" s="32"/>
      <c r="AO14" s="32"/>
      <c r="AP14" s="32"/>
      <c r="AQ14" s="32"/>
      <c r="AR14" s="32"/>
      <c r="AS14" s="32"/>
      <c r="AT14" s="32"/>
      <c r="AU14" s="32"/>
      <c r="AV14" s="32"/>
    </row>
    <row r="15" spans="1:54">
      <c r="A15" s="313" t="s">
        <v>16</v>
      </c>
    </row>
    <row r="16" spans="1:54" ht="15.75" thickBot="1">
      <c r="A16" s="313" t="s">
        <v>16</v>
      </c>
      <c r="C16" s="312" t="s">
        <v>57</v>
      </c>
      <c r="D16" s="312"/>
    </row>
    <row r="17" spans="1:48">
      <c r="A17" s="313" t="s">
        <v>16</v>
      </c>
      <c r="C17" s="313" t="s">
        <v>49</v>
      </c>
      <c r="D17" s="313" t="s">
        <v>48</v>
      </c>
      <c r="E17" s="313">
        <f>E22/$E$25</f>
        <v>0.5</v>
      </c>
      <c r="F17" s="313">
        <f>F22/$F$25</f>
        <v>0.4628467746603161</v>
      </c>
      <c r="K17" s="190">
        <f t="shared" ref="K17:AP17" si="5">K22/K$25</f>
        <v>0.49195171026156959</v>
      </c>
      <c r="L17" s="190">
        <f t="shared" si="5"/>
        <v>0.47874493927125505</v>
      </c>
      <c r="M17" s="190">
        <f t="shared" si="5"/>
        <v>0.46897253306205489</v>
      </c>
      <c r="N17" s="190">
        <f t="shared" si="5"/>
        <v>0.46311475409836061</v>
      </c>
      <c r="O17" s="190">
        <f t="shared" si="5"/>
        <v>0.4556701030927835</v>
      </c>
      <c r="P17" s="190">
        <f t="shared" si="5"/>
        <v>0.44755970924195232</v>
      </c>
      <c r="Q17" s="190">
        <f t="shared" si="5"/>
        <v>0.44456066945606693</v>
      </c>
      <c r="R17" s="190">
        <f t="shared" si="5"/>
        <v>0.4628467746603161</v>
      </c>
      <c r="S17" s="190">
        <f t="shared" si="5"/>
        <v>0.48732388801995502</v>
      </c>
      <c r="T17" s="190">
        <f t="shared" si="5"/>
        <v>0.48063367836757465</v>
      </c>
      <c r="U17" s="190">
        <f t="shared" si="5"/>
        <v>0.47320376831348165</v>
      </c>
      <c r="V17" s="190">
        <f t="shared" si="5"/>
        <v>0.4647094218926594</v>
      </c>
      <c r="W17" s="190">
        <f t="shared" si="5"/>
        <v>0.45639566756578942</v>
      </c>
      <c r="X17" s="190">
        <f t="shared" si="5"/>
        <v>0.44741743784093702</v>
      </c>
      <c r="Y17" s="190">
        <f t="shared" si="5"/>
        <v>0.43764884606310167</v>
      </c>
      <c r="Z17" s="190">
        <f t="shared" si="5"/>
        <v>0.42813380891281827</v>
      </c>
      <c r="AA17" s="190">
        <f t="shared" si="5"/>
        <v>0.41943651815446503</v>
      </c>
      <c r="AB17" s="190">
        <f t="shared" si="5"/>
        <v>0.41289903844098291</v>
      </c>
      <c r="AC17" s="190">
        <f t="shared" si="5"/>
        <v>0.40596732726088502</v>
      </c>
      <c r="AD17" s="190">
        <f t="shared" si="5"/>
        <v>0.39782586559738259</v>
      </c>
      <c r="AE17" s="190">
        <f t="shared" si="5"/>
        <v>0.38999699038281199</v>
      </c>
      <c r="AF17" s="190">
        <f t="shared" si="5"/>
        <v>0.3828699303563719</v>
      </c>
      <c r="AG17" s="190">
        <f t="shared" si="5"/>
        <v>0.37624658203570716</v>
      </c>
      <c r="AH17" s="190">
        <f t="shared" si="5"/>
        <v>0.36912238822521776</v>
      </c>
      <c r="AI17" s="190">
        <f t="shared" si="5"/>
        <v>0.3616518341342233</v>
      </c>
      <c r="AJ17" s="190">
        <f t="shared" si="5"/>
        <v>0.35463803799792404</v>
      </c>
      <c r="AK17" s="190">
        <f t="shared" si="5"/>
        <v>0.34790483762948882</v>
      </c>
      <c r="AL17" s="190">
        <f t="shared" si="5"/>
        <v>0.34110512401710891</v>
      </c>
      <c r="AM17" s="190">
        <f t="shared" si="5"/>
        <v>0.30512943232536383</v>
      </c>
      <c r="AN17" s="190">
        <f t="shared" si="5"/>
        <v>0.27425428773559168</v>
      </c>
      <c r="AO17" s="190">
        <f t="shared" si="5"/>
        <v>0.27425428773559168</v>
      </c>
      <c r="AP17" s="190">
        <f t="shared" si="5"/>
        <v>0.27425428773559168</v>
      </c>
      <c r="AQ17" s="190"/>
      <c r="AR17" s="190"/>
      <c r="AS17" s="190"/>
      <c r="AT17" s="190"/>
      <c r="AU17" s="190"/>
      <c r="AV17" s="190"/>
    </row>
    <row r="18" spans="1:48">
      <c r="A18" s="313" t="s">
        <v>16</v>
      </c>
      <c r="C18" s="313" t="s">
        <v>51</v>
      </c>
      <c r="D18" s="313" t="s">
        <v>48</v>
      </c>
      <c r="E18" s="313">
        <f>E23/$E$25</f>
        <v>0.3</v>
      </c>
      <c r="F18" s="313">
        <f>F23/$F$25</f>
        <v>0.33106401243064276</v>
      </c>
      <c r="K18" s="190">
        <f t="shared" ref="K18:AP18" si="6">K23/K$25</f>
        <v>0.29577464788732399</v>
      </c>
      <c r="L18" s="190">
        <f t="shared" si="6"/>
        <v>0.30060728744939269</v>
      </c>
      <c r="M18" s="190">
        <f t="shared" si="6"/>
        <v>0.30417090539165814</v>
      </c>
      <c r="N18" s="190">
        <f t="shared" si="6"/>
        <v>0.30737704918032788</v>
      </c>
      <c r="O18" s="190">
        <f t="shared" si="6"/>
        <v>0.30824742268041239</v>
      </c>
      <c r="P18" s="190">
        <f t="shared" si="6"/>
        <v>0.31152647975077885</v>
      </c>
      <c r="Q18" s="190">
        <f t="shared" si="6"/>
        <v>0.31485355648535562</v>
      </c>
      <c r="R18" s="190">
        <f t="shared" si="6"/>
        <v>0.33106401243064276</v>
      </c>
      <c r="S18" s="190">
        <f t="shared" si="6"/>
        <v>0.30740703070262287</v>
      </c>
      <c r="T18" s="190">
        <f t="shared" si="6"/>
        <v>0.30933350014750371</v>
      </c>
      <c r="U18" s="190">
        <f t="shared" si="6"/>
        <v>0.31099732263246049</v>
      </c>
      <c r="V18" s="190">
        <f t="shared" si="6"/>
        <v>0.31303598244965641</v>
      </c>
      <c r="W18" s="190">
        <f t="shared" si="6"/>
        <v>0.31545143573751705</v>
      </c>
      <c r="X18" s="190">
        <f t="shared" si="6"/>
        <v>0.31699370755480732</v>
      </c>
      <c r="Y18" s="190">
        <f t="shared" si="6"/>
        <v>0.31948164193454032</v>
      </c>
      <c r="Z18" s="190">
        <f t="shared" si="6"/>
        <v>0.32188920702949758</v>
      </c>
      <c r="AA18" s="190">
        <f t="shared" si="6"/>
        <v>0.3243632284405325</v>
      </c>
      <c r="AB18" s="190">
        <f t="shared" si="6"/>
        <v>0.32718887480934794</v>
      </c>
      <c r="AC18" s="190">
        <f t="shared" si="6"/>
        <v>0.32798593914974794</v>
      </c>
      <c r="AD18" s="190">
        <f t="shared" si="6"/>
        <v>0.33026619146267722</v>
      </c>
      <c r="AE18" s="190">
        <f t="shared" si="6"/>
        <v>0.33226453399280276</v>
      </c>
      <c r="AF18" s="190">
        <f t="shared" si="6"/>
        <v>0.3344865767077726</v>
      </c>
      <c r="AG18" s="190">
        <f t="shared" si="6"/>
        <v>0.33633953136315353</v>
      </c>
      <c r="AH18" s="190">
        <f t="shared" si="6"/>
        <v>0.33782105411099439</v>
      </c>
      <c r="AI18" s="190">
        <f t="shared" si="6"/>
        <v>0.33970143617821708</v>
      </c>
      <c r="AJ18" s="190">
        <f t="shared" si="6"/>
        <v>0.34164041107728643</v>
      </c>
      <c r="AK18" s="190">
        <f t="shared" si="6"/>
        <v>0.34333426698414604</v>
      </c>
      <c r="AL18" s="190">
        <f t="shared" si="6"/>
        <v>0.34493306571680671</v>
      </c>
      <c r="AM18" s="190">
        <f t="shared" si="6"/>
        <v>0.35286453118063577</v>
      </c>
      <c r="AN18" s="190">
        <f t="shared" si="6"/>
        <v>0.35992957639801931</v>
      </c>
      <c r="AO18" s="190">
        <f t="shared" si="6"/>
        <v>0.35992957639801931</v>
      </c>
      <c r="AP18" s="190">
        <f t="shared" si="6"/>
        <v>0.35992957639801931</v>
      </c>
      <c r="AQ18" s="190"/>
      <c r="AR18" s="190"/>
      <c r="AS18" s="190"/>
      <c r="AT18" s="190"/>
      <c r="AU18" s="190"/>
      <c r="AV18" s="190"/>
    </row>
    <row r="19" spans="1:48">
      <c r="A19" s="313" t="s">
        <v>16</v>
      </c>
      <c r="C19" s="313" t="s">
        <v>50</v>
      </c>
      <c r="D19" s="313" t="s">
        <v>48</v>
      </c>
      <c r="E19" s="313">
        <f>E24/$E$25</f>
        <v>0.19999999999999996</v>
      </c>
      <c r="F19" s="313">
        <f>F24/$F$25</f>
        <v>0.20608921290904106</v>
      </c>
      <c r="K19" s="190">
        <f t="shared" ref="K19:AP19" si="7">K24/K$25</f>
        <v>0.21227364185110653</v>
      </c>
      <c r="L19" s="190">
        <f t="shared" si="7"/>
        <v>0.22064777327935226</v>
      </c>
      <c r="M19" s="190">
        <f t="shared" si="7"/>
        <v>0.22685656154628689</v>
      </c>
      <c r="N19" s="190">
        <f t="shared" si="7"/>
        <v>0.22950819672131148</v>
      </c>
      <c r="O19" s="190">
        <f t="shared" si="7"/>
        <v>0.23608247422680412</v>
      </c>
      <c r="P19" s="190">
        <f t="shared" si="7"/>
        <v>0.24091381100726891</v>
      </c>
      <c r="Q19" s="190">
        <f t="shared" si="7"/>
        <v>0.24058577405857745</v>
      </c>
      <c r="R19" s="190">
        <f t="shared" si="7"/>
        <v>0.20608921290904106</v>
      </c>
      <c r="S19" s="190">
        <f t="shared" si="7"/>
        <v>0.20526908127742213</v>
      </c>
      <c r="T19" s="190">
        <f t="shared" si="7"/>
        <v>0.21003282148492156</v>
      </c>
      <c r="U19" s="190">
        <f t="shared" si="7"/>
        <v>0.21579890905405788</v>
      </c>
      <c r="V19" s="190">
        <f t="shared" si="7"/>
        <v>0.2222545956576841</v>
      </c>
      <c r="W19" s="190">
        <f t="shared" si="7"/>
        <v>0.22815289669669347</v>
      </c>
      <c r="X19" s="190">
        <f t="shared" si="7"/>
        <v>0.23558885460425563</v>
      </c>
      <c r="Y19" s="190">
        <f t="shared" si="7"/>
        <v>0.24286951200235812</v>
      </c>
      <c r="Z19" s="190">
        <f t="shared" si="7"/>
        <v>0.24997698405768437</v>
      </c>
      <c r="AA19" s="190">
        <f t="shared" si="7"/>
        <v>0.25620025340500246</v>
      </c>
      <c r="AB19" s="190">
        <f t="shared" si="7"/>
        <v>0.25991208674966915</v>
      </c>
      <c r="AC19" s="190">
        <f t="shared" si="7"/>
        <v>0.26604673358936692</v>
      </c>
      <c r="AD19" s="190">
        <f t="shared" si="7"/>
        <v>0.27190794293994031</v>
      </c>
      <c r="AE19" s="190">
        <f t="shared" si="7"/>
        <v>0.27773847562438531</v>
      </c>
      <c r="AF19" s="190">
        <f t="shared" si="7"/>
        <v>0.28264349293585556</v>
      </c>
      <c r="AG19" s="190">
        <f t="shared" si="7"/>
        <v>0.28741388660113926</v>
      </c>
      <c r="AH19" s="190">
        <f t="shared" si="7"/>
        <v>0.29305655766378791</v>
      </c>
      <c r="AI19" s="190">
        <f t="shared" si="7"/>
        <v>0.29864672968755968</v>
      </c>
      <c r="AJ19" s="190">
        <f t="shared" si="7"/>
        <v>0.30372155092478953</v>
      </c>
      <c r="AK19" s="190">
        <f t="shared" si="7"/>
        <v>0.30876089538636509</v>
      </c>
      <c r="AL19" s="190">
        <f t="shared" si="7"/>
        <v>0.31396181026608438</v>
      </c>
      <c r="AM19" s="190">
        <f t="shared" si="7"/>
        <v>0.34200603649400052</v>
      </c>
      <c r="AN19" s="190">
        <f t="shared" si="7"/>
        <v>0.36581613586638906</v>
      </c>
      <c r="AO19" s="190">
        <f t="shared" si="7"/>
        <v>0.36581613586638906</v>
      </c>
      <c r="AP19" s="190">
        <f t="shared" si="7"/>
        <v>0.36581613586638906</v>
      </c>
      <c r="AQ19" s="190"/>
      <c r="AR19" s="190"/>
      <c r="AS19" s="190"/>
      <c r="AT19" s="190"/>
      <c r="AU19" s="190"/>
      <c r="AV19" s="190"/>
    </row>
    <row r="20" spans="1:48">
      <c r="A20" s="313" t="s">
        <v>16</v>
      </c>
      <c r="K20" s="5"/>
      <c r="Q20" s="5"/>
    </row>
    <row r="21" spans="1:48" ht="15.75" thickBot="1">
      <c r="A21" s="313" t="s">
        <v>16</v>
      </c>
      <c r="B21" s="312" t="s">
        <v>56</v>
      </c>
      <c r="D21" s="312"/>
      <c r="E21" s="313">
        <v>2012</v>
      </c>
      <c r="F21" s="313">
        <v>2020</v>
      </c>
      <c r="G21" s="313">
        <v>2030</v>
      </c>
      <c r="H21" s="313">
        <v>2040</v>
      </c>
      <c r="I21" s="313">
        <v>2050</v>
      </c>
      <c r="J21" s="40">
        <f>MATCH(J3,Drivers!$C$5:$AG$5,0)</f>
        <v>1</v>
      </c>
      <c r="K21" s="40">
        <f>MATCH(K3,Drivers!$C$5:$AG$5,0)</f>
        <v>2</v>
      </c>
      <c r="L21" s="40">
        <f>MATCH(L3,Drivers!$C$5:$AG$5,0)</f>
        <v>3</v>
      </c>
      <c r="M21" s="40">
        <f>MATCH(M3,Drivers!$C$5:$AG$5,0)</f>
        <v>4</v>
      </c>
      <c r="N21" s="40">
        <f>MATCH(N3,Drivers!$C$5:$AG$5,0)</f>
        <v>5</v>
      </c>
      <c r="O21" s="40">
        <f>MATCH(O3,Drivers!$C$5:$AG$5,0)</f>
        <v>6</v>
      </c>
      <c r="P21" s="40">
        <f>MATCH(P3,Drivers!$C$5:$AG$5,0)</f>
        <v>7</v>
      </c>
      <c r="Q21" s="40">
        <f>MATCH(Q3,Drivers!$C$5:$AG$5,0)</f>
        <v>8</v>
      </c>
      <c r="R21" s="40">
        <f>MATCH(R3,Drivers!$C$5:$AG$5,0)</f>
        <v>9</v>
      </c>
      <c r="S21" s="40">
        <f>MATCH(S3,Drivers!$C$5:$AG$5,0)</f>
        <v>10</v>
      </c>
      <c r="T21" s="40">
        <f>MATCH(T3,Drivers!$C$5:$AG$5,0)</f>
        <v>11</v>
      </c>
      <c r="U21" s="40">
        <f>MATCH(U3,Drivers!$C$5:$AG$5,0)</f>
        <v>12</v>
      </c>
      <c r="V21" s="40">
        <f>MATCH(V3,Drivers!$C$5:$AG$5,0)</f>
        <v>13</v>
      </c>
      <c r="W21" s="40">
        <f>MATCH(W3,Drivers!$C$5:$AG$5,0)</f>
        <v>14</v>
      </c>
      <c r="X21" s="40">
        <f>MATCH(X3,Drivers!$C$5:$AG$5,0)</f>
        <v>15</v>
      </c>
      <c r="Y21" s="40">
        <f>MATCH(Y3,Drivers!$C$5:$AG$5,0)</f>
        <v>16</v>
      </c>
      <c r="Z21" s="40">
        <f>MATCH(Z3,Drivers!$C$5:$AG$5,0)</f>
        <v>17</v>
      </c>
      <c r="AA21" s="40">
        <f>MATCH(AA3,Drivers!$C$5:$AG$5,0)</f>
        <v>18</v>
      </c>
      <c r="AB21" s="40">
        <f>MATCH(AB3,Drivers!$C$5:$AG$5,0)</f>
        <v>19</v>
      </c>
      <c r="AC21" s="40">
        <f>MATCH(AC3,Drivers!$C$5:$AG$5,0)</f>
        <v>20</v>
      </c>
      <c r="AD21" s="40">
        <f>MATCH(AD3,Drivers!$C$5:$AG$5,0)</f>
        <v>21</v>
      </c>
      <c r="AE21" s="40">
        <f>MATCH(AE3,Drivers!$C$5:$AG$5,0)</f>
        <v>22</v>
      </c>
      <c r="AF21" s="40">
        <f>MATCH(AF3,Drivers!$C$5:$AG$5,0)</f>
        <v>23</v>
      </c>
      <c r="AG21" s="40">
        <f>MATCH(AG3,Drivers!$C$5:$AG$5,0)</f>
        <v>24</v>
      </c>
      <c r="AH21" s="40">
        <f>MATCH(AH3,Drivers!$C$5:$AG$5,0)</f>
        <v>25</v>
      </c>
      <c r="AI21" s="40">
        <f>MATCH(AI3,Drivers!$C$5:$AG$5,0)</f>
        <v>26</v>
      </c>
      <c r="AJ21" s="40">
        <f>MATCH(AJ3,Drivers!$C$5:$AG$5,0)</f>
        <v>27</v>
      </c>
      <c r="AK21" s="40">
        <f>MATCH(AK3,Drivers!$C$5:$AG$5,0)</f>
        <v>28</v>
      </c>
      <c r="AL21" s="40">
        <f>MATCH(AL3,Drivers!$C$5:$AG$5,0)</f>
        <v>29</v>
      </c>
      <c r="AM21" s="40">
        <f>MATCH(AM3,Drivers!$C$5:$AG$5,0)</f>
        <v>30</v>
      </c>
      <c r="AN21" s="40">
        <f>MATCH(AN3,Drivers!$C$5:$AG$5,0)</f>
        <v>31</v>
      </c>
      <c r="AO21" s="7">
        <f>AN21+1</f>
        <v>32</v>
      </c>
      <c r="AP21" s="7">
        <f>AO21+1</f>
        <v>33</v>
      </c>
      <c r="AQ21" s="7"/>
      <c r="AR21" s="7"/>
      <c r="AS21" s="7"/>
      <c r="AT21" s="7"/>
      <c r="AU21" s="7"/>
      <c r="AV21" s="7"/>
    </row>
    <row r="22" spans="1:48">
      <c r="A22" s="313" t="s">
        <v>16</v>
      </c>
      <c r="B22" s="313">
        <v>1</v>
      </c>
      <c r="C22" s="313" t="s">
        <v>7</v>
      </c>
      <c r="D22" s="313" t="s">
        <v>47</v>
      </c>
      <c r="E22" s="10">
        <f t="shared" ref="E22:I24" si="8">SUMIF($J$3:$AV$3,E$21,$J22:$AV22)</f>
        <v>26.162716441035041</v>
      </c>
      <c r="F22" s="10">
        <f t="shared" si="8"/>
        <v>26.998265626975765</v>
      </c>
      <c r="G22" s="10">
        <f t="shared" si="8"/>
        <v>27.268179044262631</v>
      </c>
      <c r="H22" s="10">
        <f t="shared" si="8"/>
        <v>24.363641895847387</v>
      </c>
      <c r="I22" s="24">
        <f t="shared" si="8"/>
        <v>20.711110331567543</v>
      </c>
      <c r="J22" s="10" cm="1">
        <f t="array" ref="J22">INDEX(Drivers!$C$31:$AG$33,$B22,J$21)</f>
        <v>26.162716441035041</v>
      </c>
      <c r="K22" s="10" cm="1">
        <f t="array" ref="K22">INDEX(Drivers!$C$31:$AG$33,$B22,K$21)</f>
        <v>26.124793740612695</v>
      </c>
      <c r="L22" s="10" cm="1">
        <f t="array" ref="L22">INDEX(Drivers!$C$31:$AG$33,$B22,L$21)</f>
        <v>25.810272238913001</v>
      </c>
      <c r="M22" s="10" cm="1">
        <f t="array" ref="M22">INDEX(Drivers!$C$31:$AG$33,$B22,M$21)</f>
        <v>25.676476665132281</v>
      </c>
      <c r="N22" s="10" cm="1">
        <f t="array" ref="N22">INDEX(Drivers!$C$31:$AG$33,$B22,N$21)</f>
        <v>25.758415053648385</v>
      </c>
      <c r="O22" s="10" cm="1">
        <f t="array" ref="O22">INDEX(Drivers!$C$31:$AG$33,$B22,O$21)</f>
        <v>25.755361891142741</v>
      </c>
      <c r="P22" s="10" cm="1">
        <f t="array" ref="P22">INDEX(Drivers!$C$31:$AG$33,$B22,P$21)</f>
        <v>25.706039736299225</v>
      </c>
      <c r="Q22" s="10" cm="1">
        <f t="array" ref="Q22">INDEX(Drivers!$C$31:$AG$33,$B22,Q$21)</f>
        <v>25.946710085536886</v>
      </c>
      <c r="R22" s="10" cm="1">
        <f t="array" ref="R22">INDEX(Drivers!$C$31:$AG$33,$B22,R$21)</f>
        <v>26.998265626975765</v>
      </c>
      <c r="S22" s="10" cm="1">
        <f t="array" ref="S22">INDEX(Drivers!$C$31:$AG$33,$B22,S$21)</f>
        <v>29.287129613802783</v>
      </c>
      <c r="T22" s="10" cm="1">
        <f t="array" ref="T22">INDEX(Drivers!$C$31:$AG$33,$B22,T$21)</f>
        <v>29.242513492212662</v>
      </c>
      <c r="U22" s="10" cm="1">
        <f t="array" ref="U22">INDEX(Drivers!$C$31:$AG$33,$B22,U$21)</f>
        <v>29.119930379039147</v>
      </c>
      <c r="V22" s="10" cm="1">
        <f t="array" ref="V22">INDEX(Drivers!$C$31:$AG$33,$B22,V$21)</f>
        <v>28.914921802619762</v>
      </c>
      <c r="W22" s="10" cm="1">
        <f t="array" ref="W22">INDEX(Drivers!$C$31:$AG$33,$B22,W$21)</f>
        <v>28.703653933445384</v>
      </c>
      <c r="X22" s="10" cm="1">
        <f t="array" ref="X22">INDEX(Drivers!$C$31:$AG$33,$B22,X$21)</f>
        <v>28.432849130265836</v>
      </c>
      <c r="Y22" s="10" cm="1">
        <f t="array" ref="Y22">INDEX(Drivers!$C$31:$AG$33,$B22,Y$21)</f>
        <v>28.093231022474818</v>
      </c>
      <c r="Z22" s="10" cm="1">
        <f t="array" ref="Z22">INDEX(Drivers!$C$31:$AG$33,$B22,Z$21)</f>
        <v>27.751114906132823</v>
      </c>
      <c r="AA22" s="10" cm="1">
        <f t="array" ref="AA22">INDEX(Drivers!$C$31:$AG$33,$B22,AA$21)</f>
        <v>27.446014044850234</v>
      </c>
      <c r="AB22" s="10" cm="1">
        <f t="array" ref="AB22">INDEX(Drivers!$C$31:$AG$33,$B22,AB$21)</f>
        <v>27.268179044262631</v>
      </c>
      <c r="AC22" s="10" cm="1">
        <f t="array" ref="AC22">INDEX(Drivers!$C$31:$AG$33,$B22,AC$21)</f>
        <v>27.051393095318446</v>
      </c>
      <c r="AD22" s="10" cm="1">
        <f t="array" ref="AD22">INDEX(Drivers!$C$31:$AG$33,$B22,AD$21)</f>
        <v>26.740214774750875</v>
      </c>
      <c r="AE22" s="10" cm="1">
        <f t="array" ref="AE22">INDEX(Drivers!$C$31:$AG$33,$B22,AE$21)</f>
        <v>26.435860845032895</v>
      </c>
      <c r="AF22" s="10" cm="1">
        <f t="array" ref="AF22">INDEX(Drivers!$C$31:$AG$33,$B22,AF$21)</f>
        <v>26.166118078222159</v>
      </c>
      <c r="AG22" s="10" cm="1">
        <f t="array" ref="AG22">INDEX(Drivers!$C$31:$AG$33,$B22,AG$21)</f>
        <v>25.918622781111281</v>
      </c>
      <c r="AH22" s="10" cm="1">
        <f t="array" ref="AH22">INDEX(Drivers!$C$31:$AG$33,$B22,AH$21)</f>
        <v>25.624566310754656</v>
      </c>
      <c r="AI22" s="10" cm="1">
        <f t="array" ref="AI22">INDEX(Drivers!$C$31:$AG$33,$B22,AI$21)</f>
        <v>25.294087785910385</v>
      </c>
      <c r="AJ22" s="10" cm="1">
        <f t="array" ref="AJ22">INDEX(Drivers!$C$31:$AG$33,$B22,AJ$21)</f>
        <v>24.983385336860582</v>
      </c>
      <c r="AK22" s="10" cm="1">
        <f t="array" ref="AK22">INDEX(Drivers!$C$31:$AG$33,$B22,AK$21)</f>
        <v>24.681316266168029</v>
      </c>
      <c r="AL22" s="10" cm="1">
        <f t="array" ref="AL22">INDEX(Drivers!$C$31:$AG$33,$B22,AL$21)</f>
        <v>24.363641895847387</v>
      </c>
      <c r="AM22" s="10" cm="1">
        <f t="array" ref="AM22">INDEX(Drivers!$C$31:$AG$33,$B22,AM$21)</f>
        <v>22.471523269897709</v>
      </c>
      <c r="AN22" s="10" cm="1">
        <f t="array" ref="AN22">INDEX(Drivers!$C$31:$AG$33,$B22,AN$21)</f>
        <v>20.711110331567543</v>
      </c>
      <c r="AO22" s="10">
        <f t="shared" ref="AO22:AP24" si="9">AN22</f>
        <v>20.711110331567543</v>
      </c>
      <c r="AP22" s="10">
        <f t="shared" si="9"/>
        <v>20.711110331567543</v>
      </c>
      <c r="AQ22" s="10"/>
      <c r="AR22" s="10"/>
      <c r="AS22" s="10"/>
      <c r="AT22" s="10"/>
      <c r="AU22" s="10"/>
      <c r="AV22" s="10"/>
    </row>
    <row r="23" spans="1:48">
      <c r="A23" s="313" t="s">
        <v>16</v>
      </c>
      <c r="B23" s="313">
        <v>2</v>
      </c>
      <c r="C23" s="313" t="s">
        <v>8</v>
      </c>
      <c r="D23" s="313" t="s">
        <v>47</v>
      </c>
      <c r="E23" s="10">
        <f t="shared" si="8"/>
        <v>15.697629864621025</v>
      </c>
      <c r="F23" s="10">
        <f t="shared" si="8"/>
        <v>19.311259441517389</v>
      </c>
      <c r="G23" s="10">
        <f t="shared" si="8"/>
        <v>21.60781205322996</v>
      </c>
      <c r="H23" s="10">
        <f t="shared" si="8"/>
        <v>24.637054970594811</v>
      </c>
      <c r="I23" s="24">
        <f t="shared" si="8"/>
        <v>27.181128980417853</v>
      </c>
      <c r="J23" s="10" cm="1">
        <f t="array" ref="J23">INDEX(Drivers!$C$31:$AG$33,$B23,J$21)</f>
        <v>15.697629864621025</v>
      </c>
      <c r="K23" s="10" cm="1">
        <f t="array" ref="K23">INDEX(Drivers!$C$31:$AG$33,$B23,K$21)</f>
        <v>15.706931206012538</v>
      </c>
      <c r="L23" s="10" cm="1">
        <f t="array" ref="L23">INDEX(Drivers!$C$31:$AG$33,$B23,L$21)</f>
        <v>16.206450010480257</v>
      </c>
      <c r="M23" s="10" cm="1">
        <f t="array" ref="M23">INDEX(Drivers!$C$31:$AG$33,$B23,M$21)</f>
        <v>16.65350655721161</v>
      </c>
      <c r="N23" s="10" cm="1">
        <f t="array" ref="N23">INDEX(Drivers!$C$31:$AG$33,$B23,N$21)</f>
        <v>17.096293177200256</v>
      </c>
      <c r="O23" s="10" cm="1">
        <f t="array" ref="O23">INDEX(Drivers!$C$31:$AG$33,$B23,O$21)</f>
        <v>17.422744808714206</v>
      </c>
      <c r="P23" s="10" cm="1">
        <f t="array" ref="P23">INDEX(Drivers!$C$31:$AG$33,$B23,P$21)</f>
        <v>17.892835083270921</v>
      </c>
      <c r="Q23" s="10" cm="1">
        <f t="array" ref="Q23">INDEX(Drivers!$C$31:$AG$33,$B23,Q$21)</f>
        <v>18.376375848815535</v>
      </c>
      <c r="R23" s="10" cm="1">
        <f t="array" ref="R23">INDEX(Drivers!$C$31:$AG$33,$B23,R$21)</f>
        <v>19.311259441517389</v>
      </c>
      <c r="S23" s="10" cm="1">
        <f t="array" ref="S23">INDEX(Drivers!$C$31:$AG$33,$B23,S$21)</f>
        <v>18.474508994341168</v>
      </c>
      <c r="T23" s="10" cm="1">
        <f t="array" ref="T23">INDEX(Drivers!$C$31:$AG$33,$B23,T$21)</f>
        <v>18.820339603291107</v>
      </c>
      <c r="U23" s="10" cm="1">
        <f t="array" ref="U23">INDEX(Drivers!$C$31:$AG$33,$B23,U$21)</f>
        <v>19.138098615320793</v>
      </c>
      <c r="V23" s="10" cm="1">
        <f t="array" ref="V23">INDEX(Drivers!$C$31:$AG$33,$B23,V$21)</f>
        <v>19.477571418874312</v>
      </c>
      <c r="W23" s="10" cm="1">
        <f t="array" ref="W23">INDEX(Drivers!$C$31:$AG$33,$B23,W$21)</f>
        <v>19.839383867317174</v>
      </c>
      <c r="X23" s="10" cm="1">
        <f t="array" ref="X23">INDEX(Drivers!$C$31:$AG$33,$B23,X$21)</f>
        <v>20.144575288890959</v>
      </c>
      <c r="Y23" s="10" cm="1">
        <f t="array" ref="Y23">INDEX(Drivers!$C$31:$AG$33,$B23,Y$21)</f>
        <v>20.507929256627207</v>
      </c>
      <c r="Z23" s="10" cm="1">
        <f t="array" ref="Z23">INDEX(Drivers!$C$31:$AG$33,$B23,Z$21)</f>
        <v>20.864468503440627</v>
      </c>
      <c r="AA23" s="10" cm="1">
        <f t="array" ref="AA23">INDEX(Drivers!$C$31:$AG$33,$B23,AA$21)</f>
        <v>21.224851289971184</v>
      </c>
      <c r="AB23" s="10" cm="1">
        <f t="array" ref="AB23">INDEX(Drivers!$C$31:$AG$33,$B23,AB$21)</f>
        <v>21.60781205322996</v>
      </c>
      <c r="AC23" s="10" cm="1">
        <f t="array" ref="AC23">INDEX(Drivers!$C$31:$AG$33,$B23,AC$21)</f>
        <v>21.855149352882151</v>
      </c>
      <c r="AD23" s="10" cm="1">
        <f t="array" ref="AD23">INDEX(Drivers!$C$31:$AG$33,$B23,AD$21)</f>
        <v>22.199131972702702</v>
      </c>
      <c r="AE23" s="10" cm="1">
        <f t="array" ref="AE23">INDEX(Drivers!$C$31:$AG$33,$B23,AE$21)</f>
        <v>22.522478893366742</v>
      </c>
      <c r="AF23" s="10" cm="1">
        <f t="array" ref="AF23">INDEX(Drivers!$C$31:$AG$33,$B23,AF$21)</f>
        <v>22.859500231761235</v>
      </c>
      <c r="AG23" s="10" cm="1">
        <f t="array" ref="AG23">INDEX(Drivers!$C$31:$AG$33,$B23,AG$21)</f>
        <v>23.169532577840151</v>
      </c>
      <c r="AH23" s="10" cm="1">
        <f t="array" ref="AH23">INDEX(Drivers!$C$31:$AG$33,$B23,AH$21)</f>
        <v>23.451620054415372</v>
      </c>
      <c r="AI23" s="10" cm="1">
        <f t="array" ref="AI23">INDEX(Drivers!$C$31:$AG$33,$B23,AI$21)</f>
        <v>23.758867332337829</v>
      </c>
      <c r="AJ23" s="10" cm="1">
        <f t="array" ref="AJ23">INDEX(Drivers!$C$31:$AG$33,$B23,AJ$21)</f>
        <v>24.067734202379224</v>
      </c>
      <c r="AK23" s="10" cm="1">
        <f t="array" ref="AK23">INDEX(Drivers!$C$31:$AG$33,$B23,AK$21)</f>
        <v>24.357067542341124</v>
      </c>
      <c r="AL23" s="10" cm="1">
        <f t="array" ref="AL23">INDEX(Drivers!$C$31:$AG$33,$B23,AL$21)</f>
        <v>24.637054970594811</v>
      </c>
      <c r="AM23" s="10" cm="1">
        <f t="array" ref="AM23">INDEX(Drivers!$C$31:$AG$33,$B23,AM$21)</f>
        <v>25.987016274103535</v>
      </c>
      <c r="AN23" s="10" cm="1">
        <f t="array" ref="AN23">INDEX(Drivers!$C$31:$AG$33,$B23,AN$21)</f>
        <v>27.181128980417853</v>
      </c>
      <c r="AO23" s="10">
        <f t="shared" si="9"/>
        <v>27.181128980417853</v>
      </c>
      <c r="AP23" s="10">
        <f t="shared" si="9"/>
        <v>27.181128980417853</v>
      </c>
      <c r="AQ23" s="10"/>
      <c r="AR23" s="10"/>
      <c r="AS23" s="10"/>
      <c r="AT23" s="10"/>
      <c r="AU23" s="10"/>
      <c r="AV23" s="10"/>
    </row>
    <row r="24" spans="1:48">
      <c r="A24" s="313" t="s">
        <v>16</v>
      </c>
      <c r="B24" s="313">
        <v>3</v>
      </c>
      <c r="C24" s="313" t="s">
        <v>406</v>
      </c>
      <c r="D24" s="313" t="s">
        <v>47</v>
      </c>
      <c r="E24" s="10">
        <f t="shared" si="8"/>
        <v>10.465086576414015</v>
      </c>
      <c r="F24" s="10">
        <f t="shared" si="8"/>
        <v>12.021367799432369</v>
      </c>
      <c r="G24" s="10">
        <f t="shared" si="8"/>
        <v>17.164799763201472</v>
      </c>
      <c r="H24" s="10">
        <f t="shared" si="8"/>
        <v>22.424914126799209</v>
      </c>
      <c r="I24" s="24">
        <f t="shared" si="8"/>
        <v>27.625669642404802</v>
      </c>
      <c r="J24" s="10" cm="1">
        <f t="array" ref="J24">INDEX(Drivers!$C$31:$AG$33,$B24,J$21)</f>
        <v>10.465086576414015</v>
      </c>
      <c r="K24" s="10" cm="1">
        <f t="array" ref="K24">INDEX(Drivers!$C$31:$AG$33,$B24,K$21)</f>
        <v>11.272661511798107</v>
      </c>
      <c r="L24" s="10" cm="1">
        <f t="array" ref="L24">INDEX(Drivers!$C$31:$AG$33,$B24,L$21)</f>
        <v>11.895643442036015</v>
      </c>
      <c r="M24" s="10" cm="1">
        <f t="array" ref="M24">INDEX(Drivers!$C$31:$AG$33,$B24,M$21)</f>
        <v>12.420508234977223</v>
      </c>
      <c r="N24" s="10" cm="1">
        <f t="array" ref="N24">INDEX(Drivers!$C$31:$AG$33,$B24,N$21)</f>
        <v>12.765232238976191</v>
      </c>
      <c r="O24" s="10" cm="1">
        <f t="array" ref="O24">INDEX(Drivers!$C$31:$AG$33,$B24,O$21)</f>
        <v>13.343841341791148</v>
      </c>
      <c r="P24" s="10" cm="1">
        <f t="array" ref="P24">INDEX(Drivers!$C$31:$AG$33,$B24,P$21)</f>
        <v>13.837125797729508</v>
      </c>
      <c r="Q24" s="10" cm="1">
        <f t="array" ref="Q24">INDEX(Drivers!$C$31:$AG$33,$B24,Q$21)</f>
        <v>14.041748987467024</v>
      </c>
      <c r="R24" s="10" cm="1">
        <f t="array" ref="R24">INDEX(Drivers!$C$31:$AG$33,$B24,R$21)</f>
        <v>12.021367799432369</v>
      </c>
      <c r="S24" s="10" cm="1">
        <f t="array" ref="S24">INDEX(Drivers!$C$31:$AG$33,$B24,S$21)</f>
        <v>12.336235380343002</v>
      </c>
      <c r="T24" s="10" cm="1">
        <f t="array" ref="T24">INDEX(Drivers!$C$31:$AG$33,$B24,T$21)</f>
        <v>12.778729191305597</v>
      </c>
      <c r="U24" s="10" cm="1">
        <f t="array" ref="U24">INDEX(Drivers!$C$31:$AG$33,$B24,U$21)</f>
        <v>13.279795361569889</v>
      </c>
      <c r="V24" s="10" cm="1">
        <f t="array" ref="V24">INDEX(Drivers!$C$31:$AG$33,$B24,V$21)</f>
        <v>13.829016479892299</v>
      </c>
      <c r="W24" s="10" cm="1">
        <f t="array" ref="W24">INDEX(Drivers!$C$31:$AG$33,$B24,W$21)</f>
        <v>14.349000781763538</v>
      </c>
      <c r="X24" s="10" cm="1">
        <f t="array" ref="X24">INDEX(Drivers!$C$31:$AG$33,$B24,X$21)</f>
        <v>14.9713931402833</v>
      </c>
      <c r="Y24" s="10" cm="1">
        <f t="array" ref="Y24">INDEX(Drivers!$C$31:$AG$33,$B24,Y$21)</f>
        <v>15.590100077664104</v>
      </c>
      <c r="Z24" s="10" cm="1">
        <f t="array" ref="Z24">INDEX(Drivers!$C$31:$AG$33,$B24,Z$21)</f>
        <v>16.203205315854781</v>
      </c>
      <c r="AA24" s="10" cm="1">
        <f t="array" ref="AA24">INDEX(Drivers!$C$31:$AG$33,$B24,AA$21)</f>
        <v>16.764576876108688</v>
      </c>
      <c r="AB24" s="10" cm="1">
        <f t="array" ref="AB24">INDEX(Drivers!$C$31:$AG$33,$B24,AB$21)</f>
        <v>17.164799763201472</v>
      </c>
      <c r="AC24" s="10" cm="1">
        <f t="array" ref="AC24">INDEX(Drivers!$C$31:$AG$33,$B24,AC$21)</f>
        <v>17.727866970502511</v>
      </c>
      <c r="AD24" s="10" cm="1">
        <f t="array" ref="AD24">INDEX(Drivers!$C$31:$AG$33,$B24,AD$21)</f>
        <v>18.276531070338095</v>
      </c>
      <c r="AE24" s="10" cm="1">
        <f t="array" ref="AE24">INDEX(Drivers!$C$31:$AG$33,$B24,AE$21)</f>
        <v>18.826441931541119</v>
      </c>
      <c r="AF24" s="10" cm="1">
        <f t="array" ref="AF24">INDEX(Drivers!$C$31:$AG$33,$B24,AF$21)</f>
        <v>19.316437316759014</v>
      </c>
      <c r="AG24" s="10" cm="1">
        <f t="array" ref="AG24">INDEX(Drivers!$C$31:$AG$33,$B24,AG$21)</f>
        <v>19.799175499648925</v>
      </c>
      <c r="AH24" s="10" cm="1">
        <f t="array" ref="AH24">INDEX(Drivers!$C$31:$AG$33,$B24,AH$21)</f>
        <v>20.344057781928377</v>
      </c>
      <c r="AI24" s="10" cm="1">
        <f t="array" ref="AI24">INDEX(Drivers!$C$31:$AG$33,$B24,AI$21)</f>
        <v>20.8874831667205</v>
      </c>
      <c r="AJ24" s="10" cm="1">
        <f t="array" ref="AJ24">INDEX(Drivers!$C$31:$AG$33,$B24,AJ$21)</f>
        <v>21.396442932913359</v>
      </c>
      <c r="AK24" s="10" cm="1">
        <f t="array" ref="AK24">INDEX(Drivers!$C$31:$AG$33,$B24,AK$21)</f>
        <v>21.904338443755417</v>
      </c>
      <c r="AL24" s="10" cm="1">
        <f t="array" ref="AL24">INDEX(Drivers!$C$31:$AG$33,$B24,AL$21)</f>
        <v>22.424914126799209</v>
      </c>
      <c r="AM24" s="10" cm="1">
        <f t="array" ref="AM24">INDEX(Drivers!$C$31:$AG$33,$B24,AM$21)</f>
        <v>25.187332958838827</v>
      </c>
      <c r="AN24" s="10" cm="1">
        <f t="array" ref="AN24">INDEX(Drivers!$C$31:$AG$33,$B24,AN$21)</f>
        <v>27.625669642404802</v>
      </c>
      <c r="AO24" s="10">
        <f t="shared" si="9"/>
        <v>27.625669642404802</v>
      </c>
      <c r="AP24" s="10">
        <f t="shared" si="9"/>
        <v>27.625669642404802</v>
      </c>
      <c r="AQ24" s="10"/>
      <c r="AR24" s="10"/>
      <c r="AS24" s="10"/>
      <c r="AT24" s="10"/>
      <c r="AU24" s="10"/>
      <c r="AV24" s="10"/>
    </row>
    <row r="25" spans="1:48">
      <c r="A25" s="313" t="s">
        <v>16</v>
      </c>
      <c r="E25" s="47">
        <f t="shared" ref="E25:AP25" si="10">SUM(E22:E24)</f>
        <v>52.325432882070082</v>
      </c>
      <c r="F25" s="47">
        <f t="shared" si="10"/>
        <v>58.330892867925527</v>
      </c>
      <c r="G25" s="47">
        <f t="shared" si="10"/>
        <v>66.040790860694059</v>
      </c>
      <c r="H25" s="47">
        <f t="shared" si="10"/>
        <v>71.425610993241406</v>
      </c>
      <c r="I25" s="47">
        <f t="shared" si="10"/>
        <v>75.517908954390194</v>
      </c>
      <c r="J25" s="47">
        <f t="shared" si="10"/>
        <v>52.325432882070082</v>
      </c>
      <c r="K25" s="47">
        <f t="shared" si="10"/>
        <v>53.104386458423335</v>
      </c>
      <c r="L25" s="47">
        <f t="shared" si="10"/>
        <v>53.912365691429272</v>
      </c>
      <c r="M25" s="47">
        <f t="shared" si="10"/>
        <v>54.750491457321118</v>
      </c>
      <c r="N25" s="47">
        <f t="shared" si="10"/>
        <v>55.619940469824833</v>
      </c>
      <c r="O25" s="47">
        <f t="shared" si="10"/>
        <v>56.521948041648095</v>
      </c>
      <c r="P25" s="47">
        <f t="shared" si="10"/>
        <v>57.436000617299648</v>
      </c>
      <c r="Q25" s="47">
        <f t="shared" si="10"/>
        <v>58.364834921819444</v>
      </c>
      <c r="R25" s="47">
        <f t="shared" si="10"/>
        <v>58.330892867925527</v>
      </c>
      <c r="S25" s="47">
        <f t="shared" si="10"/>
        <v>60.097873988486953</v>
      </c>
      <c r="T25" s="47">
        <f t="shared" si="10"/>
        <v>60.84158228680937</v>
      </c>
      <c r="U25" s="47">
        <f t="shared" si="10"/>
        <v>61.537824355929828</v>
      </c>
      <c r="V25" s="47">
        <f t="shared" si="10"/>
        <v>62.221509701386381</v>
      </c>
      <c r="W25" s="47">
        <f t="shared" si="10"/>
        <v>62.892038582526098</v>
      </c>
      <c r="X25" s="47">
        <f t="shared" si="10"/>
        <v>63.548817559440096</v>
      </c>
      <c r="Y25" s="47">
        <f t="shared" si="10"/>
        <v>64.191260356766122</v>
      </c>
      <c r="Z25" s="47">
        <f t="shared" si="10"/>
        <v>64.81878872542822</v>
      </c>
      <c r="AA25" s="47">
        <f t="shared" si="10"/>
        <v>65.435442210930105</v>
      </c>
      <c r="AB25" s="47">
        <f t="shared" si="10"/>
        <v>66.040790860694059</v>
      </c>
      <c r="AC25" s="47">
        <f t="shared" si="10"/>
        <v>66.634409418703115</v>
      </c>
      <c r="AD25" s="47">
        <f t="shared" si="10"/>
        <v>67.215877817791664</v>
      </c>
      <c r="AE25" s="47">
        <f t="shared" si="10"/>
        <v>67.784781669940756</v>
      </c>
      <c r="AF25" s="47">
        <f t="shared" si="10"/>
        <v>68.342055626742408</v>
      </c>
      <c r="AG25" s="47">
        <f t="shared" si="10"/>
        <v>68.887330858600365</v>
      </c>
      <c r="AH25" s="47">
        <f t="shared" si="10"/>
        <v>69.420244147098401</v>
      </c>
      <c r="AI25" s="47">
        <f t="shared" si="10"/>
        <v>69.940438284968707</v>
      </c>
      <c r="AJ25" s="47">
        <f t="shared" si="10"/>
        <v>70.447562472153166</v>
      </c>
      <c r="AK25" s="47">
        <f t="shared" si="10"/>
        <v>70.942722252264574</v>
      </c>
      <c r="AL25" s="47">
        <f t="shared" si="10"/>
        <v>71.425610993241406</v>
      </c>
      <c r="AM25" s="47">
        <f t="shared" si="10"/>
        <v>73.645872502840064</v>
      </c>
      <c r="AN25" s="47">
        <f t="shared" si="10"/>
        <v>75.517908954390194</v>
      </c>
      <c r="AO25" s="47">
        <f t="shared" si="10"/>
        <v>75.517908954390194</v>
      </c>
      <c r="AP25" s="47">
        <f t="shared" si="10"/>
        <v>75.517908954390194</v>
      </c>
      <c r="AQ25" s="47"/>
      <c r="AR25" s="47"/>
      <c r="AS25" s="47"/>
      <c r="AT25" s="47"/>
      <c r="AU25" s="47"/>
      <c r="AV25" s="47"/>
    </row>
    <row r="26" spans="1:48">
      <c r="A26" s="313" t="s">
        <v>16</v>
      </c>
      <c r="J26" s="42"/>
      <c r="K26" s="186"/>
      <c r="L26" s="186"/>
    </row>
    <row r="27" spans="1:48">
      <c r="A27" s="313" t="s">
        <v>16</v>
      </c>
      <c r="J27" s="42"/>
      <c r="K27" s="186"/>
      <c r="L27" s="186"/>
    </row>
    <row r="28" spans="1:48" ht="15.75" thickBot="1">
      <c r="A28" s="313" t="s">
        <v>16</v>
      </c>
      <c r="C28" s="312" t="s">
        <v>45</v>
      </c>
      <c r="D28" s="312"/>
      <c r="E28" s="313">
        <v>2012</v>
      </c>
      <c r="F28" s="313">
        <v>2020</v>
      </c>
      <c r="G28" s="313">
        <v>2030</v>
      </c>
      <c r="H28" s="313">
        <v>2040</v>
      </c>
      <c r="I28" s="313">
        <v>2050</v>
      </c>
    </row>
    <row r="29" spans="1:48">
      <c r="A29" s="313" t="s">
        <v>16</v>
      </c>
      <c r="C29" s="313" t="s">
        <v>7</v>
      </c>
      <c r="D29" s="313" t="s">
        <v>48</v>
      </c>
      <c r="E29" s="80">
        <v>0.71</v>
      </c>
      <c r="F29" s="34">
        <v>0.8</v>
      </c>
      <c r="G29" s="34">
        <v>0.85</v>
      </c>
      <c r="H29" s="34">
        <v>0.9</v>
      </c>
      <c r="I29" s="112">
        <v>0.95</v>
      </c>
      <c r="J29" s="313" cm="1">
        <f t="array" ref="J29">IF(J$7=-1,K29,IF(J$7=99,I29,IF(J$7=0,INDEX($E29:$I29,0,J$5),(INDEX($E29:$I29,0,J$7+1)-INDEX($E29:$I29,0,J$7))/(INDEX($E$4:$I$4,0,J$7+1)-INDEX($E$4:$I$4,0,J$7))+I29)))</f>
        <v>0.71</v>
      </c>
      <c r="K29" s="313" cm="1">
        <f t="array" ref="K29">IF(K$7=-1,L29,IF(K$7=99,J29,IF(K$7=0,INDEX($E29:$I29,0,K$5),(INDEX($E29:$I29,0,K$7+1)-INDEX($E29:$I29,0,K$7))/(INDEX($E$4:$I$4,0,K$7+1)-INDEX($E$4:$I$4,0,K$7))+J29)))</f>
        <v>0.72124999999999995</v>
      </c>
      <c r="L29" s="313" cm="1">
        <f t="array" ref="L29">IF(L$7=-1,M29,IF(L$7=99,K29,IF(L$7=0,INDEX($E29:$I29,0,L$5),(INDEX($E29:$I29,0,L$7+1)-INDEX($E29:$I29,0,L$7))/(INDEX($E$4:$I$4,0,L$7+1)-INDEX($E$4:$I$4,0,L$7))+K29)))</f>
        <v>0.73249999999999993</v>
      </c>
      <c r="M29" s="313" cm="1">
        <f t="array" ref="M29">IF(M$7=-1,N29,IF(M$7=99,L29,IF(M$7=0,INDEX($E29:$I29,0,M$5),(INDEX($E29:$I29,0,M$7+1)-INDEX($E29:$I29,0,M$7))/(INDEX($E$4:$I$4,0,M$7+1)-INDEX($E$4:$I$4,0,M$7))+L29)))</f>
        <v>0.74374999999999991</v>
      </c>
      <c r="N29" s="313" cm="1">
        <f t="array" ref="N29">IF(N$7=-1,O29,IF(N$7=99,M29,IF(N$7=0,INDEX($E29:$I29,0,N$5),(INDEX($E29:$I29,0,N$7+1)-INDEX($E29:$I29,0,N$7))/(INDEX($E$4:$I$4,0,N$7+1)-INDEX($E$4:$I$4,0,N$7))+M29)))</f>
        <v>0.75499999999999989</v>
      </c>
      <c r="O29" s="313" cm="1">
        <f t="array" ref="O29">IF(O$7=-1,P29,IF(O$7=99,N29,IF(O$7=0,INDEX($E29:$I29,0,O$5),(INDEX($E29:$I29,0,O$7+1)-INDEX($E29:$I29,0,O$7))/(INDEX($E$4:$I$4,0,O$7+1)-INDEX($E$4:$I$4,0,O$7))+N29)))</f>
        <v>0.76624999999999988</v>
      </c>
      <c r="P29" s="313" cm="1">
        <f t="array" ref="P29">IF(P$7=-1,Q29,IF(P$7=99,O29,IF(P$7=0,INDEX($E29:$I29,0,P$5),(INDEX($E29:$I29,0,P$7+1)-INDEX($E29:$I29,0,P$7))/(INDEX($E$4:$I$4,0,P$7+1)-INDEX($E$4:$I$4,0,P$7))+O29)))</f>
        <v>0.77749999999999986</v>
      </c>
      <c r="Q29" s="313" cm="1">
        <f t="array" ref="Q29">IF(Q$7=-1,R29,IF(Q$7=99,P29,IF(Q$7=0,INDEX($E29:$I29,0,Q$5),(INDEX($E29:$I29,0,Q$7+1)-INDEX($E29:$I29,0,Q$7))/(INDEX($E$4:$I$4,0,Q$7+1)-INDEX($E$4:$I$4,0,Q$7))+P29)))</f>
        <v>0.78874999999999984</v>
      </c>
      <c r="R29" s="313" cm="1">
        <f t="array" ref="R29">IF(R$7=-1,S29,IF(R$7=99,Q29,IF(R$7=0,INDEX($E29:$I29,0,R$5),(INDEX($E29:$I29,0,R$7+1)-INDEX($E29:$I29,0,R$7))/(INDEX($E$4:$I$4,0,R$7+1)-INDEX($E$4:$I$4,0,R$7))+Q29)))</f>
        <v>0.8</v>
      </c>
      <c r="S29" s="313" cm="1">
        <f t="array" ref="S29">IF(S$7=-1,T29,IF(S$7=99,R29,IF(S$7=0,INDEX($E29:$I29,0,S$5),(INDEX($E29:$I29,0,S$7+1)-INDEX($E29:$I29,0,S$7))/(INDEX($E$4:$I$4,0,S$7+1)-INDEX($E$4:$I$4,0,S$7))+R29)))</f>
        <v>0.80500000000000005</v>
      </c>
      <c r="T29" s="313" cm="1">
        <f t="array" ref="T29">IF(T$7=-1,U29,IF(T$7=99,S29,IF(T$7=0,INDEX($E29:$I29,0,T$5),(INDEX($E29:$I29,0,T$7+1)-INDEX($E29:$I29,0,T$7))/(INDEX($E$4:$I$4,0,T$7+1)-INDEX($E$4:$I$4,0,T$7))+S29)))</f>
        <v>0.81</v>
      </c>
      <c r="U29" s="313" cm="1">
        <f t="array" ref="U29">IF(U$7=-1,V29,IF(U$7=99,T29,IF(U$7=0,INDEX($E29:$I29,0,U$5),(INDEX($E29:$I29,0,U$7+1)-INDEX($E29:$I29,0,U$7))/(INDEX($E$4:$I$4,0,U$7+1)-INDEX($E$4:$I$4,0,U$7))+T29)))</f>
        <v>0.81500000000000006</v>
      </c>
      <c r="V29" s="313" cm="1">
        <f t="array" ref="V29">IF(V$7=-1,W29,IF(V$7=99,U29,IF(V$7=0,INDEX($E29:$I29,0,V$5),(INDEX($E29:$I29,0,V$7+1)-INDEX($E29:$I29,0,V$7))/(INDEX($E$4:$I$4,0,V$7+1)-INDEX($E$4:$I$4,0,V$7))+U29)))</f>
        <v>0.82000000000000006</v>
      </c>
      <c r="W29" s="313" cm="1">
        <f t="array" ref="W29">IF(W$7=-1,X29,IF(W$7=99,V29,IF(W$7=0,INDEX($E29:$I29,0,W$5),(INDEX($E29:$I29,0,W$7+1)-INDEX($E29:$I29,0,W$7))/(INDEX($E$4:$I$4,0,W$7+1)-INDEX($E$4:$I$4,0,W$7))+V29)))</f>
        <v>0.82500000000000007</v>
      </c>
      <c r="X29" s="313" cm="1">
        <f t="array" ref="X29">IF(X$7=-1,Y29,IF(X$7=99,W29,IF(X$7=0,INDEX($E29:$I29,0,X$5),(INDEX($E29:$I29,0,X$7+1)-INDEX($E29:$I29,0,X$7))/(INDEX($E$4:$I$4,0,X$7+1)-INDEX($E$4:$I$4,0,X$7))+W29)))</f>
        <v>0.83000000000000007</v>
      </c>
      <c r="Y29" s="313" cm="1">
        <f t="array" ref="Y29">IF(Y$7=-1,Z29,IF(Y$7=99,X29,IF(Y$7=0,INDEX($E29:$I29,0,Y$5),(INDEX($E29:$I29,0,Y$7+1)-INDEX($E29:$I29,0,Y$7))/(INDEX($E$4:$I$4,0,Y$7+1)-INDEX($E$4:$I$4,0,Y$7))+X29)))</f>
        <v>0.83500000000000008</v>
      </c>
      <c r="Z29" s="313" cm="1">
        <f t="array" ref="Z29">IF(Z$7=-1,AA29,IF(Z$7=99,Y29,IF(Z$7=0,INDEX($E29:$I29,0,Z$5),(INDEX($E29:$I29,0,Z$7+1)-INDEX($E29:$I29,0,Z$7))/(INDEX($E$4:$I$4,0,Z$7+1)-INDEX($E$4:$I$4,0,Z$7))+Y29)))</f>
        <v>0.84000000000000008</v>
      </c>
      <c r="AA29" s="313" cm="1">
        <f t="array" ref="AA29">IF(AA$7=-1,AB29,IF(AA$7=99,Z29,IF(AA$7=0,INDEX($E29:$I29,0,AA$5),(INDEX($E29:$I29,0,AA$7+1)-INDEX($E29:$I29,0,AA$7))/(INDEX($E$4:$I$4,0,AA$7+1)-INDEX($E$4:$I$4,0,AA$7))+Z29)))</f>
        <v>0.84500000000000008</v>
      </c>
      <c r="AB29" s="313" cm="1">
        <f t="array" ref="AB29">IF(AB$7=-1,AC29,IF(AB$7=99,AA29,IF(AB$7=0,INDEX($E29:$I29,0,AB$5),(INDEX($E29:$I29,0,AB$7+1)-INDEX($E29:$I29,0,AB$7))/(INDEX($E$4:$I$4,0,AB$7+1)-INDEX($E$4:$I$4,0,AB$7))+AA29)))</f>
        <v>0.85</v>
      </c>
      <c r="AC29" s="313" cm="1">
        <f t="array" ref="AC29">IF(AC$7=-1,AD29,IF(AC$7=99,AB29,IF(AC$7=0,INDEX($E29:$I29,0,AC$5),(INDEX($E29:$I29,0,AC$7+1)-INDEX($E29:$I29,0,AC$7))/(INDEX($E$4:$I$4,0,AC$7+1)-INDEX($E$4:$I$4,0,AC$7))+AB29)))</f>
        <v>0.85499999999999998</v>
      </c>
      <c r="AD29" s="313" cm="1">
        <f t="array" ref="AD29">IF(AD$7=-1,AE29,IF(AD$7=99,AC29,IF(AD$7=0,INDEX($E29:$I29,0,AD$5),(INDEX($E29:$I29,0,AD$7+1)-INDEX($E29:$I29,0,AD$7))/(INDEX($E$4:$I$4,0,AD$7+1)-INDEX($E$4:$I$4,0,AD$7))+AC29)))</f>
        <v>0.86</v>
      </c>
      <c r="AE29" s="313" cm="1">
        <f t="array" ref="AE29">IF(AE$7=-1,AF29,IF(AE$7=99,AD29,IF(AE$7=0,INDEX($E29:$I29,0,AE$5),(INDEX($E29:$I29,0,AE$7+1)-INDEX($E29:$I29,0,AE$7))/(INDEX($E$4:$I$4,0,AE$7+1)-INDEX($E$4:$I$4,0,AE$7))+AD29)))</f>
        <v>0.86499999999999999</v>
      </c>
      <c r="AF29" s="313" cm="1">
        <f t="array" ref="AF29">IF(AF$7=-1,AG29,IF(AF$7=99,AE29,IF(AF$7=0,INDEX($E29:$I29,0,AF$5),(INDEX($E29:$I29,0,AF$7+1)-INDEX($E29:$I29,0,AF$7))/(INDEX($E$4:$I$4,0,AF$7+1)-INDEX($E$4:$I$4,0,AF$7))+AE29)))</f>
        <v>0.87</v>
      </c>
      <c r="AG29" s="313" cm="1">
        <f t="array" ref="AG29">IF(AG$7=-1,AH29,IF(AG$7=99,AF29,IF(AG$7=0,INDEX($E29:$I29,0,AG$5),(INDEX($E29:$I29,0,AG$7+1)-INDEX($E29:$I29,0,AG$7))/(INDEX($E$4:$I$4,0,AG$7+1)-INDEX($E$4:$I$4,0,AG$7))+AF29)))</f>
        <v>0.875</v>
      </c>
      <c r="AH29" s="313" cm="1">
        <f t="array" ref="AH29">IF(AH$7=-1,AI29,IF(AH$7=99,AG29,IF(AH$7=0,INDEX($E29:$I29,0,AH$5),(INDEX($E29:$I29,0,AH$7+1)-INDEX($E29:$I29,0,AH$7))/(INDEX($E$4:$I$4,0,AH$7+1)-INDEX($E$4:$I$4,0,AH$7))+AG29)))</f>
        <v>0.88</v>
      </c>
      <c r="AI29" s="313" cm="1">
        <f t="array" ref="AI29">IF(AI$7=-1,AJ29,IF(AI$7=99,AH29,IF(AI$7=0,INDEX($E29:$I29,0,AI$5),(INDEX($E29:$I29,0,AI$7+1)-INDEX($E29:$I29,0,AI$7))/(INDEX($E$4:$I$4,0,AI$7+1)-INDEX($E$4:$I$4,0,AI$7))+AH29)))</f>
        <v>0.88500000000000001</v>
      </c>
      <c r="AJ29" s="313" cm="1">
        <f t="array" ref="AJ29">IF(AJ$7=-1,AK29,IF(AJ$7=99,AI29,IF(AJ$7=0,INDEX($E29:$I29,0,AJ$5),(INDEX($E29:$I29,0,AJ$7+1)-INDEX($E29:$I29,0,AJ$7))/(INDEX($E$4:$I$4,0,AJ$7+1)-INDEX($E$4:$I$4,0,AJ$7))+AI29)))</f>
        <v>0.89</v>
      </c>
      <c r="AK29" s="313" cm="1">
        <f t="array" ref="AK29">IF(AK$7=-1,AL29,IF(AK$7=99,AJ29,IF(AK$7=0,INDEX($E29:$I29,0,AK$5),(INDEX($E29:$I29,0,AK$7+1)-INDEX($E29:$I29,0,AK$7))/(INDEX($E$4:$I$4,0,AK$7+1)-INDEX($E$4:$I$4,0,AK$7))+AJ29)))</f>
        <v>0.89500000000000002</v>
      </c>
      <c r="AL29" s="313" cm="1">
        <f t="array" ref="AL29">IF(AL$7=-1,AM29,IF(AL$7=99,AK29,IF(AL$7=0,INDEX($E29:$I29,0,AL$5),(INDEX($E29:$I29,0,AL$7+1)-INDEX($E29:$I29,0,AL$7))/(INDEX($E$4:$I$4,0,AL$7+1)-INDEX($E$4:$I$4,0,AL$7))+AK29)))</f>
        <v>0.9</v>
      </c>
      <c r="AM29" s="214">
        <f>(AL29+AN29)/2</f>
        <v>0.92500000000000004</v>
      </c>
      <c r="AN29" s="313" cm="1">
        <f t="array" ref="AN29">IF(AN$7=-1,AO29,IF(AN$7=99,AM29,IF(AN$7=0,INDEX($E29:$I29,0,AN$5),(INDEX($E29:$I29,0,AN$7+1)-INDEX($E29:$I29,0,AN$7))/(INDEX($E$4:$I$4,0,AN$7+1)-INDEX($E$4:$I$4,0,AN$7))+AM29)))</f>
        <v>0.95</v>
      </c>
      <c r="AO29" s="313" cm="1">
        <f t="array" ref="AO29">IF(AO$7=-1,AP29,IF(AO$7=99,AN29,IF(AO$7=0,INDEX($E29:$I29,0,AO$5),(INDEX($E29:$I29,0,AO$7+1)-INDEX($E29:$I29,0,AO$7))/(INDEX($E$4:$I$4,0,AO$7+1)-INDEX($E$4:$I$4,0,AO$7))+AN29)))</f>
        <v>0.95</v>
      </c>
      <c r="AP29" s="313" cm="1">
        <f t="array" ref="AP29">IF(AP$7=-1,AQ29,IF(AP$7=99,AO29,IF(AP$7=0,INDEX($E29:$I29,0,AP$5),(INDEX($E29:$I29,0,AP$7+1)-INDEX($E29:$I29,0,AP$7))/(INDEX($E$4:$I$4,0,AP$7+1)-INDEX($E$4:$I$4,0,AP$7))+AO29)))</f>
        <v>0.95</v>
      </c>
    </row>
    <row r="30" spans="1:48">
      <c r="A30" s="313" t="s">
        <v>16</v>
      </c>
      <c r="C30" s="313" t="s">
        <v>8</v>
      </c>
      <c r="D30" s="313" t="s">
        <v>48</v>
      </c>
      <c r="E30" s="80">
        <v>0.83</v>
      </c>
      <c r="F30" s="34">
        <v>0.9</v>
      </c>
      <c r="G30" s="34">
        <v>0.95</v>
      </c>
      <c r="H30" s="34">
        <v>0.95</v>
      </c>
      <c r="I30" s="112">
        <v>1</v>
      </c>
      <c r="J30" s="313" cm="1">
        <f t="array" ref="J30">IF(J$7=-1,K30,IF(J$7=99,I30,IF(J$7=0,INDEX($E30:$I30,0,J$5),(INDEX($E30:$I30,0,J$7+1)-INDEX($E30:$I30,0,J$7))/(INDEX($E$4:$I$4,0,J$7+1)-INDEX($E$4:$I$4,0,J$7))+I30)))</f>
        <v>0.83</v>
      </c>
      <c r="K30" s="313" cm="1">
        <f t="array" ref="K30">IF(K$7=-1,L30,IF(K$7=99,J30,IF(K$7=0,INDEX($E30:$I30,0,K$5),(INDEX($E30:$I30,0,K$7+1)-INDEX($E30:$I30,0,K$7))/(INDEX($E$4:$I$4,0,K$7+1)-INDEX($E$4:$I$4,0,K$7))+J30)))</f>
        <v>0.83875</v>
      </c>
      <c r="L30" s="313" cm="1">
        <f t="array" ref="L30">IF(L$7=-1,M30,IF(L$7=99,K30,IF(L$7=0,INDEX($E30:$I30,0,L$5),(INDEX($E30:$I30,0,L$7+1)-INDEX($E30:$I30,0,L$7))/(INDEX($E$4:$I$4,0,L$7+1)-INDEX($E$4:$I$4,0,L$7))+K30)))</f>
        <v>0.84750000000000003</v>
      </c>
      <c r="M30" s="313" cm="1">
        <f t="array" ref="M30">IF(M$7=-1,N30,IF(M$7=99,L30,IF(M$7=0,INDEX($E30:$I30,0,M$5),(INDEX($E30:$I30,0,M$7+1)-INDEX($E30:$I30,0,M$7))/(INDEX($E$4:$I$4,0,M$7+1)-INDEX($E$4:$I$4,0,M$7))+L30)))</f>
        <v>0.85625000000000007</v>
      </c>
      <c r="N30" s="313" cm="1">
        <f t="array" ref="N30">IF(N$7=-1,O30,IF(N$7=99,M30,IF(N$7=0,INDEX($E30:$I30,0,N$5),(INDEX($E30:$I30,0,N$7+1)-INDEX($E30:$I30,0,N$7))/(INDEX($E$4:$I$4,0,N$7+1)-INDEX($E$4:$I$4,0,N$7))+M30)))</f>
        <v>0.8650000000000001</v>
      </c>
      <c r="O30" s="313" cm="1">
        <f t="array" ref="O30">IF(O$7=-1,P30,IF(O$7=99,N30,IF(O$7=0,INDEX($E30:$I30,0,O$5),(INDEX($E30:$I30,0,O$7+1)-INDEX($E30:$I30,0,O$7))/(INDEX($E$4:$I$4,0,O$7+1)-INDEX($E$4:$I$4,0,O$7))+N30)))</f>
        <v>0.87375000000000014</v>
      </c>
      <c r="P30" s="313" cm="1">
        <f t="array" ref="P30">IF(P$7=-1,Q30,IF(P$7=99,O30,IF(P$7=0,INDEX($E30:$I30,0,P$5),(INDEX($E30:$I30,0,P$7+1)-INDEX($E30:$I30,0,P$7))/(INDEX($E$4:$I$4,0,P$7+1)-INDEX($E$4:$I$4,0,P$7))+O30)))</f>
        <v>0.88250000000000017</v>
      </c>
      <c r="Q30" s="313" cm="1">
        <f t="array" ref="Q30">IF(Q$7=-1,R30,IF(Q$7=99,P30,IF(Q$7=0,INDEX($E30:$I30,0,Q$5),(INDEX($E30:$I30,0,Q$7+1)-INDEX($E30:$I30,0,Q$7))/(INDEX($E$4:$I$4,0,Q$7+1)-INDEX($E$4:$I$4,0,Q$7))+P30)))</f>
        <v>0.89125000000000021</v>
      </c>
      <c r="R30" s="313" cm="1">
        <f t="array" ref="R30">IF(R$7=-1,S30,IF(R$7=99,Q30,IF(R$7=0,INDEX($E30:$I30,0,R$5),(INDEX($E30:$I30,0,R$7+1)-INDEX($E30:$I30,0,R$7))/(INDEX($E$4:$I$4,0,R$7+1)-INDEX($E$4:$I$4,0,R$7))+Q30)))</f>
        <v>0.9</v>
      </c>
      <c r="S30" s="313" cm="1">
        <f t="array" ref="S30">IF(S$7=-1,T30,IF(S$7=99,R30,IF(S$7=0,INDEX($E30:$I30,0,S$5),(INDEX($E30:$I30,0,S$7+1)-INDEX($E30:$I30,0,S$7))/(INDEX($E$4:$I$4,0,S$7+1)-INDEX($E$4:$I$4,0,S$7))+R30)))</f>
        <v>0.90500000000000003</v>
      </c>
      <c r="T30" s="313" cm="1">
        <f t="array" ref="T30">IF(T$7=-1,U30,IF(T$7=99,S30,IF(T$7=0,INDEX($E30:$I30,0,T$5),(INDEX($E30:$I30,0,T$7+1)-INDEX($E30:$I30,0,T$7))/(INDEX($E$4:$I$4,0,T$7+1)-INDEX($E$4:$I$4,0,T$7))+S30)))</f>
        <v>0.91</v>
      </c>
      <c r="U30" s="313" cm="1">
        <f t="array" ref="U30">IF(U$7=-1,V30,IF(U$7=99,T30,IF(U$7=0,INDEX($E30:$I30,0,U$5),(INDEX($E30:$I30,0,U$7+1)-INDEX($E30:$I30,0,U$7))/(INDEX($E$4:$I$4,0,U$7+1)-INDEX($E$4:$I$4,0,U$7))+T30)))</f>
        <v>0.91500000000000004</v>
      </c>
      <c r="V30" s="313" cm="1">
        <f t="array" ref="V30">IF(V$7=-1,W30,IF(V$7=99,U30,IF(V$7=0,INDEX($E30:$I30,0,V$5),(INDEX($E30:$I30,0,V$7+1)-INDEX($E30:$I30,0,V$7))/(INDEX($E$4:$I$4,0,V$7+1)-INDEX($E$4:$I$4,0,V$7))+U30)))</f>
        <v>0.92</v>
      </c>
      <c r="W30" s="313" cm="1">
        <f t="array" ref="W30">IF(W$7=-1,X30,IF(W$7=99,V30,IF(W$7=0,INDEX($E30:$I30,0,W$5),(INDEX($E30:$I30,0,W$7+1)-INDEX($E30:$I30,0,W$7))/(INDEX($E$4:$I$4,0,W$7+1)-INDEX($E$4:$I$4,0,W$7))+V30)))</f>
        <v>0.92500000000000004</v>
      </c>
      <c r="X30" s="313" cm="1">
        <f t="array" ref="X30">IF(X$7=-1,Y30,IF(X$7=99,W30,IF(X$7=0,INDEX($E30:$I30,0,X$5),(INDEX($E30:$I30,0,X$7+1)-INDEX($E30:$I30,0,X$7))/(INDEX($E$4:$I$4,0,X$7+1)-INDEX($E$4:$I$4,0,X$7))+W30)))</f>
        <v>0.93</v>
      </c>
      <c r="Y30" s="313" cm="1">
        <f t="array" ref="Y30">IF(Y$7=-1,Z30,IF(Y$7=99,X30,IF(Y$7=0,INDEX($E30:$I30,0,Y$5),(INDEX($E30:$I30,0,Y$7+1)-INDEX($E30:$I30,0,Y$7))/(INDEX($E$4:$I$4,0,Y$7+1)-INDEX($E$4:$I$4,0,Y$7))+X30)))</f>
        <v>0.93500000000000005</v>
      </c>
      <c r="Z30" s="313" cm="1">
        <f t="array" ref="Z30">IF(Z$7=-1,AA30,IF(Z$7=99,Y30,IF(Z$7=0,INDEX($E30:$I30,0,Z$5),(INDEX($E30:$I30,0,Z$7+1)-INDEX($E30:$I30,0,Z$7))/(INDEX($E$4:$I$4,0,Z$7+1)-INDEX($E$4:$I$4,0,Z$7))+Y30)))</f>
        <v>0.94000000000000006</v>
      </c>
      <c r="AA30" s="313" cm="1">
        <f t="array" ref="AA30">IF(AA$7=-1,AB30,IF(AA$7=99,Z30,IF(AA$7=0,INDEX($E30:$I30,0,AA$5),(INDEX($E30:$I30,0,AA$7+1)-INDEX($E30:$I30,0,AA$7))/(INDEX($E$4:$I$4,0,AA$7+1)-INDEX($E$4:$I$4,0,AA$7))+Z30)))</f>
        <v>0.94500000000000006</v>
      </c>
      <c r="AB30" s="313" cm="1">
        <f t="array" ref="AB30">IF(AB$7=-1,AC30,IF(AB$7=99,AA30,IF(AB$7=0,INDEX($E30:$I30,0,AB$5),(INDEX($E30:$I30,0,AB$7+1)-INDEX($E30:$I30,0,AB$7))/(INDEX($E$4:$I$4,0,AB$7+1)-INDEX($E$4:$I$4,0,AB$7))+AA30)))</f>
        <v>0.95</v>
      </c>
      <c r="AC30" s="313" cm="1">
        <f t="array" ref="AC30">IF(AC$7=-1,AD30,IF(AC$7=99,AB30,IF(AC$7=0,INDEX($E30:$I30,0,AC$5),(INDEX($E30:$I30,0,AC$7+1)-INDEX($E30:$I30,0,AC$7))/(INDEX($E$4:$I$4,0,AC$7+1)-INDEX($E$4:$I$4,0,AC$7))+AB30)))</f>
        <v>0.95</v>
      </c>
      <c r="AD30" s="313" cm="1">
        <f t="array" ref="AD30">IF(AD$7=-1,AE30,IF(AD$7=99,AC30,IF(AD$7=0,INDEX($E30:$I30,0,AD$5),(INDEX($E30:$I30,0,AD$7+1)-INDEX($E30:$I30,0,AD$7))/(INDEX($E$4:$I$4,0,AD$7+1)-INDEX($E$4:$I$4,0,AD$7))+AC30)))</f>
        <v>0.95</v>
      </c>
      <c r="AE30" s="313" cm="1">
        <f t="array" ref="AE30">IF(AE$7=-1,AF30,IF(AE$7=99,AD30,IF(AE$7=0,INDEX($E30:$I30,0,AE$5),(INDEX($E30:$I30,0,AE$7+1)-INDEX($E30:$I30,0,AE$7))/(INDEX($E$4:$I$4,0,AE$7+1)-INDEX($E$4:$I$4,0,AE$7))+AD30)))</f>
        <v>0.95</v>
      </c>
      <c r="AF30" s="313" cm="1">
        <f t="array" ref="AF30">IF(AF$7=-1,AG30,IF(AF$7=99,AE30,IF(AF$7=0,INDEX($E30:$I30,0,AF$5),(INDEX($E30:$I30,0,AF$7+1)-INDEX($E30:$I30,0,AF$7))/(INDEX($E$4:$I$4,0,AF$7+1)-INDEX($E$4:$I$4,0,AF$7))+AE30)))</f>
        <v>0.95</v>
      </c>
      <c r="AG30" s="313" cm="1">
        <f t="array" ref="AG30">IF(AG$7=-1,AH30,IF(AG$7=99,AF30,IF(AG$7=0,INDEX($E30:$I30,0,AG$5),(INDEX($E30:$I30,0,AG$7+1)-INDEX($E30:$I30,0,AG$7))/(INDEX($E$4:$I$4,0,AG$7+1)-INDEX($E$4:$I$4,0,AG$7))+AF30)))</f>
        <v>0.95</v>
      </c>
      <c r="AH30" s="313" cm="1">
        <f t="array" ref="AH30">IF(AH$7=-1,AI30,IF(AH$7=99,AG30,IF(AH$7=0,INDEX($E30:$I30,0,AH$5),(INDEX($E30:$I30,0,AH$7+1)-INDEX($E30:$I30,0,AH$7))/(INDEX($E$4:$I$4,0,AH$7+1)-INDEX($E$4:$I$4,0,AH$7))+AG30)))</f>
        <v>0.95</v>
      </c>
      <c r="AI30" s="313" cm="1">
        <f t="array" ref="AI30">IF(AI$7=-1,AJ30,IF(AI$7=99,AH30,IF(AI$7=0,INDEX($E30:$I30,0,AI$5),(INDEX($E30:$I30,0,AI$7+1)-INDEX($E30:$I30,0,AI$7))/(INDEX($E$4:$I$4,0,AI$7+1)-INDEX($E$4:$I$4,0,AI$7))+AH30)))</f>
        <v>0.95</v>
      </c>
      <c r="AJ30" s="313" cm="1">
        <f t="array" ref="AJ30">IF(AJ$7=-1,AK30,IF(AJ$7=99,AI30,IF(AJ$7=0,INDEX($E30:$I30,0,AJ$5),(INDEX($E30:$I30,0,AJ$7+1)-INDEX($E30:$I30,0,AJ$7))/(INDEX($E$4:$I$4,0,AJ$7+1)-INDEX($E$4:$I$4,0,AJ$7))+AI30)))</f>
        <v>0.95</v>
      </c>
      <c r="AK30" s="313" cm="1">
        <f t="array" ref="AK30">IF(AK$7=-1,AL30,IF(AK$7=99,AJ30,IF(AK$7=0,INDEX($E30:$I30,0,AK$5),(INDEX($E30:$I30,0,AK$7+1)-INDEX($E30:$I30,0,AK$7))/(INDEX($E$4:$I$4,0,AK$7+1)-INDEX($E$4:$I$4,0,AK$7))+AJ30)))</f>
        <v>0.95</v>
      </c>
      <c r="AL30" s="313" cm="1">
        <f t="array" ref="AL30">IF(AL$7=-1,AM30,IF(AL$7=99,AK30,IF(AL$7=0,INDEX($E30:$I30,0,AL$5),(INDEX($E30:$I30,0,AL$7+1)-INDEX($E30:$I30,0,AL$7))/(INDEX($E$4:$I$4,0,AL$7+1)-INDEX($E$4:$I$4,0,AL$7))+AK30)))</f>
        <v>0.95</v>
      </c>
      <c r="AM30" s="214">
        <f>(AL30+AN30)/2</f>
        <v>0.97499999999999998</v>
      </c>
      <c r="AN30" s="313" cm="1">
        <f t="array" ref="AN30">IF(AN$7=-1,AO30,IF(AN$7=99,AM30,IF(AN$7=0,INDEX($E30:$I30,0,AN$5),(INDEX($E30:$I30,0,AN$7+1)-INDEX($E30:$I30,0,AN$7))/(INDEX($E$4:$I$4,0,AN$7+1)-INDEX($E$4:$I$4,0,AN$7))+AM30)))</f>
        <v>1</v>
      </c>
      <c r="AO30" s="313" cm="1">
        <f t="array" ref="AO30">IF(AO$7=-1,AP30,IF(AO$7=99,AN30,IF(AO$7=0,INDEX($E30:$I30,0,AO$5),(INDEX($E30:$I30,0,AO$7+1)-INDEX($E30:$I30,0,AO$7))/(INDEX($E$4:$I$4,0,AO$7+1)-INDEX($E$4:$I$4,0,AO$7))+AN30)))</f>
        <v>1</v>
      </c>
      <c r="AP30" s="313" cm="1">
        <f t="array" ref="AP30">IF(AP$7=-1,AQ30,IF(AP$7=99,AO30,IF(AP$7=0,INDEX($E30:$I30,0,AP$5),(INDEX($E30:$I30,0,AP$7+1)-INDEX($E30:$I30,0,AP$7))/(INDEX($E$4:$I$4,0,AP$7+1)-INDEX($E$4:$I$4,0,AP$7))+AO30)))</f>
        <v>1</v>
      </c>
    </row>
    <row r="31" spans="1:48">
      <c r="A31" s="313" t="s">
        <v>16</v>
      </c>
      <c r="C31" s="313" t="s">
        <v>54</v>
      </c>
      <c r="D31" s="313" t="s">
        <v>48</v>
      </c>
      <c r="E31" s="80">
        <f>(E29*E22+E30*E23+E24)/E25</f>
        <v>0.80399999999999994</v>
      </c>
      <c r="F31" s="80">
        <f>(F29*F22+F30*F23+F24)/F25</f>
        <v>0.8743242438248725</v>
      </c>
      <c r="G31" s="80">
        <f>(G29*G22+G30*G23+G24)/G25</f>
        <v>0.92170570049338529</v>
      </c>
      <c r="H31" s="80">
        <f>(H29*H22+H30*H23+H24)/H25</f>
        <v>0.94864283431244867</v>
      </c>
      <c r="I31" s="80">
        <f>(I29*I22+I30*I23+I24)/I25</f>
        <v>0.98628728561322054</v>
      </c>
      <c r="J31" s="321"/>
    </row>
    <row r="32" spans="1:48">
      <c r="A32" s="313" t="s">
        <v>16</v>
      </c>
    </row>
    <row r="33" spans="1:48" ht="15.75" thickBot="1">
      <c r="A33" s="313" t="s">
        <v>16</v>
      </c>
      <c r="B33" s="312" t="s">
        <v>59</v>
      </c>
      <c r="D33" s="312"/>
      <c r="E33" s="313">
        <f>E28</f>
        <v>2012</v>
      </c>
      <c r="F33" s="313">
        <f>F28</f>
        <v>2020</v>
      </c>
      <c r="G33" s="313">
        <f>G28</f>
        <v>2030</v>
      </c>
      <c r="H33" s="313">
        <f>H28</f>
        <v>2040</v>
      </c>
      <c r="I33" s="313">
        <f>I28</f>
        <v>2050</v>
      </c>
    </row>
    <row r="34" spans="1:48">
      <c r="A34" s="313" t="s">
        <v>16</v>
      </c>
      <c r="B34" s="313" t="str">
        <f>[5]RES!B26</f>
        <v>LE</v>
      </c>
      <c r="C34" s="313" t="str">
        <f>[5]RES!A26</f>
        <v>Low Income Electrified</v>
      </c>
      <c r="D34" s="313" t="s">
        <v>47</v>
      </c>
      <c r="E34" s="10">
        <f t="shared" ref="E34:AP34" si="11">E22</f>
        <v>26.162716441035041</v>
      </c>
      <c r="F34" s="10">
        <f t="shared" si="11"/>
        <v>26.998265626975765</v>
      </c>
      <c r="G34" s="10">
        <f t="shared" si="11"/>
        <v>27.268179044262631</v>
      </c>
      <c r="H34" s="10">
        <f t="shared" si="11"/>
        <v>24.363641895847387</v>
      </c>
      <c r="I34" s="10">
        <f t="shared" si="11"/>
        <v>20.711110331567543</v>
      </c>
      <c r="J34" s="10">
        <f t="shared" si="11"/>
        <v>26.162716441035041</v>
      </c>
      <c r="K34" s="10">
        <f t="shared" si="11"/>
        <v>26.124793740612695</v>
      </c>
      <c r="L34" s="10">
        <f t="shared" si="11"/>
        <v>25.810272238913001</v>
      </c>
      <c r="M34" s="10">
        <f t="shared" si="11"/>
        <v>25.676476665132281</v>
      </c>
      <c r="N34" s="10">
        <f t="shared" si="11"/>
        <v>25.758415053648385</v>
      </c>
      <c r="O34" s="10">
        <f t="shared" si="11"/>
        <v>25.755361891142741</v>
      </c>
      <c r="P34" s="10">
        <f t="shared" si="11"/>
        <v>25.706039736299225</v>
      </c>
      <c r="Q34" s="10">
        <f t="shared" si="11"/>
        <v>25.946710085536886</v>
      </c>
      <c r="R34" s="10">
        <f t="shared" si="11"/>
        <v>26.998265626975765</v>
      </c>
      <c r="S34" s="10">
        <f t="shared" si="11"/>
        <v>29.287129613802783</v>
      </c>
      <c r="T34" s="10">
        <f t="shared" si="11"/>
        <v>29.242513492212662</v>
      </c>
      <c r="U34" s="10">
        <f t="shared" si="11"/>
        <v>29.119930379039147</v>
      </c>
      <c r="V34" s="10">
        <f t="shared" si="11"/>
        <v>28.914921802619762</v>
      </c>
      <c r="W34" s="10">
        <f t="shared" si="11"/>
        <v>28.703653933445384</v>
      </c>
      <c r="X34" s="10">
        <f t="shared" si="11"/>
        <v>28.432849130265836</v>
      </c>
      <c r="Y34" s="10">
        <f t="shared" si="11"/>
        <v>28.093231022474818</v>
      </c>
      <c r="Z34" s="10">
        <f t="shared" si="11"/>
        <v>27.751114906132823</v>
      </c>
      <c r="AA34" s="10">
        <f t="shared" si="11"/>
        <v>27.446014044850234</v>
      </c>
      <c r="AB34" s="10">
        <f t="shared" si="11"/>
        <v>27.268179044262631</v>
      </c>
      <c r="AC34" s="10">
        <f t="shared" si="11"/>
        <v>27.051393095318446</v>
      </c>
      <c r="AD34" s="10">
        <f t="shared" si="11"/>
        <v>26.740214774750875</v>
      </c>
      <c r="AE34" s="10">
        <f t="shared" si="11"/>
        <v>26.435860845032895</v>
      </c>
      <c r="AF34" s="10">
        <f t="shared" si="11"/>
        <v>26.166118078222159</v>
      </c>
      <c r="AG34" s="10">
        <f t="shared" si="11"/>
        <v>25.918622781111281</v>
      </c>
      <c r="AH34" s="10">
        <f t="shared" si="11"/>
        <v>25.624566310754656</v>
      </c>
      <c r="AI34" s="10">
        <f t="shared" si="11"/>
        <v>25.294087785910385</v>
      </c>
      <c r="AJ34" s="10">
        <f t="shared" si="11"/>
        <v>24.983385336860582</v>
      </c>
      <c r="AK34" s="10">
        <f t="shared" si="11"/>
        <v>24.681316266168029</v>
      </c>
      <c r="AL34" s="10">
        <f t="shared" si="11"/>
        <v>24.363641895847387</v>
      </c>
      <c r="AM34" s="10">
        <f t="shared" si="11"/>
        <v>22.471523269897709</v>
      </c>
      <c r="AN34" s="10">
        <f t="shared" si="11"/>
        <v>20.711110331567543</v>
      </c>
      <c r="AO34" s="10">
        <f t="shared" si="11"/>
        <v>20.711110331567543</v>
      </c>
      <c r="AP34" s="10">
        <f t="shared" si="11"/>
        <v>20.711110331567543</v>
      </c>
      <c r="AQ34" s="10"/>
      <c r="AR34" s="10"/>
      <c r="AS34" s="10"/>
      <c r="AT34" s="10"/>
      <c r="AU34" s="10"/>
      <c r="AV34" s="10"/>
    </row>
    <row r="35" spans="1:48">
      <c r="A35" s="313" t="s">
        <v>16</v>
      </c>
      <c r="B35" s="313" t="str">
        <f>[5]RES!B27</f>
        <v>ME</v>
      </c>
      <c r="C35" s="313" t="str">
        <f>[5]RES!A27</f>
        <v>Middle Income Electrified</v>
      </c>
      <c r="D35" s="313" t="s">
        <v>47</v>
      </c>
      <c r="E35" s="10">
        <f t="shared" ref="E35:AP35" si="12">E23</f>
        <v>15.697629864621025</v>
      </c>
      <c r="F35" s="10">
        <f t="shared" si="12"/>
        <v>19.311259441517389</v>
      </c>
      <c r="G35" s="10">
        <f t="shared" si="12"/>
        <v>21.60781205322996</v>
      </c>
      <c r="H35" s="10">
        <f t="shared" si="12"/>
        <v>24.637054970594811</v>
      </c>
      <c r="I35" s="10">
        <f t="shared" si="12"/>
        <v>27.181128980417853</v>
      </c>
      <c r="J35" s="10">
        <f t="shared" si="12"/>
        <v>15.697629864621025</v>
      </c>
      <c r="K35" s="10">
        <f t="shared" si="12"/>
        <v>15.706931206012538</v>
      </c>
      <c r="L35" s="10">
        <f t="shared" si="12"/>
        <v>16.206450010480257</v>
      </c>
      <c r="M35" s="10">
        <f t="shared" si="12"/>
        <v>16.65350655721161</v>
      </c>
      <c r="N35" s="10">
        <f t="shared" si="12"/>
        <v>17.096293177200256</v>
      </c>
      <c r="O35" s="10">
        <f t="shared" si="12"/>
        <v>17.422744808714206</v>
      </c>
      <c r="P35" s="10">
        <f t="shared" si="12"/>
        <v>17.892835083270921</v>
      </c>
      <c r="Q35" s="10">
        <f t="shared" si="12"/>
        <v>18.376375848815535</v>
      </c>
      <c r="R35" s="10">
        <f t="shared" si="12"/>
        <v>19.311259441517389</v>
      </c>
      <c r="S35" s="10">
        <f t="shared" si="12"/>
        <v>18.474508994341168</v>
      </c>
      <c r="T35" s="10">
        <f t="shared" si="12"/>
        <v>18.820339603291107</v>
      </c>
      <c r="U35" s="10">
        <f t="shared" si="12"/>
        <v>19.138098615320793</v>
      </c>
      <c r="V35" s="10">
        <f t="shared" si="12"/>
        <v>19.477571418874312</v>
      </c>
      <c r="W35" s="10">
        <f t="shared" si="12"/>
        <v>19.839383867317174</v>
      </c>
      <c r="X35" s="10">
        <f t="shared" si="12"/>
        <v>20.144575288890959</v>
      </c>
      <c r="Y35" s="10">
        <f t="shared" si="12"/>
        <v>20.507929256627207</v>
      </c>
      <c r="Z35" s="10">
        <f t="shared" si="12"/>
        <v>20.864468503440627</v>
      </c>
      <c r="AA35" s="10">
        <f t="shared" si="12"/>
        <v>21.224851289971184</v>
      </c>
      <c r="AB35" s="10">
        <f t="shared" si="12"/>
        <v>21.60781205322996</v>
      </c>
      <c r="AC35" s="10">
        <f t="shared" si="12"/>
        <v>21.855149352882151</v>
      </c>
      <c r="AD35" s="10">
        <f t="shared" si="12"/>
        <v>22.199131972702702</v>
      </c>
      <c r="AE35" s="10">
        <f t="shared" si="12"/>
        <v>22.522478893366742</v>
      </c>
      <c r="AF35" s="10">
        <f t="shared" si="12"/>
        <v>22.859500231761235</v>
      </c>
      <c r="AG35" s="10">
        <f t="shared" si="12"/>
        <v>23.169532577840151</v>
      </c>
      <c r="AH35" s="10">
        <f t="shared" si="12"/>
        <v>23.451620054415372</v>
      </c>
      <c r="AI35" s="10">
        <f t="shared" si="12"/>
        <v>23.758867332337829</v>
      </c>
      <c r="AJ35" s="10">
        <f t="shared" si="12"/>
        <v>24.067734202379224</v>
      </c>
      <c r="AK35" s="10">
        <f t="shared" si="12"/>
        <v>24.357067542341124</v>
      </c>
      <c r="AL35" s="10">
        <f t="shared" si="12"/>
        <v>24.637054970594811</v>
      </c>
      <c r="AM35" s="10">
        <f t="shared" si="12"/>
        <v>25.987016274103535</v>
      </c>
      <c r="AN35" s="10">
        <f t="shared" si="12"/>
        <v>27.181128980417853</v>
      </c>
      <c r="AO35" s="10">
        <f t="shared" si="12"/>
        <v>27.181128980417853</v>
      </c>
      <c r="AP35" s="10">
        <f t="shared" si="12"/>
        <v>27.181128980417853</v>
      </c>
      <c r="AQ35" s="10"/>
      <c r="AR35" s="10"/>
      <c r="AS35" s="10"/>
      <c r="AT35" s="10"/>
      <c r="AU35" s="10"/>
      <c r="AV35" s="10"/>
    </row>
    <row r="36" spans="1:48">
      <c r="A36" s="313" t="s">
        <v>16</v>
      </c>
      <c r="B36" s="313" t="str">
        <f>[5]RES!B28</f>
        <v>HE</v>
      </c>
      <c r="C36" s="313" t="str">
        <f>[5]RES!A28</f>
        <v>High Income Electrified</v>
      </c>
      <c r="D36" s="313" t="s">
        <v>47</v>
      </c>
      <c r="E36" s="10">
        <f t="shared" ref="E36:AP36" si="13">E24</f>
        <v>10.465086576414015</v>
      </c>
      <c r="F36" s="10">
        <f t="shared" si="13"/>
        <v>12.021367799432369</v>
      </c>
      <c r="G36" s="10">
        <f t="shared" si="13"/>
        <v>17.164799763201472</v>
      </c>
      <c r="H36" s="10">
        <f t="shared" si="13"/>
        <v>22.424914126799209</v>
      </c>
      <c r="I36" s="10">
        <f t="shared" si="13"/>
        <v>27.625669642404802</v>
      </c>
      <c r="J36" s="10">
        <f t="shared" si="13"/>
        <v>10.465086576414015</v>
      </c>
      <c r="K36" s="10">
        <f t="shared" si="13"/>
        <v>11.272661511798107</v>
      </c>
      <c r="L36" s="10">
        <f t="shared" si="13"/>
        <v>11.895643442036015</v>
      </c>
      <c r="M36" s="10">
        <f t="shared" si="13"/>
        <v>12.420508234977223</v>
      </c>
      <c r="N36" s="10">
        <f t="shared" si="13"/>
        <v>12.765232238976191</v>
      </c>
      <c r="O36" s="10">
        <f t="shared" si="13"/>
        <v>13.343841341791148</v>
      </c>
      <c r="P36" s="10">
        <f t="shared" si="13"/>
        <v>13.837125797729508</v>
      </c>
      <c r="Q36" s="10">
        <f t="shared" si="13"/>
        <v>14.041748987467024</v>
      </c>
      <c r="R36" s="10">
        <f t="shared" si="13"/>
        <v>12.021367799432369</v>
      </c>
      <c r="S36" s="10">
        <f t="shared" si="13"/>
        <v>12.336235380343002</v>
      </c>
      <c r="T36" s="10">
        <f t="shared" si="13"/>
        <v>12.778729191305597</v>
      </c>
      <c r="U36" s="10">
        <f t="shared" si="13"/>
        <v>13.279795361569889</v>
      </c>
      <c r="V36" s="10">
        <f t="shared" si="13"/>
        <v>13.829016479892299</v>
      </c>
      <c r="W36" s="10">
        <f t="shared" si="13"/>
        <v>14.349000781763538</v>
      </c>
      <c r="X36" s="10">
        <f t="shared" si="13"/>
        <v>14.9713931402833</v>
      </c>
      <c r="Y36" s="10">
        <f t="shared" si="13"/>
        <v>15.590100077664104</v>
      </c>
      <c r="Z36" s="10">
        <f t="shared" si="13"/>
        <v>16.203205315854781</v>
      </c>
      <c r="AA36" s="10">
        <f t="shared" si="13"/>
        <v>16.764576876108688</v>
      </c>
      <c r="AB36" s="10">
        <f t="shared" si="13"/>
        <v>17.164799763201472</v>
      </c>
      <c r="AC36" s="10">
        <f t="shared" si="13"/>
        <v>17.727866970502511</v>
      </c>
      <c r="AD36" s="10">
        <f t="shared" si="13"/>
        <v>18.276531070338095</v>
      </c>
      <c r="AE36" s="10">
        <f t="shared" si="13"/>
        <v>18.826441931541119</v>
      </c>
      <c r="AF36" s="10">
        <f t="shared" si="13"/>
        <v>19.316437316759014</v>
      </c>
      <c r="AG36" s="10">
        <f t="shared" si="13"/>
        <v>19.799175499648925</v>
      </c>
      <c r="AH36" s="10">
        <f t="shared" si="13"/>
        <v>20.344057781928377</v>
      </c>
      <c r="AI36" s="10">
        <f t="shared" si="13"/>
        <v>20.8874831667205</v>
      </c>
      <c r="AJ36" s="10">
        <f t="shared" si="13"/>
        <v>21.396442932913359</v>
      </c>
      <c r="AK36" s="10">
        <f t="shared" si="13"/>
        <v>21.904338443755417</v>
      </c>
      <c r="AL36" s="10">
        <f t="shared" si="13"/>
        <v>22.424914126799209</v>
      </c>
      <c r="AM36" s="10">
        <f t="shared" si="13"/>
        <v>25.187332958838827</v>
      </c>
      <c r="AN36" s="10">
        <f t="shared" si="13"/>
        <v>27.625669642404802</v>
      </c>
      <c r="AO36" s="10">
        <f t="shared" si="13"/>
        <v>27.625669642404802</v>
      </c>
      <c r="AP36" s="10">
        <f t="shared" si="13"/>
        <v>27.625669642404802</v>
      </c>
      <c r="AQ36" s="10"/>
      <c r="AR36" s="10"/>
      <c r="AS36" s="10"/>
      <c r="AT36" s="10"/>
      <c r="AU36" s="10"/>
      <c r="AV36" s="10"/>
    </row>
    <row r="37" spans="1:48">
      <c r="A37" s="313" t="s">
        <v>16</v>
      </c>
      <c r="B37" s="313" t="str">
        <f>[5]RES!B29</f>
        <v>LN</v>
      </c>
      <c r="C37" s="313" t="str">
        <f>[5]RES!A29</f>
        <v>Low Income Non-Electrified</v>
      </c>
      <c r="D37" s="313" t="s">
        <v>47</v>
      </c>
      <c r="E37" s="10">
        <f t="shared" ref="E37:AP37" si="14">E22-E34</f>
        <v>0</v>
      </c>
      <c r="F37" s="10">
        <f t="shared" si="14"/>
        <v>0</v>
      </c>
      <c r="G37" s="10">
        <f t="shared" si="14"/>
        <v>0</v>
      </c>
      <c r="H37" s="10">
        <f t="shared" si="14"/>
        <v>0</v>
      </c>
      <c r="I37" s="10">
        <f t="shared" si="14"/>
        <v>0</v>
      </c>
      <c r="J37" s="10">
        <f t="shared" si="14"/>
        <v>0</v>
      </c>
      <c r="K37" s="10">
        <f t="shared" si="14"/>
        <v>0</v>
      </c>
      <c r="L37" s="10">
        <f t="shared" si="14"/>
        <v>0</v>
      </c>
      <c r="M37" s="10">
        <f t="shared" si="14"/>
        <v>0</v>
      </c>
      <c r="N37" s="10">
        <f t="shared" si="14"/>
        <v>0</v>
      </c>
      <c r="O37" s="10">
        <f t="shared" si="14"/>
        <v>0</v>
      </c>
      <c r="P37" s="10">
        <f t="shared" si="14"/>
        <v>0</v>
      </c>
      <c r="Q37" s="10">
        <f t="shared" si="14"/>
        <v>0</v>
      </c>
      <c r="R37" s="10">
        <f t="shared" si="14"/>
        <v>0</v>
      </c>
      <c r="S37" s="10">
        <f t="shared" si="14"/>
        <v>0</v>
      </c>
      <c r="T37" s="10">
        <f t="shared" si="14"/>
        <v>0</v>
      </c>
      <c r="U37" s="10">
        <f t="shared" si="14"/>
        <v>0</v>
      </c>
      <c r="V37" s="10">
        <f t="shared" si="14"/>
        <v>0</v>
      </c>
      <c r="W37" s="10">
        <f t="shared" si="14"/>
        <v>0</v>
      </c>
      <c r="X37" s="10">
        <f t="shared" si="14"/>
        <v>0</v>
      </c>
      <c r="Y37" s="10">
        <f t="shared" si="14"/>
        <v>0</v>
      </c>
      <c r="Z37" s="10">
        <f t="shared" si="14"/>
        <v>0</v>
      </c>
      <c r="AA37" s="10">
        <f t="shared" si="14"/>
        <v>0</v>
      </c>
      <c r="AB37" s="10">
        <f t="shared" si="14"/>
        <v>0</v>
      </c>
      <c r="AC37" s="10">
        <f t="shared" si="14"/>
        <v>0</v>
      </c>
      <c r="AD37" s="10">
        <f t="shared" si="14"/>
        <v>0</v>
      </c>
      <c r="AE37" s="10">
        <f t="shared" si="14"/>
        <v>0</v>
      </c>
      <c r="AF37" s="10">
        <f t="shared" si="14"/>
        <v>0</v>
      </c>
      <c r="AG37" s="10">
        <f t="shared" si="14"/>
        <v>0</v>
      </c>
      <c r="AH37" s="10">
        <f t="shared" si="14"/>
        <v>0</v>
      </c>
      <c r="AI37" s="10">
        <f t="shared" si="14"/>
        <v>0</v>
      </c>
      <c r="AJ37" s="10">
        <f t="shared" si="14"/>
        <v>0</v>
      </c>
      <c r="AK37" s="10">
        <f t="shared" si="14"/>
        <v>0</v>
      </c>
      <c r="AL37" s="10">
        <f t="shared" si="14"/>
        <v>0</v>
      </c>
      <c r="AM37" s="10">
        <f t="shared" si="14"/>
        <v>0</v>
      </c>
      <c r="AN37" s="10">
        <f t="shared" si="14"/>
        <v>0</v>
      </c>
      <c r="AO37" s="10">
        <f t="shared" si="14"/>
        <v>0</v>
      </c>
      <c r="AP37" s="10">
        <f t="shared" si="14"/>
        <v>0</v>
      </c>
      <c r="AQ37" s="10"/>
      <c r="AR37" s="10"/>
      <c r="AS37" s="10"/>
      <c r="AT37" s="10"/>
      <c r="AU37" s="10"/>
      <c r="AV37" s="10"/>
    </row>
    <row r="38" spans="1:48">
      <c r="A38" s="313" t="s">
        <v>16</v>
      </c>
      <c r="B38" s="313" t="str">
        <f>[5]RES!B30</f>
        <v>MN</v>
      </c>
      <c r="C38" s="313" t="str">
        <f>[5]RES!A30</f>
        <v>Middle Income Non-Electrified</v>
      </c>
      <c r="D38" s="313" t="s">
        <v>47</v>
      </c>
      <c r="E38" s="10">
        <f t="shared" ref="E38:AP38" si="15">E23-E35</f>
        <v>0</v>
      </c>
      <c r="F38" s="10">
        <f t="shared" si="15"/>
        <v>0</v>
      </c>
      <c r="G38" s="10">
        <f t="shared" si="15"/>
        <v>0</v>
      </c>
      <c r="H38" s="10">
        <f t="shared" si="15"/>
        <v>0</v>
      </c>
      <c r="I38" s="10">
        <f t="shared" si="15"/>
        <v>0</v>
      </c>
      <c r="J38" s="10">
        <f t="shared" si="15"/>
        <v>0</v>
      </c>
      <c r="K38" s="10">
        <f t="shared" si="15"/>
        <v>0</v>
      </c>
      <c r="L38" s="10">
        <f t="shared" si="15"/>
        <v>0</v>
      </c>
      <c r="M38" s="10">
        <f t="shared" si="15"/>
        <v>0</v>
      </c>
      <c r="N38" s="10">
        <f t="shared" si="15"/>
        <v>0</v>
      </c>
      <c r="O38" s="10">
        <f t="shared" si="15"/>
        <v>0</v>
      </c>
      <c r="P38" s="10">
        <f t="shared" si="15"/>
        <v>0</v>
      </c>
      <c r="Q38" s="10">
        <f t="shared" si="15"/>
        <v>0</v>
      </c>
      <c r="R38" s="10">
        <f t="shared" si="15"/>
        <v>0</v>
      </c>
      <c r="S38" s="10">
        <f t="shared" si="15"/>
        <v>0</v>
      </c>
      <c r="T38" s="10">
        <f t="shared" si="15"/>
        <v>0</v>
      </c>
      <c r="U38" s="10">
        <f t="shared" si="15"/>
        <v>0</v>
      </c>
      <c r="V38" s="10">
        <f t="shared" si="15"/>
        <v>0</v>
      </c>
      <c r="W38" s="10">
        <f t="shared" si="15"/>
        <v>0</v>
      </c>
      <c r="X38" s="10">
        <f t="shared" si="15"/>
        <v>0</v>
      </c>
      <c r="Y38" s="10">
        <f t="shared" si="15"/>
        <v>0</v>
      </c>
      <c r="Z38" s="10">
        <f t="shared" si="15"/>
        <v>0</v>
      </c>
      <c r="AA38" s="10">
        <f t="shared" si="15"/>
        <v>0</v>
      </c>
      <c r="AB38" s="10">
        <f t="shared" si="15"/>
        <v>0</v>
      </c>
      <c r="AC38" s="10">
        <f t="shared" si="15"/>
        <v>0</v>
      </c>
      <c r="AD38" s="10">
        <f t="shared" si="15"/>
        <v>0</v>
      </c>
      <c r="AE38" s="10">
        <f t="shared" si="15"/>
        <v>0</v>
      </c>
      <c r="AF38" s="10">
        <f t="shared" si="15"/>
        <v>0</v>
      </c>
      <c r="AG38" s="10">
        <f t="shared" si="15"/>
        <v>0</v>
      </c>
      <c r="AH38" s="10">
        <f t="shared" si="15"/>
        <v>0</v>
      </c>
      <c r="AI38" s="10">
        <f t="shared" si="15"/>
        <v>0</v>
      </c>
      <c r="AJ38" s="10">
        <f t="shared" si="15"/>
        <v>0</v>
      </c>
      <c r="AK38" s="10">
        <f t="shared" si="15"/>
        <v>0</v>
      </c>
      <c r="AL38" s="10">
        <f t="shared" si="15"/>
        <v>0</v>
      </c>
      <c r="AM38" s="10">
        <f t="shared" si="15"/>
        <v>0</v>
      </c>
      <c r="AN38" s="10">
        <f t="shared" si="15"/>
        <v>0</v>
      </c>
      <c r="AO38" s="10">
        <f t="shared" si="15"/>
        <v>0</v>
      </c>
      <c r="AP38" s="10">
        <f t="shared" si="15"/>
        <v>0</v>
      </c>
      <c r="AQ38" s="10"/>
      <c r="AR38" s="10"/>
      <c r="AS38" s="10"/>
      <c r="AT38" s="10"/>
      <c r="AU38" s="10"/>
      <c r="AV38" s="10"/>
    </row>
    <row r="39" spans="1:48">
      <c r="A39" s="313" t="s">
        <v>16</v>
      </c>
      <c r="B39" s="228"/>
      <c r="J39" s="42"/>
      <c r="K39" s="186">
        <f>SUM(K34:K38)</f>
        <v>53.104386458423335</v>
      </c>
      <c r="L39" s="186"/>
    </row>
    <row r="40" spans="1:48" ht="18" thickBot="1">
      <c r="A40" s="313" t="s">
        <v>16</v>
      </c>
      <c r="B40" s="228"/>
      <c r="C40" s="37" t="s">
        <v>60</v>
      </c>
    </row>
    <row r="41" spans="1:48" ht="15.75" thickTop="1">
      <c r="A41" s="313" t="s">
        <v>16</v>
      </c>
    </row>
    <row r="42" spans="1:48" ht="15.75" thickBot="1">
      <c r="A42" s="313" t="s">
        <v>16</v>
      </c>
      <c r="C42" s="312" t="s">
        <v>58</v>
      </c>
      <c r="D42" s="312"/>
      <c r="E42" s="7">
        <v>2012</v>
      </c>
      <c r="F42" s="7">
        <v>2020</v>
      </c>
      <c r="G42" s="7">
        <v>2030</v>
      </c>
      <c r="H42" s="7">
        <v>2040</v>
      </c>
      <c r="I42" s="7">
        <v>2050</v>
      </c>
    </row>
    <row r="43" spans="1:48">
      <c r="A43" s="313" t="s">
        <v>16</v>
      </c>
      <c r="C43" s="313" t="s">
        <v>49</v>
      </c>
      <c r="D43" s="35"/>
      <c r="E43" s="10">
        <f t="shared" ref="E43:I45" si="16">SUMIF($J$3:$AV$3,E$21,$J43:$AV43)</f>
        <v>1</v>
      </c>
      <c r="F43" s="10">
        <f t="shared" si="16"/>
        <v>1</v>
      </c>
      <c r="G43" s="10">
        <f t="shared" si="16"/>
        <v>1</v>
      </c>
      <c r="H43" s="10">
        <f t="shared" si="16"/>
        <v>1</v>
      </c>
      <c r="I43" s="10">
        <f t="shared" si="16"/>
        <v>1</v>
      </c>
      <c r="J43" s="51">
        <v>1</v>
      </c>
      <c r="K43" s="51">
        <v>1</v>
      </c>
      <c r="L43" s="51">
        <v>1</v>
      </c>
      <c r="M43" s="51">
        <v>1</v>
      </c>
      <c r="N43" s="51">
        <v>1</v>
      </c>
      <c r="O43" s="51">
        <v>1</v>
      </c>
      <c r="P43" s="51">
        <v>1</v>
      </c>
      <c r="Q43" s="51">
        <v>1</v>
      </c>
      <c r="R43" s="51">
        <v>1</v>
      </c>
      <c r="S43" s="51">
        <v>1</v>
      </c>
      <c r="T43" s="51">
        <v>1</v>
      </c>
      <c r="U43" s="51">
        <v>1</v>
      </c>
      <c r="V43" s="51">
        <v>1</v>
      </c>
      <c r="W43" s="51">
        <v>1</v>
      </c>
      <c r="X43" s="51">
        <v>1</v>
      </c>
      <c r="Y43" s="51">
        <v>1</v>
      </c>
      <c r="Z43" s="51">
        <v>1</v>
      </c>
      <c r="AA43" s="51">
        <v>1</v>
      </c>
      <c r="AB43" s="51">
        <v>1</v>
      </c>
      <c r="AC43" s="51">
        <v>1</v>
      </c>
      <c r="AD43" s="51">
        <v>1</v>
      </c>
      <c r="AE43" s="51">
        <v>1</v>
      </c>
      <c r="AF43" s="51">
        <v>1</v>
      </c>
      <c r="AG43" s="51">
        <v>1</v>
      </c>
      <c r="AH43" s="51">
        <v>1</v>
      </c>
      <c r="AI43" s="51">
        <v>1</v>
      </c>
      <c r="AJ43" s="51">
        <v>1</v>
      </c>
      <c r="AK43" s="51">
        <v>1</v>
      </c>
      <c r="AL43" s="51">
        <v>1</v>
      </c>
      <c r="AM43" s="51">
        <v>1</v>
      </c>
      <c r="AN43" s="51">
        <v>1</v>
      </c>
      <c r="AO43" s="51">
        <v>1</v>
      </c>
      <c r="AP43" s="51">
        <v>1</v>
      </c>
      <c r="AQ43" s="10"/>
      <c r="AR43" s="10"/>
      <c r="AS43" s="10"/>
      <c r="AT43" s="10"/>
      <c r="AU43" s="10"/>
      <c r="AV43" s="10"/>
    </row>
    <row r="44" spans="1:48">
      <c r="A44" s="313" t="s">
        <v>16</v>
      </c>
      <c r="C44" s="313" t="s">
        <v>51</v>
      </c>
      <c r="E44" s="10">
        <f t="shared" si="16"/>
        <v>1</v>
      </c>
      <c r="F44" s="10">
        <f t="shared" si="16"/>
        <v>1</v>
      </c>
      <c r="G44" s="10">
        <f t="shared" si="16"/>
        <v>1</v>
      </c>
      <c r="H44" s="10">
        <f t="shared" si="16"/>
        <v>1</v>
      </c>
      <c r="I44" s="10">
        <f t="shared" si="16"/>
        <v>1</v>
      </c>
      <c r="J44" s="51">
        <v>1</v>
      </c>
      <c r="K44" s="51">
        <v>1</v>
      </c>
      <c r="L44" s="51">
        <v>1</v>
      </c>
      <c r="M44" s="51">
        <v>1</v>
      </c>
      <c r="N44" s="51">
        <v>1</v>
      </c>
      <c r="O44" s="51">
        <v>1</v>
      </c>
      <c r="P44" s="51">
        <v>1</v>
      </c>
      <c r="Q44" s="51">
        <v>1</v>
      </c>
      <c r="R44" s="51">
        <v>1</v>
      </c>
      <c r="S44" s="51">
        <v>1</v>
      </c>
      <c r="T44" s="51">
        <v>1</v>
      </c>
      <c r="U44" s="51">
        <v>1</v>
      </c>
      <c r="V44" s="51">
        <v>1</v>
      </c>
      <c r="W44" s="51">
        <v>1</v>
      </c>
      <c r="X44" s="51">
        <v>1</v>
      </c>
      <c r="Y44" s="51">
        <v>1</v>
      </c>
      <c r="Z44" s="51">
        <v>1</v>
      </c>
      <c r="AA44" s="51">
        <v>1</v>
      </c>
      <c r="AB44" s="51">
        <v>1</v>
      </c>
      <c r="AC44" s="51">
        <v>1</v>
      </c>
      <c r="AD44" s="51">
        <v>1</v>
      </c>
      <c r="AE44" s="51">
        <v>1</v>
      </c>
      <c r="AF44" s="51">
        <v>1</v>
      </c>
      <c r="AG44" s="51">
        <v>1</v>
      </c>
      <c r="AH44" s="51">
        <v>1</v>
      </c>
      <c r="AI44" s="51">
        <v>1</v>
      </c>
      <c r="AJ44" s="51">
        <v>1</v>
      </c>
      <c r="AK44" s="51">
        <v>1</v>
      </c>
      <c r="AL44" s="51">
        <v>1</v>
      </c>
      <c r="AM44" s="51">
        <v>1</v>
      </c>
      <c r="AN44" s="51">
        <v>1</v>
      </c>
      <c r="AO44" s="51">
        <v>1</v>
      </c>
      <c r="AP44" s="51">
        <v>1</v>
      </c>
      <c r="AQ44" s="10"/>
      <c r="AR44" s="10"/>
      <c r="AS44" s="10"/>
      <c r="AT44" s="10"/>
      <c r="AU44" s="10"/>
      <c r="AV44" s="10"/>
    </row>
    <row r="45" spans="1:48">
      <c r="A45" s="313" t="s">
        <v>16</v>
      </c>
      <c r="C45" s="313" t="s">
        <v>50</v>
      </c>
      <c r="E45" s="10">
        <f t="shared" si="16"/>
        <v>1</v>
      </c>
      <c r="F45" s="10">
        <f t="shared" si="16"/>
        <v>0.99257493956446474</v>
      </c>
      <c r="G45" s="10">
        <f t="shared" si="16"/>
        <v>1.1784573667280642</v>
      </c>
      <c r="H45" s="10">
        <f t="shared" si="16"/>
        <v>1.5217555621271739</v>
      </c>
      <c r="I45" s="10">
        <f t="shared" si="16"/>
        <v>1.8528074158817123</v>
      </c>
      <c r="J45" s="51" cm="1">
        <f t="array" ref="J45">INDEX(Drivers!$C$34:$AG$34,1,J21)/Drivers!$C$34</f>
        <v>1</v>
      </c>
      <c r="K45" s="51" cm="1">
        <f t="array" ref="K45">INDEX(Drivers!$C$34:$AG$34,1,K21)/Drivers!$C$34</f>
        <v>1.0290422887134598</v>
      </c>
      <c r="L45" s="51" cm="1">
        <f t="array" ref="L45">INDEX(Drivers!$C$34:$AG$34,1,L21)/Drivers!$C$34</f>
        <v>1.0452868351525575</v>
      </c>
      <c r="M45" s="51" cm="1">
        <f t="array" ref="M45">INDEX(Drivers!$C$34:$AG$34,1,M21)/Drivers!$C$34</f>
        <v>1.0565585612531558</v>
      </c>
      <c r="N45" s="51" cm="1">
        <f t="array" ref="N45">INDEX(Drivers!$C$34:$AG$34,1,N21)/Drivers!$C$34</f>
        <v>1.0602052961680555</v>
      </c>
      <c r="O45" s="51" cm="1">
        <f t="array" ref="O45">INDEX(Drivers!$C$34:$AG$34,1,O21)/Drivers!$C$34</f>
        <v>1.0761183212512533</v>
      </c>
      <c r="P45" s="51" cm="1">
        <f t="array" ref="P45">INDEX(Drivers!$C$34:$AG$34,1,P21)/Drivers!$C$34</f>
        <v>1.0860639619282519</v>
      </c>
      <c r="Q45" s="51" cm="1">
        <f t="array" ref="Q45">INDEX(Drivers!$C$34:$AG$34,1,Q21)/Drivers!$C$34</f>
        <v>1.0814226629456525</v>
      </c>
      <c r="R45" s="51" cm="1">
        <f t="array" ref="R45">INDEX(Drivers!$C$34:$AG$34,1,R21)/Drivers!$C$34</f>
        <v>0.99257493956446474</v>
      </c>
      <c r="S45" s="51" cm="1">
        <f t="array" ref="S45">INDEX(Drivers!$C$34:$AG$34,1,S21)/Drivers!$C$34</f>
        <v>1.0158385186277432</v>
      </c>
      <c r="T45" s="51" cm="1">
        <f t="array" ref="T45">INDEX(Drivers!$C$34:$AG$34,1,T21)/Drivers!$C$34</f>
        <v>1.0290692132397465</v>
      </c>
      <c r="U45" s="51" cm="1">
        <f t="array" ref="U45">INDEX(Drivers!$C$34:$AG$34,1,U21)/Drivers!$C$34</f>
        <v>1.0452920438620577</v>
      </c>
      <c r="V45" s="51" cm="1">
        <f t="array" ref="V45">INDEX(Drivers!$C$34:$AG$34,1,V21)/Drivers!$C$34</f>
        <v>1.0633688792381526</v>
      </c>
      <c r="W45" s="51" cm="1">
        <f t="array" ref="W45">INDEX(Drivers!$C$34:$AG$34,1,W21)/Drivers!$C$34</f>
        <v>1.0799625902527705</v>
      </c>
      <c r="X45" s="51" cm="1">
        <f t="array" ref="X45">INDEX(Drivers!$C$34:$AG$34,1,X21)/Drivers!$C$34</f>
        <v>1.1024920873316268</v>
      </c>
      <c r="Y45" s="51" cm="1">
        <f t="array" ref="Y45">INDEX(Drivers!$C$34:$AG$34,1,Y21)/Drivers!$C$34</f>
        <v>1.1246129028407814</v>
      </c>
      <c r="Z45" s="51" cm="1">
        <f t="array" ref="Z45">INDEX(Drivers!$C$34:$AG$34,1,Z21)/Drivers!$C$34</f>
        <v>1.1470335936586391</v>
      </c>
      <c r="AA45" s="51" cm="1">
        <f t="array" ref="AA45">INDEX(Drivers!$C$34:$AG$34,1,AA21)/Drivers!$C$34</f>
        <v>1.1671525923975328</v>
      </c>
      <c r="AB45" s="51" cm="1">
        <f t="array" ref="AB45">INDEX(Drivers!$C$34:$AG$34,1,AB21)/Drivers!$C$34</f>
        <v>1.1784573667280642</v>
      </c>
      <c r="AC45" s="51" cm="1">
        <f t="array" ref="AC45">INDEX(Drivers!$C$34:$AG$34,1,AC21)/Drivers!$C$34</f>
        <v>1.2011152739125497</v>
      </c>
      <c r="AD45" s="51" cm="1">
        <f t="array" ref="AD45">INDEX(Drivers!$C$34:$AG$34,1,AD21)/Drivers!$C$34</f>
        <v>1.2218315771486241</v>
      </c>
      <c r="AE45" s="51" cm="1">
        <f t="array" ref="AE45">INDEX(Drivers!$C$34:$AG$34,1,AE21)/Drivers!$C$34</f>
        <v>1.2434282625784245</v>
      </c>
      <c r="AF45" s="51" cm="1">
        <f t="array" ref="AF45">INDEX(Drivers!$C$34:$AG$34,1,AF21)/Drivers!$C$34</f>
        <v>1.2617759835061668</v>
      </c>
      <c r="AG45" s="51" cm="1">
        <f t="array" ref="AG45">INDEX(Drivers!$C$34:$AG$34,1,AG21)/Drivers!$C$34</f>
        <v>1.2801452934550561</v>
      </c>
      <c r="AH45" s="51" cm="1">
        <f t="array" ref="AH45">INDEX(Drivers!$C$34:$AG$34,1,AH21)/Drivers!$C$34</f>
        <v>1.3033198082175377</v>
      </c>
      <c r="AI45" s="51" cm="1">
        <f t="array" ref="AI45">INDEX(Drivers!$C$34:$AG$34,1,AI21)/Drivers!$C$34</f>
        <v>1.3265771008748448</v>
      </c>
      <c r="AJ45" s="51" cm="1">
        <f t="array" ref="AJ45">INDEX(Drivers!$C$34:$AG$34,1,AJ21)/Drivers!$C$34</f>
        <v>1.4704140349692265</v>
      </c>
      <c r="AK45" s="51" cm="1">
        <f t="array" ref="AK45">INDEX(Drivers!$C$34:$AG$34,1,AK21)/Drivers!$C$34</f>
        <v>1.4951438734077307</v>
      </c>
      <c r="AL45" s="51" cm="1">
        <f t="array" ref="AL45">INDEX(Drivers!$C$34:$AG$34,1,AL21)/Drivers!$C$34</f>
        <v>1.5217555621271739</v>
      </c>
      <c r="AM45" s="51" cm="1">
        <f t="array" ref="AM45">INDEX(Drivers!$C$34:$AG$34,1,AM21)/Drivers!$C$34</f>
        <v>1.6844470443536825</v>
      </c>
      <c r="AN45" s="51" cm="1">
        <f t="array" ref="AN45">INDEX(Drivers!$C$34:$AG$34,1,AN21)/Drivers!$C$34</f>
        <v>1.8528074158817123</v>
      </c>
      <c r="AO45" s="36">
        <f>AN45</f>
        <v>1.8528074158817123</v>
      </c>
      <c r="AP45" s="36">
        <f>AO45</f>
        <v>1.8528074158817123</v>
      </c>
      <c r="AQ45" s="36"/>
      <c r="AR45" s="36"/>
      <c r="AS45" s="10"/>
      <c r="AT45" s="10"/>
      <c r="AU45" s="10"/>
      <c r="AV45" s="10"/>
    </row>
    <row r="46" spans="1:48">
      <c r="A46" s="313" t="s">
        <v>16</v>
      </c>
      <c r="H46" s="109">
        <f>I46^(1/40)-1</f>
        <v>1.5537013856758541E-2</v>
      </c>
      <c r="I46" s="186">
        <f>I45/E45</f>
        <v>1.8528074158817123</v>
      </c>
      <c r="L46" s="24"/>
    </row>
    <row r="47" spans="1:48" ht="15.75" thickBot="1">
      <c r="A47" s="313" t="s">
        <v>16</v>
      </c>
      <c r="C47" s="312" t="s">
        <v>213</v>
      </c>
      <c r="D47" s="312"/>
      <c r="E47" s="7">
        <v>2012</v>
      </c>
      <c r="F47" s="7">
        <v>2020</v>
      </c>
      <c r="G47" s="7">
        <v>2030</v>
      </c>
      <c r="H47" s="7">
        <v>2040</v>
      </c>
      <c r="I47" s="7">
        <v>2050</v>
      </c>
    </row>
    <row r="48" spans="1:48">
      <c r="A48" s="313" t="s">
        <v>16</v>
      </c>
      <c r="C48" s="313" t="s">
        <v>49</v>
      </c>
      <c r="D48" s="35" t="s">
        <v>55</v>
      </c>
      <c r="E48" s="80"/>
      <c r="F48" s="80">
        <f t="shared" ref="F48:I50" si="17">(F43/E43)^(1/(F$42-E$42))-1</f>
        <v>0</v>
      </c>
      <c r="G48" s="80">
        <f t="shared" si="17"/>
        <v>0</v>
      </c>
      <c r="H48" s="80">
        <f t="shared" si="17"/>
        <v>0</v>
      </c>
      <c r="I48" s="80">
        <f t="shared" si="17"/>
        <v>0</v>
      </c>
      <c r="J48" s="51"/>
      <c r="K48" s="36"/>
      <c r="L48" s="24"/>
      <c r="M48" s="10"/>
      <c r="O48" s="10"/>
      <c r="P48" s="10"/>
      <c r="Q48" s="10"/>
      <c r="R48" s="10"/>
      <c r="S48" s="10"/>
      <c r="T48" s="10"/>
      <c r="U48" s="10"/>
      <c r="V48" s="10"/>
      <c r="W48" s="10"/>
      <c r="Y48" s="10"/>
      <c r="Z48" s="10"/>
      <c r="AA48" s="10"/>
      <c r="AB48" s="10"/>
      <c r="AC48" s="10"/>
      <c r="AD48" s="10"/>
      <c r="AE48" s="10"/>
      <c r="AF48" s="10"/>
      <c r="AG48" s="10"/>
      <c r="AS48" s="10"/>
      <c r="AU48" s="10"/>
    </row>
    <row r="49" spans="1:47">
      <c r="A49" s="313" t="s">
        <v>16</v>
      </c>
      <c r="C49" s="313" t="s">
        <v>51</v>
      </c>
      <c r="E49" s="80"/>
      <c r="F49" s="80">
        <f t="shared" si="17"/>
        <v>0</v>
      </c>
      <c r="G49" s="80">
        <f t="shared" si="17"/>
        <v>0</v>
      </c>
      <c r="H49" s="80">
        <f t="shared" si="17"/>
        <v>0</v>
      </c>
      <c r="I49" s="80">
        <f t="shared" si="17"/>
        <v>0</v>
      </c>
      <c r="J49" s="51"/>
      <c r="K49" s="36"/>
      <c r="L49" s="24"/>
      <c r="M49" s="10"/>
      <c r="O49" s="10"/>
      <c r="P49" s="10"/>
      <c r="Q49" s="10"/>
      <c r="R49" s="10"/>
      <c r="S49" s="10"/>
      <c r="T49" s="10"/>
      <c r="U49" s="10"/>
      <c r="V49" s="10"/>
      <c r="W49" s="10"/>
      <c r="Y49" s="10"/>
      <c r="Z49" s="10"/>
      <c r="AA49" s="10"/>
      <c r="AB49" s="10"/>
      <c r="AC49" s="10"/>
      <c r="AD49" s="10"/>
      <c r="AE49" s="10"/>
      <c r="AF49" s="10"/>
      <c r="AG49" s="10"/>
      <c r="AS49" s="10"/>
      <c r="AU49" s="10"/>
    </row>
    <row r="50" spans="1:47">
      <c r="A50" s="313" t="s">
        <v>16</v>
      </c>
      <c r="C50" s="313" t="s">
        <v>50</v>
      </c>
      <c r="E50" s="80"/>
      <c r="F50" s="59">
        <f t="shared" si="17"/>
        <v>-9.3116162630135779E-4</v>
      </c>
      <c r="G50" s="59">
        <f t="shared" si="17"/>
        <v>1.731408381222943E-2</v>
      </c>
      <c r="H50" s="59">
        <f t="shared" si="17"/>
        <v>2.589544660363674E-2</v>
      </c>
      <c r="I50" s="59">
        <f t="shared" si="17"/>
        <v>1.9878738845741317E-2</v>
      </c>
      <c r="J50" s="51"/>
      <c r="K50" s="36"/>
      <c r="L50" s="24"/>
      <c r="M50" s="10"/>
      <c r="O50" s="10"/>
      <c r="P50" s="10"/>
      <c r="Q50" s="10"/>
      <c r="R50" s="10"/>
      <c r="S50" s="10"/>
      <c r="T50" s="10"/>
      <c r="U50" s="10"/>
      <c r="V50" s="10"/>
      <c r="W50" s="10"/>
      <c r="Y50" s="10"/>
      <c r="Z50" s="10"/>
      <c r="AA50" s="10"/>
      <c r="AB50" s="10"/>
      <c r="AC50" s="10"/>
      <c r="AD50" s="10"/>
      <c r="AE50" s="10"/>
      <c r="AF50" s="10"/>
      <c r="AG50" s="10"/>
      <c r="AS50" s="8"/>
      <c r="AU50" s="8"/>
    </row>
    <row r="51" spans="1:47">
      <c r="A51" s="313" t="s">
        <v>16</v>
      </c>
      <c r="L51" s="24"/>
    </row>
    <row r="52" spans="1:47" ht="18" thickBot="1">
      <c r="A52" s="313" t="s">
        <v>16</v>
      </c>
      <c r="C52" s="37" t="s">
        <v>294</v>
      </c>
    </row>
    <row r="53" spans="1:47" ht="15.75" thickTop="1">
      <c r="A53" s="313" t="s">
        <v>16</v>
      </c>
      <c r="D53" s="313" t="s">
        <v>52</v>
      </c>
      <c r="E53" s="313">
        <v>100</v>
      </c>
      <c r="F53" s="313">
        <v>150</v>
      </c>
      <c r="G53" s="313">
        <v>200</v>
      </c>
      <c r="H53" s="40"/>
      <c r="J53" s="313"/>
    </row>
    <row r="54" spans="1:47">
      <c r="A54" s="313" t="s">
        <v>16</v>
      </c>
      <c r="B54" s="313">
        <f>[5]RES!$B32</f>
        <v>0</v>
      </c>
      <c r="C54" s="313" t="str">
        <f>[5]RES!A32</f>
        <v>USE the names but not the numbers in the greyed out stuff, all the balance numbers are taken directly from the energy balance sheet</v>
      </c>
      <c r="E54" s="313">
        <v>0.3</v>
      </c>
      <c r="F54" s="12">
        <v>0.25</v>
      </c>
      <c r="G54" s="12">
        <v>0.2</v>
      </c>
      <c r="H54" s="40"/>
      <c r="J54" s="313"/>
    </row>
    <row r="55" spans="1:47">
      <c r="A55" s="313" t="s">
        <v>16</v>
      </c>
      <c r="B55" s="313" t="str">
        <f>[5]RES!$B33</f>
        <v>Demand</v>
      </c>
      <c r="C55" s="313" t="str">
        <f>[5]RES!A33</f>
        <v>End use demands</v>
      </c>
      <c r="E55" s="313">
        <v>0.1</v>
      </c>
      <c r="F55" s="12">
        <v>0.1</v>
      </c>
      <c r="G55" s="12">
        <v>0.1</v>
      </c>
      <c r="H55" s="40"/>
      <c r="J55" s="313"/>
    </row>
    <row r="56" spans="1:47">
      <c r="A56" s="313" t="s">
        <v>16</v>
      </c>
      <c r="B56" s="313" t="str">
        <f>[5]RES!$B34</f>
        <v>L</v>
      </c>
      <c r="C56" s="313" t="str">
        <f>[5]RES!A34</f>
        <v>Lighting</v>
      </c>
      <c r="E56" s="313">
        <v>0.5</v>
      </c>
      <c r="F56" s="12">
        <v>0.4</v>
      </c>
      <c r="G56" s="12">
        <v>0.3</v>
      </c>
      <c r="H56" s="40"/>
      <c r="J56" s="313"/>
    </row>
    <row r="57" spans="1:47">
      <c r="A57" s="313" t="s">
        <v>16</v>
      </c>
      <c r="B57" s="313" t="str">
        <f>[5]RES!$B35</f>
        <v>K</v>
      </c>
      <c r="C57" s="313" t="str">
        <f>[5]RES!A35</f>
        <v>Cooking</v>
      </c>
      <c r="E57" s="313">
        <v>0.3</v>
      </c>
      <c r="F57" s="12">
        <v>0.25</v>
      </c>
      <c r="G57" s="12">
        <v>0.2</v>
      </c>
      <c r="H57" s="40"/>
      <c r="J57" s="313"/>
    </row>
    <row r="58" spans="1:47">
      <c r="A58" s="313" t="s">
        <v>16</v>
      </c>
      <c r="B58" s="313" t="str">
        <f>[5]RES!$B36</f>
        <v>H</v>
      </c>
      <c r="C58" s="313" t="str">
        <f>[5]RES!A36</f>
        <v>Space Heating</v>
      </c>
      <c r="E58" s="313">
        <v>0.2</v>
      </c>
      <c r="F58" s="12">
        <v>0.15</v>
      </c>
      <c r="G58" s="12">
        <v>0.1</v>
      </c>
      <c r="H58" s="40"/>
      <c r="J58" s="313"/>
    </row>
    <row r="59" spans="1:47">
      <c r="A59" s="313" t="s">
        <v>16</v>
      </c>
      <c r="B59" s="313" t="str">
        <f>[5]RES!$B37</f>
        <v>WG</v>
      </c>
      <c r="C59" s="313" t="str">
        <f>[5]RES!A37</f>
        <v>Water Heating Geyser</v>
      </c>
      <c r="E59" s="313">
        <v>0.5</v>
      </c>
      <c r="F59" s="12">
        <v>0.4</v>
      </c>
      <c r="G59" s="12">
        <v>0.3</v>
      </c>
      <c r="H59" s="40"/>
      <c r="J59" s="313"/>
    </row>
    <row r="60" spans="1:47">
      <c r="A60" s="313" t="s">
        <v>16</v>
      </c>
      <c r="B60" s="313" t="str">
        <f>[5]RES!$B38</f>
        <v>W</v>
      </c>
      <c r="C60" s="313" t="str">
        <f>[5]RES!A38</f>
        <v>Water Heating</v>
      </c>
      <c r="E60" s="313">
        <v>0</v>
      </c>
      <c r="F60" s="12">
        <v>0</v>
      </c>
      <c r="G60" s="12">
        <v>0</v>
      </c>
      <c r="H60" s="40"/>
      <c r="J60" s="313"/>
    </row>
    <row r="61" spans="1:47">
      <c r="A61" s="313" t="s">
        <v>16</v>
      </c>
      <c r="B61" s="228"/>
    </row>
    <row r="62" spans="1:47">
      <c r="A62" s="313" t="s">
        <v>16</v>
      </c>
      <c r="C62" s="5" t="str">
        <f>C52</f>
        <v>High Income Household Elasticities</v>
      </c>
    </row>
    <row r="63" spans="1:47">
      <c r="A63" s="313" t="s">
        <v>16</v>
      </c>
      <c r="C63" s="313" t="str">
        <f t="shared" ref="C63:C69" si="18">C54</f>
        <v>USE the names but not the numbers in the greyed out stuff, all the balance numbers are taken directly from the energy balance sheet</v>
      </c>
      <c r="E63" s="186">
        <f t="shared" ref="E63:I69" si="19">FORECAST(E$45,$E54:$G54,$E$53:$G$53)</f>
        <v>0.39899999999999997</v>
      </c>
      <c r="F63" s="186">
        <f t="shared" si="19"/>
        <v>0.39900742506043552</v>
      </c>
      <c r="G63" s="186">
        <f t="shared" si="19"/>
        <v>0.39882154263327191</v>
      </c>
      <c r="H63" s="186">
        <f t="shared" si="19"/>
        <v>0.39847824443787278</v>
      </c>
      <c r="I63" s="186">
        <f t="shared" si="19"/>
        <v>0.39814719258411824</v>
      </c>
      <c r="J63" s="313" cm="1">
        <f t="array" ref="J63">IF(J$7=-1,K63,IF(J$7=99,I63,IF(J$7=0,INDEX($E63:$I63,0,J$5),(INDEX($E63:$I63,0,J$7+1)-INDEX($E63:$I63,0,J$7))/(INDEX($E$4:$I$4,0,J$7+1)-INDEX($E$4:$I$4,0,J$7))+I63)))</f>
        <v>0.39899999999999997</v>
      </c>
      <c r="K63" s="313" cm="1">
        <f t="array" ref="K63">IF(K$7=-1,L63,IF(K$7=99,J63,IF(K$7=0,INDEX($E63:$I63,0,K$5),(INDEX($E63:$I63,0,K$7+1)-INDEX($E63:$I63,0,K$7))/(INDEX($E$4:$I$4,0,K$7+1)-INDEX($E$4:$I$4,0,K$7))+J63)))</f>
        <v>0.39900092813255439</v>
      </c>
      <c r="L63" s="313" cm="1">
        <f t="array" ref="L63">IF(L$7=-1,M63,IF(L$7=99,K63,IF(L$7=0,INDEX($E63:$I63,0,L$5),(INDEX($E63:$I63,0,L$7+1)-INDEX($E63:$I63,0,L$7))/(INDEX($E$4:$I$4,0,L$7+1)-INDEX($E$4:$I$4,0,L$7))+K63)))</f>
        <v>0.39900185626510881</v>
      </c>
      <c r="M63" s="313" cm="1">
        <f t="array" ref="M63">IF(M$7=-1,N63,IF(M$7=99,L63,IF(M$7=0,INDEX($E63:$I63,0,M$5),(INDEX($E63:$I63,0,M$7+1)-INDEX($E63:$I63,0,M$7))/(INDEX($E$4:$I$4,0,M$7+1)-INDEX($E$4:$I$4,0,M$7))+L63)))</f>
        <v>0.39900278439766323</v>
      </c>
      <c r="N63" s="313" cm="1">
        <f t="array" ref="N63">IF(N$7=-1,O63,IF(N$7=99,M63,IF(N$7=0,INDEX($E63:$I63,0,N$5),(INDEX($E63:$I63,0,N$7+1)-INDEX($E63:$I63,0,N$7))/(INDEX($E$4:$I$4,0,N$7+1)-INDEX($E$4:$I$4,0,N$7))+M63)))</f>
        <v>0.39900371253021766</v>
      </c>
      <c r="O63" s="313" cm="1">
        <f t="array" ref="O63">IF(O$7=-1,P63,IF(O$7=99,N63,IF(O$7=0,INDEX($E63:$I63,0,O$5),(INDEX($E63:$I63,0,O$7+1)-INDEX($E63:$I63,0,O$7))/(INDEX($E$4:$I$4,0,O$7+1)-INDEX($E$4:$I$4,0,O$7))+N63)))</f>
        <v>0.39900464066277208</v>
      </c>
      <c r="P63" s="313" cm="1">
        <f t="array" ref="P63">IF(P$7=-1,Q63,IF(P$7=99,O63,IF(P$7=0,INDEX($E63:$I63,0,P$5),(INDEX($E63:$I63,0,P$7+1)-INDEX($E63:$I63,0,P$7))/(INDEX($E$4:$I$4,0,P$7+1)-INDEX($E$4:$I$4,0,P$7))+O63)))</f>
        <v>0.3990055687953265</v>
      </c>
      <c r="Q63" s="313" cm="1">
        <f t="array" ref="Q63">IF(Q$7=-1,R63,IF(Q$7=99,P63,IF(Q$7=0,INDEX($E63:$I63,0,Q$5),(INDEX($E63:$I63,0,Q$7+1)-INDEX($E63:$I63,0,Q$7))/(INDEX($E$4:$I$4,0,Q$7+1)-INDEX($E$4:$I$4,0,Q$7))+P63)))</f>
        <v>0.39900649692788093</v>
      </c>
      <c r="R63" s="313" cm="1">
        <f t="array" ref="R63">IF(R$7=-1,S63,IF(R$7=99,Q63,IF(R$7=0,INDEX($E63:$I63,0,R$5),(INDEX($E63:$I63,0,R$7+1)-INDEX($E63:$I63,0,R$7))/(INDEX($E$4:$I$4,0,R$7+1)-INDEX($E$4:$I$4,0,R$7))+Q63)))</f>
        <v>0.39900742506043552</v>
      </c>
      <c r="S63" s="313" cm="1">
        <f t="array" ref="S63">IF(S$7=-1,T63,IF(S$7=99,R63,IF(S$7=0,INDEX($E63:$I63,0,S$5),(INDEX($E63:$I63,0,S$7+1)-INDEX($E63:$I63,0,S$7))/(INDEX($E$4:$I$4,0,S$7+1)-INDEX($E$4:$I$4,0,S$7))+R63)))</f>
        <v>0.39898883681771913</v>
      </c>
      <c r="T63" s="313" cm="1">
        <f t="array" ref="T63">IF(T$7=-1,U63,IF(T$7=99,S63,IF(T$7=0,INDEX($E63:$I63,0,T$5),(INDEX($E63:$I63,0,T$7+1)-INDEX($E63:$I63,0,T$7))/(INDEX($E$4:$I$4,0,T$7+1)-INDEX($E$4:$I$4,0,T$7))+S63)))</f>
        <v>0.39897024857500274</v>
      </c>
      <c r="U63" s="313" cm="1">
        <f t="array" ref="U63">IF(U$7=-1,V63,IF(U$7=99,T63,IF(U$7=0,INDEX($E63:$I63,0,U$5),(INDEX($E63:$I63,0,U$7+1)-INDEX($E63:$I63,0,U$7))/(INDEX($E$4:$I$4,0,U$7+1)-INDEX($E$4:$I$4,0,U$7))+T63)))</f>
        <v>0.39895166033228635</v>
      </c>
      <c r="V63" s="313" cm="1">
        <f t="array" ref="V63">IF(V$7=-1,W63,IF(V$7=99,U63,IF(V$7=0,INDEX($E63:$I63,0,V$5),(INDEX($E63:$I63,0,V$7+1)-INDEX($E63:$I63,0,V$7))/(INDEX($E$4:$I$4,0,V$7+1)-INDEX($E$4:$I$4,0,V$7))+U63)))</f>
        <v>0.39893307208956996</v>
      </c>
      <c r="W63" s="313" cm="1">
        <f t="array" ref="W63">IF(W$7=-1,X63,IF(W$7=99,V63,IF(W$7=0,INDEX($E63:$I63,0,W$5),(INDEX($E63:$I63,0,W$7+1)-INDEX($E63:$I63,0,W$7))/(INDEX($E$4:$I$4,0,W$7+1)-INDEX($E$4:$I$4,0,W$7))+V63)))</f>
        <v>0.39891448384685357</v>
      </c>
      <c r="X63" s="313" cm="1">
        <f t="array" ref="X63">IF(X$7=-1,Y63,IF(X$7=99,W63,IF(X$7=0,INDEX($E63:$I63,0,X$5),(INDEX($E63:$I63,0,X$7+1)-INDEX($E63:$I63,0,X$7))/(INDEX($E$4:$I$4,0,X$7+1)-INDEX($E$4:$I$4,0,X$7))+W63)))</f>
        <v>0.39889589560413719</v>
      </c>
      <c r="Y63" s="313" cm="1">
        <f t="array" ref="Y63">IF(Y$7=-1,Z63,IF(Y$7=99,X63,IF(Y$7=0,INDEX($E63:$I63,0,Y$5),(INDEX($E63:$I63,0,Y$7+1)-INDEX($E63:$I63,0,Y$7))/(INDEX($E$4:$I$4,0,Y$7+1)-INDEX($E$4:$I$4,0,Y$7))+X63)))</f>
        <v>0.3988773073614208</v>
      </c>
      <c r="Z63" s="313" cm="1">
        <f t="array" ref="Z63">IF(Z$7=-1,AA63,IF(Z$7=99,Y63,IF(Z$7=0,INDEX($E63:$I63,0,Z$5),(INDEX($E63:$I63,0,Z$7+1)-INDEX($E63:$I63,0,Z$7))/(INDEX($E$4:$I$4,0,Z$7+1)-INDEX($E$4:$I$4,0,Z$7))+Y63)))</f>
        <v>0.39885871911870441</v>
      </c>
      <c r="AA63" s="313" cm="1">
        <f t="array" ref="AA63">IF(AA$7=-1,AB63,IF(AA$7=99,Z63,IF(AA$7=0,INDEX($E63:$I63,0,AA$5),(INDEX($E63:$I63,0,AA$7+1)-INDEX($E63:$I63,0,AA$7))/(INDEX($E$4:$I$4,0,AA$7+1)-INDEX($E$4:$I$4,0,AA$7))+Z63)))</f>
        <v>0.39884013087598802</v>
      </c>
      <c r="AB63" s="313" cm="1">
        <f t="array" ref="AB63">IF(AB$7=-1,AC63,IF(AB$7=99,AA63,IF(AB$7=0,INDEX($E63:$I63,0,AB$5),(INDEX($E63:$I63,0,AB$7+1)-INDEX($E63:$I63,0,AB$7))/(INDEX($E$4:$I$4,0,AB$7+1)-INDEX($E$4:$I$4,0,AB$7))+AA63)))</f>
        <v>0.39882154263327191</v>
      </c>
      <c r="AC63" s="313" cm="1">
        <f t="array" ref="AC63">IF(AC$7=-1,AD63,IF(AC$7=99,AB63,IF(AC$7=0,INDEX($E63:$I63,0,AC$5),(INDEX($E63:$I63,0,AC$7+1)-INDEX($E63:$I63,0,AC$7))/(INDEX($E$4:$I$4,0,AC$7+1)-INDEX($E$4:$I$4,0,AC$7))+AB63)))</f>
        <v>0.39878721281373197</v>
      </c>
      <c r="AD63" s="313" cm="1">
        <f t="array" ref="AD63">IF(AD$7=-1,AE63,IF(AD$7=99,AC63,IF(AD$7=0,INDEX($E63:$I63,0,AD$5),(INDEX($E63:$I63,0,AD$7+1)-INDEX($E63:$I63,0,AD$7))/(INDEX($E$4:$I$4,0,AD$7+1)-INDEX($E$4:$I$4,0,AD$7))+AC63)))</f>
        <v>0.39875288299419204</v>
      </c>
      <c r="AE63" s="313" cm="1">
        <f t="array" ref="AE63">IF(AE$7=-1,AF63,IF(AE$7=99,AD63,IF(AE$7=0,INDEX($E63:$I63,0,AE$5),(INDEX($E63:$I63,0,AE$7+1)-INDEX($E63:$I63,0,AE$7))/(INDEX($E$4:$I$4,0,AE$7+1)-INDEX($E$4:$I$4,0,AE$7))+AD63)))</f>
        <v>0.3987185531746521</v>
      </c>
      <c r="AF63" s="313" cm="1">
        <f t="array" ref="AF63">IF(AF$7=-1,AG63,IF(AF$7=99,AE63,IF(AF$7=0,INDEX($E63:$I63,0,AF$5),(INDEX($E63:$I63,0,AF$7+1)-INDEX($E63:$I63,0,AF$7))/(INDEX($E$4:$I$4,0,AF$7+1)-INDEX($E$4:$I$4,0,AF$7))+AE63)))</f>
        <v>0.39868422335511217</v>
      </c>
      <c r="AG63" s="313" cm="1">
        <f t="array" ref="AG63">IF(AG$7=-1,AH63,IF(AG$7=99,AF63,IF(AG$7=0,INDEX($E63:$I63,0,AG$5),(INDEX($E63:$I63,0,AG$7+1)-INDEX($E63:$I63,0,AG$7))/(INDEX($E$4:$I$4,0,AG$7+1)-INDEX($E$4:$I$4,0,AG$7))+AF63)))</f>
        <v>0.39864989353557223</v>
      </c>
      <c r="AH63" s="313" cm="1">
        <f t="array" ref="AH63">IF(AH$7=-1,AI63,IF(AH$7=99,AG63,IF(AH$7=0,INDEX($E63:$I63,0,AH$5),(INDEX($E63:$I63,0,AH$7+1)-INDEX($E63:$I63,0,AH$7))/(INDEX($E$4:$I$4,0,AH$7+1)-INDEX($E$4:$I$4,0,AH$7))+AG63)))</f>
        <v>0.3986155637160323</v>
      </c>
      <c r="AI63" s="313" cm="1">
        <f t="array" ref="AI63">IF(AI$7=-1,AJ63,IF(AI$7=99,AH63,IF(AI$7=0,INDEX($E63:$I63,0,AI$5),(INDEX($E63:$I63,0,AI$7+1)-INDEX($E63:$I63,0,AI$7))/(INDEX($E$4:$I$4,0,AI$7+1)-INDEX($E$4:$I$4,0,AI$7))+AH63)))</f>
        <v>0.39858123389649236</v>
      </c>
      <c r="AJ63" s="313" cm="1">
        <f t="array" ref="AJ63">IF(AJ$7=-1,AK63,IF(AJ$7=99,AI63,IF(AJ$7=0,INDEX($E63:$I63,0,AJ$5),(INDEX($E63:$I63,0,AJ$7+1)-INDEX($E63:$I63,0,AJ$7))/(INDEX($E$4:$I$4,0,AJ$7+1)-INDEX($E$4:$I$4,0,AJ$7))+AI63)))</f>
        <v>0.39854690407695242</v>
      </c>
      <c r="AK63" s="313" cm="1">
        <f t="array" ref="AK63">IF(AK$7=-1,AL63,IF(AK$7=99,AJ63,IF(AK$7=0,INDEX($E63:$I63,0,AK$5),(INDEX($E63:$I63,0,AK$7+1)-INDEX($E63:$I63,0,AK$7))/(INDEX($E$4:$I$4,0,AK$7+1)-INDEX($E$4:$I$4,0,AK$7))+AJ63)))</f>
        <v>0.39851257425741249</v>
      </c>
      <c r="AL63" s="313" cm="1">
        <f t="array" ref="AL63">IF(AL$7=-1,AM63,IF(AL$7=99,AK63,IF(AL$7=0,INDEX($E63:$I63,0,AL$5),(INDEX($E63:$I63,0,AL$7+1)-INDEX($E63:$I63,0,AL$7))/(INDEX($E$4:$I$4,0,AL$7+1)-INDEX($E$4:$I$4,0,AL$7))+AK63)))</f>
        <v>0.39847824443787278</v>
      </c>
      <c r="AM63" s="313" cm="1">
        <f t="array" ref="AM63">IF(AM$7=-1,AN63,IF(AM$7=99,AL63,IF(AM$7=0,INDEX($E63:$I63,0,AM$5),(INDEX($E63:$I63,0,AM$7+1)-INDEX($E63:$I63,0,AM$7))/(INDEX($E$4:$I$4,0,AM$7+1)-INDEX($E$4:$I$4,0,AM$7))+AL63)))</f>
        <v>0.3984451392524973</v>
      </c>
      <c r="AN63" s="313" cm="1">
        <f t="array" ref="AN63">IF(AN$7=-1,AO63,IF(AN$7=99,AM63,IF(AN$7=0,INDEX($E63:$I63,0,AN$5),(INDEX($E63:$I63,0,AN$7+1)-INDEX($E63:$I63,0,AN$7))/(INDEX($E$4:$I$4,0,AN$7+1)-INDEX($E$4:$I$4,0,AN$7))+AM63)))</f>
        <v>0.39814719258411824</v>
      </c>
      <c r="AO63" s="313" cm="1">
        <f t="array" ref="AO63">IF(AO$7=-1,AP63,IF(AO$7=99,AN63,IF(AO$7=0,INDEX($E63:$I63,0,AO$5),(INDEX($E63:$I63,0,AO$7+1)-INDEX($E63:$I63,0,AO$7))/(INDEX($E$4:$I$4,0,AO$7+1)-INDEX($E$4:$I$4,0,AO$7))+AN63)))</f>
        <v>0.39814719258411824</v>
      </c>
      <c r="AP63" s="313" cm="1">
        <f t="array" ref="AP63">IF(AP$7=-1,AQ63,IF(AP$7=99,AO63,IF(AP$7=0,INDEX($E63:$I63,0,AP$5),(INDEX($E63:$I63,0,AP$7+1)-INDEX($E63:$I63,0,AP$7))/(INDEX($E$4:$I$4,0,AP$7+1)-INDEX($E$4:$I$4,0,AP$7))+AO63)))</f>
        <v>0.39814719258411824</v>
      </c>
    </row>
    <row r="64" spans="1:47">
      <c r="A64" s="313" t="s">
        <v>16</v>
      </c>
      <c r="C64" s="313" t="str">
        <f t="shared" si="18"/>
        <v>End use demands</v>
      </c>
      <c r="E64" s="186">
        <f t="shared" si="19"/>
        <v>0.10000000000000002</v>
      </c>
      <c r="F64" s="186">
        <f t="shared" si="19"/>
        <v>0.10000000000000002</v>
      </c>
      <c r="G64" s="186">
        <f t="shared" si="19"/>
        <v>0.10000000000000002</v>
      </c>
      <c r="H64" s="186">
        <f t="shared" si="19"/>
        <v>0.10000000000000002</v>
      </c>
      <c r="I64" s="186">
        <f t="shared" si="19"/>
        <v>0.10000000000000002</v>
      </c>
      <c r="J64" s="313" cm="1">
        <f t="array" ref="J64">IF(J$7=-1,K64,IF(J$7=99,I64,IF(J$7=0,INDEX($E64:$I64,0,J$5),(INDEX($E64:$I64,0,J$7+1)-INDEX($E64:$I64,0,J$7))/(INDEX($E$4:$I$4,0,J$7+1)-INDEX($E$4:$I$4,0,J$7))+I64)))</f>
        <v>0.10000000000000002</v>
      </c>
      <c r="K64" s="313" cm="1">
        <f t="array" ref="K64">IF(K$7=-1,L64,IF(K$7=99,J64,IF(K$7=0,INDEX($E64:$I64,0,K$5),(INDEX($E64:$I64,0,K$7+1)-INDEX($E64:$I64,0,K$7))/(INDEX($E$4:$I$4,0,K$7+1)-INDEX($E$4:$I$4,0,K$7))+J64)))</f>
        <v>0.10000000000000002</v>
      </c>
      <c r="L64" s="313" cm="1">
        <f t="array" ref="L64">IF(L$7=-1,M64,IF(L$7=99,K64,IF(L$7=0,INDEX($E64:$I64,0,L$5),(INDEX($E64:$I64,0,L$7+1)-INDEX($E64:$I64,0,L$7))/(INDEX($E$4:$I$4,0,L$7+1)-INDEX($E$4:$I$4,0,L$7))+K64)))</f>
        <v>0.10000000000000002</v>
      </c>
      <c r="M64" s="313" cm="1">
        <f t="array" ref="M64">IF(M$7=-1,N64,IF(M$7=99,L64,IF(M$7=0,INDEX($E64:$I64,0,M$5),(INDEX($E64:$I64,0,M$7+1)-INDEX($E64:$I64,0,M$7))/(INDEX($E$4:$I$4,0,M$7+1)-INDEX($E$4:$I$4,0,M$7))+L64)))</f>
        <v>0.10000000000000002</v>
      </c>
      <c r="N64" s="313" cm="1">
        <f t="array" ref="N64">IF(N$7=-1,O64,IF(N$7=99,M64,IF(N$7=0,INDEX($E64:$I64,0,N$5),(INDEX($E64:$I64,0,N$7+1)-INDEX($E64:$I64,0,N$7))/(INDEX($E$4:$I$4,0,N$7+1)-INDEX($E$4:$I$4,0,N$7))+M64)))</f>
        <v>0.10000000000000002</v>
      </c>
      <c r="O64" s="313" cm="1">
        <f t="array" ref="O64">IF(O$7=-1,P64,IF(O$7=99,N64,IF(O$7=0,INDEX($E64:$I64,0,O$5),(INDEX($E64:$I64,0,O$7+1)-INDEX($E64:$I64,0,O$7))/(INDEX($E$4:$I$4,0,O$7+1)-INDEX($E$4:$I$4,0,O$7))+N64)))</f>
        <v>0.10000000000000002</v>
      </c>
      <c r="P64" s="313" cm="1">
        <f t="array" ref="P64">IF(P$7=-1,Q64,IF(P$7=99,O64,IF(P$7=0,INDEX($E64:$I64,0,P$5),(INDEX($E64:$I64,0,P$7+1)-INDEX($E64:$I64,0,P$7))/(INDEX($E$4:$I$4,0,P$7+1)-INDEX($E$4:$I$4,0,P$7))+O64)))</f>
        <v>0.10000000000000002</v>
      </c>
      <c r="Q64" s="313" cm="1">
        <f t="array" ref="Q64">IF(Q$7=-1,R64,IF(Q$7=99,P64,IF(Q$7=0,INDEX($E64:$I64,0,Q$5),(INDEX($E64:$I64,0,Q$7+1)-INDEX($E64:$I64,0,Q$7))/(INDEX($E$4:$I$4,0,Q$7+1)-INDEX($E$4:$I$4,0,Q$7))+P64)))</f>
        <v>0.10000000000000002</v>
      </c>
      <c r="R64" s="313" cm="1">
        <f t="array" ref="R64">IF(R$7=-1,S64,IF(R$7=99,Q64,IF(R$7=0,INDEX($E64:$I64,0,R$5),(INDEX($E64:$I64,0,R$7+1)-INDEX($E64:$I64,0,R$7))/(INDEX($E$4:$I$4,0,R$7+1)-INDEX($E$4:$I$4,0,R$7))+Q64)))</f>
        <v>0.10000000000000002</v>
      </c>
      <c r="S64" s="313" cm="1">
        <f t="array" ref="S64">IF(S$7=-1,T64,IF(S$7=99,R64,IF(S$7=0,INDEX($E64:$I64,0,S$5),(INDEX($E64:$I64,0,S$7+1)-INDEX($E64:$I64,0,S$7))/(INDEX($E$4:$I$4,0,S$7+1)-INDEX($E$4:$I$4,0,S$7))+R64)))</f>
        <v>0.10000000000000002</v>
      </c>
      <c r="T64" s="313" cm="1">
        <f t="array" ref="T64">IF(T$7=-1,U64,IF(T$7=99,S64,IF(T$7=0,INDEX($E64:$I64,0,T$5),(INDEX($E64:$I64,0,T$7+1)-INDEX($E64:$I64,0,T$7))/(INDEX($E$4:$I$4,0,T$7+1)-INDEX($E$4:$I$4,0,T$7))+S64)))</f>
        <v>0.10000000000000002</v>
      </c>
      <c r="U64" s="313" cm="1">
        <f t="array" ref="U64">IF(U$7=-1,V64,IF(U$7=99,T64,IF(U$7=0,INDEX($E64:$I64,0,U$5),(INDEX($E64:$I64,0,U$7+1)-INDEX($E64:$I64,0,U$7))/(INDEX($E$4:$I$4,0,U$7+1)-INDEX($E$4:$I$4,0,U$7))+T64)))</f>
        <v>0.10000000000000002</v>
      </c>
      <c r="V64" s="313" cm="1">
        <f t="array" ref="V64">IF(V$7=-1,W64,IF(V$7=99,U64,IF(V$7=0,INDEX($E64:$I64,0,V$5),(INDEX($E64:$I64,0,V$7+1)-INDEX($E64:$I64,0,V$7))/(INDEX($E$4:$I$4,0,V$7+1)-INDEX($E$4:$I$4,0,V$7))+U64)))</f>
        <v>0.10000000000000002</v>
      </c>
      <c r="W64" s="313" cm="1">
        <f t="array" ref="W64">IF(W$7=-1,X64,IF(W$7=99,V64,IF(W$7=0,INDEX($E64:$I64,0,W$5),(INDEX($E64:$I64,0,W$7+1)-INDEX($E64:$I64,0,W$7))/(INDEX($E$4:$I$4,0,W$7+1)-INDEX($E$4:$I$4,0,W$7))+V64)))</f>
        <v>0.10000000000000002</v>
      </c>
      <c r="X64" s="313" cm="1">
        <f t="array" ref="X64">IF(X$7=-1,Y64,IF(X$7=99,W64,IF(X$7=0,INDEX($E64:$I64,0,X$5),(INDEX($E64:$I64,0,X$7+1)-INDEX($E64:$I64,0,X$7))/(INDEX($E$4:$I$4,0,X$7+1)-INDEX($E$4:$I$4,0,X$7))+W64)))</f>
        <v>0.10000000000000002</v>
      </c>
      <c r="Y64" s="313" cm="1">
        <f t="array" ref="Y64">IF(Y$7=-1,Z64,IF(Y$7=99,X64,IF(Y$7=0,INDEX($E64:$I64,0,Y$5),(INDEX($E64:$I64,0,Y$7+1)-INDEX($E64:$I64,0,Y$7))/(INDEX($E$4:$I$4,0,Y$7+1)-INDEX($E$4:$I$4,0,Y$7))+X64)))</f>
        <v>0.10000000000000002</v>
      </c>
      <c r="Z64" s="313" cm="1">
        <f t="array" ref="Z64">IF(Z$7=-1,AA64,IF(Z$7=99,Y64,IF(Z$7=0,INDEX($E64:$I64,0,Z$5),(INDEX($E64:$I64,0,Z$7+1)-INDEX($E64:$I64,0,Z$7))/(INDEX($E$4:$I$4,0,Z$7+1)-INDEX($E$4:$I$4,0,Z$7))+Y64)))</f>
        <v>0.10000000000000002</v>
      </c>
      <c r="AA64" s="313" cm="1">
        <f t="array" ref="AA64">IF(AA$7=-1,AB64,IF(AA$7=99,Z64,IF(AA$7=0,INDEX($E64:$I64,0,AA$5),(INDEX($E64:$I64,0,AA$7+1)-INDEX($E64:$I64,0,AA$7))/(INDEX($E$4:$I$4,0,AA$7+1)-INDEX($E$4:$I$4,0,AA$7))+Z64)))</f>
        <v>0.10000000000000002</v>
      </c>
      <c r="AB64" s="313" cm="1">
        <f t="array" ref="AB64">IF(AB$7=-1,AC64,IF(AB$7=99,AA64,IF(AB$7=0,INDEX($E64:$I64,0,AB$5),(INDEX($E64:$I64,0,AB$7+1)-INDEX($E64:$I64,0,AB$7))/(INDEX($E$4:$I$4,0,AB$7+1)-INDEX($E$4:$I$4,0,AB$7))+AA64)))</f>
        <v>0.10000000000000002</v>
      </c>
      <c r="AC64" s="313" cm="1">
        <f t="array" ref="AC64">IF(AC$7=-1,AD64,IF(AC$7=99,AB64,IF(AC$7=0,INDEX($E64:$I64,0,AC$5),(INDEX($E64:$I64,0,AC$7+1)-INDEX($E64:$I64,0,AC$7))/(INDEX($E$4:$I$4,0,AC$7+1)-INDEX($E$4:$I$4,0,AC$7))+AB64)))</f>
        <v>0.10000000000000002</v>
      </c>
      <c r="AD64" s="313" cm="1">
        <f t="array" ref="AD64">IF(AD$7=-1,AE64,IF(AD$7=99,AC64,IF(AD$7=0,INDEX($E64:$I64,0,AD$5),(INDEX($E64:$I64,0,AD$7+1)-INDEX($E64:$I64,0,AD$7))/(INDEX($E$4:$I$4,0,AD$7+1)-INDEX($E$4:$I$4,0,AD$7))+AC64)))</f>
        <v>0.10000000000000002</v>
      </c>
      <c r="AE64" s="313" cm="1">
        <f t="array" ref="AE64">IF(AE$7=-1,AF64,IF(AE$7=99,AD64,IF(AE$7=0,INDEX($E64:$I64,0,AE$5),(INDEX($E64:$I64,0,AE$7+1)-INDEX($E64:$I64,0,AE$7))/(INDEX($E$4:$I$4,0,AE$7+1)-INDEX($E$4:$I$4,0,AE$7))+AD64)))</f>
        <v>0.10000000000000002</v>
      </c>
      <c r="AF64" s="313" cm="1">
        <f t="array" ref="AF64">IF(AF$7=-1,AG64,IF(AF$7=99,AE64,IF(AF$7=0,INDEX($E64:$I64,0,AF$5),(INDEX($E64:$I64,0,AF$7+1)-INDEX($E64:$I64,0,AF$7))/(INDEX($E$4:$I$4,0,AF$7+1)-INDEX($E$4:$I$4,0,AF$7))+AE64)))</f>
        <v>0.10000000000000002</v>
      </c>
      <c r="AG64" s="313" cm="1">
        <f t="array" ref="AG64">IF(AG$7=-1,AH64,IF(AG$7=99,AF64,IF(AG$7=0,INDEX($E64:$I64,0,AG$5),(INDEX($E64:$I64,0,AG$7+1)-INDEX($E64:$I64,0,AG$7))/(INDEX($E$4:$I$4,0,AG$7+1)-INDEX($E$4:$I$4,0,AG$7))+AF64)))</f>
        <v>0.10000000000000002</v>
      </c>
      <c r="AH64" s="313" cm="1">
        <f t="array" ref="AH64">IF(AH$7=-1,AI64,IF(AH$7=99,AG64,IF(AH$7=0,INDEX($E64:$I64,0,AH$5),(INDEX($E64:$I64,0,AH$7+1)-INDEX($E64:$I64,0,AH$7))/(INDEX($E$4:$I$4,0,AH$7+1)-INDEX($E$4:$I$4,0,AH$7))+AG64)))</f>
        <v>0.10000000000000002</v>
      </c>
      <c r="AI64" s="313" cm="1">
        <f t="array" ref="AI64">IF(AI$7=-1,AJ64,IF(AI$7=99,AH64,IF(AI$7=0,INDEX($E64:$I64,0,AI$5),(INDEX($E64:$I64,0,AI$7+1)-INDEX($E64:$I64,0,AI$7))/(INDEX($E$4:$I$4,0,AI$7+1)-INDEX($E$4:$I$4,0,AI$7))+AH64)))</f>
        <v>0.10000000000000002</v>
      </c>
      <c r="AJ64" s="313" cm="1">
        <f t="array" ref="AJ64">IF(AJ$7=-1,AK64,IF(AJ$7=99,AI64,IF(AJ$7=0,INDEX($E64:$I64,0,AJ$5),(INDEX($E64:$I64,0,AJ$7+1)-INDEX($E64:$I64,0,AJ$7))/(INDEX($E$4:$I$4,0,AJ$7+1)-INDEX($E$4:$I$4,0,AJ$7))+AI64)))</f>
        <v>0.10000000000000002</v>
      </c>
      <c r="AK64" s="313" cm="1">
        <f t="array" ref="AK64">IF(AK$7=-1,AL64,IF(AK$7=99,AJ64,IF(AK$7=0,INDEX($E64:$I64,0,AK$5),(INDEX($E64:$I64,0,AK$7+1)-INDEX($E64:$I64,0,AK$7))/(INDEX($E$4:$I$4,0,AK$7+1)-INDEX($E$4:$I$4,0,AK$7))+AJ64)))</f>
        <v>0.10000000000000002</v>
      </c>
      <c r="AL64" s="313" cm="1">
        <f t="array" ref="AL64">IF(AL$7=-1,AM64,IF(AL$7=99,AK64,IF(AL$7=0,INDEX($E64:$I64,0,AL$5),(INDEX($E64:$I64,0,AL$7+1)-INDEX($E64:$I64,0,AL$7))/(INDEX($E$4:$I$4,0,AL$7+1)-INDEX($E$4:$I$4,0,AL$7))+AK64)))</f>
        <v>0.10000000000000002</v>
      </c>
      <c r="AM64" s="313" cm="1">
        <f t="array" ref="AM64">IF(AM$7=-1,AN64,IF(AM$7=99,AL64,IF(AM$7=0,INDEX($E64:$I64,0,AM$5),(INDEX($E64:$I64,0,AM$7+1)-INDEX($E64:$I64,0,AM$7))/(INDEX($E$4:$I$4,0,AM$7+1)-INDEX($E$4:$I$4,0,AM$7))+AL64)))</f>
        <v>0.10000000000000002</v>
      </c>
      <c r="AN64" s="313" cm="1">
        <f t="array" ref="AN64">IF(AN$7=-1,AO64,IF(AN$7=99,AM64,IF(AN$7=0,INDEX($E64:$I64,0,AN$5),(INDEX($E64:$I64,0,AN$7+1)-INDEX($E64:$I64,0,AN$7))/(INDEX($E$4:$I$4,0,AN$7+1)-INDEX($E$4:$I$4,0,AN$7))+AM64)))</f>
        <v>0.10000000000000002</v>
      </c>
      <c r="AO64" s="313" cm="1">
        <f t="array" ref="AO64">IF(AO$7=-1,AP64,IF(AO$7=99,AN64,IF(AO$7=0,INDEX($E64:$I64,0,AO$5),(INDEX($E64:$I64,0,AO$7+1)-INDEX($E64:$I64,0,AO$7))/(INDEX($E$4:$I$4,0,AO$7+1)-INDEX($E$4:$I$4,0,AO$7))+AN64)))</f>
        <v>0.10000000000000002</v>
      </c>
      <c r="AP64" s="313" cm="1">
        <f t="array" ref="AP64">IF(AP$7=-1,AQ64,IF(AP$7=99,AO64,IF(AP$7=0,INDEX($E64:$I64,0,AP$5),(INDEX($E64:$I64,0,AP$7+1)-INDEX($E64:$I64,0,AP$7))/(INDEX($E$4:$I$4,0,AP$7+1)-INDEX($E$4:$I$4,0,AP$7))+AO64)))</f>
        <v>0.10000000000000002</v>
      </c>
    </row>
    <row r="65" spans="1:42">
      <c r="A65" s="313" t="s">
        <v>16</v>
      </c>
      <c r="C65" s="313" t="str">
        <f t="shared" si="18"/>
        <v>Lighting</v>
      </c>
      <c r="E65" s="186">
        <f t="shared" si="19"/>
        <v>0.69799999999999995</v>
      </c>
      <c r="F65" s="186">
        <f t="shared" si="19"/>
        <v>0.69801485012087106</v>
      </c>
      <c r="G65" s="186">
        <f t="shared" si="19"/>
        <v>0.69764308526654384</v>
      </c>
      <c r="H65" s="186">
        <f t="shared" si="19"/>
        <v>0.69695648887574557</v>
      </c>
      <c r="I65" s="186">
        <f t="shared" si="19"/>
        <v>0.6962943851682365</v>
      </c>
      <c r="J65" s="313" cm="1">
        <f t="array" ref="J65">IF(J$7=-1,K65,IF(J$7=99,I65,IF(J$7=0,INDEX($E65:$I65,0,J$5),(INDEX($E65:$I65,0,J$7+1)-INDEX($E65:$I65,0,J$7))/(INDEX($E$4:$I$4,0,J$7+1)-INDEX($E$4:$I$4,0,J$7))+I65)))</f>
        <v>0.69799999999999995</v>
      </c>
      <c r="K65" s="313" cm="1">
        <f t="array" ref="K65">IF(K$7=-1,L65,IF(K$7=99,J65,IF(K$7=0,INDEX($E65:$I65,0,K$5),(INDEX($E65:$I65,0,K$7+1)-INDEX($E65:$I65,0,K$7))/(INDEX($E$4:$I$4,0,K$7+1)-INDEX($E$4:$I$4,0,K$7))+J65)))</f>
        <v>0.6980018562651088</v>
      </c>
      <c r="L65" s="313" cm="1">
        <f t="array" ref="L65">IF(L$7=-1,M65,IF(L$7=99,K65,IF(L$7=0,INDEX($E65:$I65,0,L$5),(INDEX($E65:$I65,0,L$7+1)-INDEX($E65:$I65,0,L$7))/(INDEX($E$4:$I$4,0,L$7+1)-INDEX($E$4:$I$4,0,L$7))+K65)))</f>
        <v>0.69800371253021765</v>
      </c>
      <c r="M65" s="313" cm="1">
        <f t="array" ref="M65">IF(M$7=-1,N65,IF(M$7=99,L65,IF(M$7=0,INDEX($E65:$I65,0,M$5),(INDEX($E65:$I65,0,M$7+1)-INDEX($E65:$I65,0,M$7))/(INDEX($E$4:$I$4,0,M$7+1)-INDEX($E$4:$I$4,0,M$7))+L65)))</f>
        <v>0.69800556879532649</v>
      </c>
      <c r="N65" s="313" cm="1">
        <f t="array" ref="N65">IF(N$7=-1,O65,IF(N$7=99,M65,IF(N$7=0,INDEX($E65:$I65,0,N$5),(INDEX($E65:$I65,0,N$7+1)-INDEX($E65:$I65,0,N$7))/(INDEX($E$4:$I$4,0,N$7+1)-INDEX($E$4:$I$4,0,N$7))+M65)))</f>
        <v>0.69800742506043534</v>
      </c>
      <c r="O65" s="313" cm="1">
        <f t="array" ref="O65">IF(O$7=-1,P65,IF(O$7=99,N65,IF(O$7=0,INDEX($E65:$I65,0,O$5),(INDEX($E65:$I65,0,O$7+1)-INDEX($E65:$I65,0,O$7))/(INDEX($E$4:$I$4,0,O$7+1)-INDEX($E$4:$I$4,0,O$7))+N65)))</f>
        <v>0.69800928132554418</v>
      </c>
      <c r="P65" s="313" cm="1">
        <f t="array" ref="P65">IF(P$7=-1,Q65,IF(P$7=99,O65,IF(P$7=0,INDEX($E65:$I65,0,P$5),(INDEX($E65:$I65,0,P$7+1)-INDEX($E65:$I65,0,P$7))/(INDEX($E$4:$I$4,0,P$7+1)-INDEX($E$4:$I$4,0,P$7))+O65)))</f>
        <v>0.69801113759065303</v>
      </c>
      <c r="Q65" s="313" cm="1">
        <f t="array" ref="Q65">IF(Q$7=-1,R65,IF(Q$7=99,P65,IF(Q$7=0,INDEX($E65:$I65,0,Q$5),(INDEX($E65:$I65,0,Q$7+1)-INDEX($E65:$I65,0,Q$7))/(INDEX($E$4:$I$4,0,Q$7+1)-INDEX($E$4:$I$4,0,Q$7))+P65)))</f>
        <v>0.69801299385576188</v>
      </c>
      <c r="R65" s="313" cm="1">
        <f t="array" ref="R65">IF(R$7=-1,S65,IF(R$7=99,Q65,IF(R$7=0,INDEX($E65:$I65,0,R$5),(INDEX($E65:$I65,0,R$7+1)-INDEX($E65:$I65,0,R$7))/(INDEX($E$4:$I$4,0,R$7+1)-INDEX($E$4:$I$4,0,R$7))+Q65)))</f>
        <v>0.69801485012087106</v>
      </c>
      <c r="S65" s="313" cm="1">
        <f t="array" ref="S65">IF(S$7=-1,T65,IF(S$7=99,R65,IF(S$7=0,INDEX($E65:$I65,0,S$5),(INDEX($E65:$I65,0,S$7+1)-INDEX($E65:$I65,0,S$7))/(INDEX($E$4:$I$4,0,S$7+1)-INDEX($E$4:$I$4,0,S$7))+R65)))</f>
        <v>0.69797767363543839</v>
      </c>
      <c r="T65" s="313" cm="1">
        <f t="array" ref="T65">IF(T$7=-1,U65,IF(T$7=99,S65,IF(T$7=0,INDEX($E65:$I65,0,T$5),(INDEX($E65:$I65,0,T$7+1)-INDEX($E65:$I65,0,T$7))/(INDEX($E$4:$I$4,0,T$7+1)-INDEX($E$4:$I$4,0,T$7))+S65)))</f>
        <v>0.69794049715000561</v>
      </c>
      <c r="U65" s="313" cm="1">
        <f t="array" ref="U65">IF(U$7=-1,V65,IF(U$7=99,T65,IF(U$7=0,INDEX($E65:$I65,0,U$5),(INDEX($E65:$I65,0,U$7+1)-INDEX($E65:$I65,0,U$7))/(INDEX($E$4:$I$4,0,U$7+1)-INDEX($E$4:$I$4,0,U$7))+T65)))</f>
        <v>0.69790332066457283</v>
      </c>
      <c r="V65" s="313" cm="1">
        <f t="array" ref="V65">IF(V$7=-1,W65,IF(V$7=99,U65,IF(V$7=0,INDEX($E65:$I65,0,V$5),(INDEX($E65:$I65,0,V$7+1)-INDEX($E65:$I65,0,V$7))/(INDEX($E$4:$I$4,0,V$7+1)-INDEX($E$4:$I$4,0,V$7))+U65)))</f>
        <v>0.69786614417914006</v>
      </c>
      <c r="W65" s="313" cm="1">
        <f t="array" ref="W65">IF(W$7=-1,X65,IF(W$7=99,V65,IF(W$7=0,INDEX($E65:$I65,0,W$5),(INDEX($E65:$I65,0,W$7+1)-INDEX($E65:$I65,0,W$7))/(INDEX($E$4:$I$4,0,W$7+1)-INDEX($E$4:$I$4,0,W$7))+V65)))</f>
        <v>0.69782896769370728</v>
      </c>
      <c r="X65" s="313" cm="1">
        <f t="array" ref="X65">IF(X$7=-1,Y65,IF(X$7=99,W65,IF(X$7=0,INDEX($E65:$I65,0,X$5),(INDEX($E65:$I65,0,X$7+1)-INDEX($E65:$I65,0,X$7))/(INDEX($E$4:$I$4,0,X$7+1)-INDEX($E$4:$I$4,0,X$7))+W65)))</f>
        <v>0.6977917912082745</v>
      </c>
      <c r="Y65" s="313" cm="1">
        <f t="array" ref="Y65">IF(Y$7=-1,Z65,IF(Y$7=99,X65,IF(Y$7=0,INDEX($E65:$I65,0,Y$5),(INDEX($E65:$I65,0,Y$7+1)-INDEX($E65:$I65,0,Y$7))/(INDEX($E$4:$I$4,0,Y$7+1)-INDEX($E$4:$I$4,0,Y$7))+X65)))</f>
        <v>0.69775461472284173</v>
      </c>
      <c r="Z65" s="313" cm="1">
        <f t="array" ref="Z65">IF(Z$7=-1,AA65,IF(Z$7=99,Y65,IF(Z$7=0,INDEX($E65:$I65,0,Z$5),(INDEX($E65:$I65,0,Z$7+1)-INDEX($E65:$I65,0,Z$7))/(INDEX($E$4:$I$4,0,Z$7+1)-INDEX($E$4:$I$4,0,Z$7))+Y65)))</f>
        <v>0.69771743823740895</v>
      </c>
      <c r="AA65" s="313" cm="1">
        <f t="array" ref="AA65">IF(AA$7=-1,AB65,IF(AA$7=99,Z65,IF(AA$7=0,INDEX($E65:$I65,0,AA$5),(INDEX($E65:$I65,0,AA$7+1)-INDEX($E65:$I65,0,AA$7))/(INDEX($E$4:$I$4,0,AA$7+1)-INDEX($E$4:$I$4,0,AA$7))+Z65)))</f>
        <v>0.69768026175197617</v>
      </c>
      <c r="AB65" s="313" cm="1">
        <f t="array" ref="AB65">IF(AB$7=-1,AC65,IF(AB$7=99,AA65,IF(AB$7=0,INDEX($E65:$I65,0,AB$5),(INDEX($E65:$I65,0,AB$7+1)-INDEX($E65:$I65,0,AB$7))/(INDEX($E$4:$I$4,0,AB$7+1)-INDEX($E$4:$I$4,0,AB$7))+AA65)))</f>
        <v>0.69764308526654384</v>
      </c>
      <c r="AC65" s="313" cm="1">
        <f t="array" ref="AC65">IF(AC$7=-1,AD65,IF(AC$7=99,AB65,IF(AC$7=0,INDEX($E65:$I65,0,AC$5),(INDEX($E65:$I65,0,AC$7+1)-INDEX($E65:$I65,0,AC$7))/(INDEX($E$4:$I$4,0,AC$7+1)-INDEX($E$4:$I$4,0,AC$7))+AB65)))</f>
        <v>0.69757442562746397</v>
      </c>
      <c r="AD65" s="313" cm="1">
        <f t="array" ref="AD65">IF(AD$7=-1,AE65,IF(AD$7=99,AC65,IF(AD$7=0,INDEX($E65:$I65,0,AD$5),(INDEX($E65:$I65,0,AD$7+1)-INDEX($E65:$I65,0,AD$7))/(INDEX($E$4:$I$4,0,AD$7+1)-INDEX($E$4:$I$4,0,AD$7))+AC65)))</f>
        <v>0.6975057659883841</v>
      </c>
      <c r="AE65" s="313" cm="1">
        <f t="array" ref="AE65">IF(AE$7=-1,AF65,IF(AE$7=99,AD65,IF(AE$7=0,INDEX($E65:$I65,0,AE$5),(INDEX($E65:$I65,0,AE$7+1)-INDEX($E65:$I65,0,AE$7))/(INDEX($E$4:$I$4,0,AE$7+1)-INDEX($E$4:$I$4,0,AE$7))+AD65)))</f>
        <v>0.69743710634930423</v>
      </c>
      <c r="AF65" s="313" cm="1">
        <f t="array" ref="AF65">IF(AF$7=-1,AG65,IF(AF$7=99,AE65,IF(AF$7=0,INDEX($E65:$I65,0,AF$5),(INDEX($E65:$I65,0,AF$7+1)-INDEX($E65:$I65,0,AF$7))/(INDEX($E$4:$I$4,0,AF$7+1)-INDEX($E$4:$I$4,0,AF$7))+AE65)))</f>
        <v>0.69736844671022435</v>
      </c>
      <c r="AG65" s="313" cm="1">
        <f t="array" ref="AG65">IF(AG$7=-1,AH65,IF(AG$7=99,AF65,IF(AG$7=0,INDEX($E65:$I65,0,AG$5),(INDEX($E65:$I65,0,AG$7+1)-INDEX($E65:$I65,0,AG$7))/(INDEX($E$4:$I$4,0,AG$7+1)-INDEX($E$4:$I$4,0,AG$7))+AF65)))</f>
        <v>0.69729978707114448</v>
      </c>
      <c r="AH65" s="313" cm="1">
        <f t="array" ref="AH65">IF(AH$7=-1,AI65,IF(AH$7=99,AG65,IF(AH$7=0,INDEX($E65:$I65,0,AH$5),(INDEX($E65:$I65,0,AH$7+1)-INDEX($E65:$I65,0,AH$7))/(INDEX($E$4:$I$4,0,AH$7+1)-INDEX($E$4:$I$4,0,AH$7))+AG65)))</f>
        <v>0.69723112743206461</v>
      </c>
      <c r="AI65" s="313" cm="1">
        <f t="array" ref="AI65">IF(AI$7=-1,AJ65,IF(AI$7=99,AH65,IF(AI$7=0,INDEX($E65:$I65,0,AI$5),(INDEX($E65:$I65,0,AI$7+1)-INDEX($E65:$I65,0,AI$7))/(INDEX($E$4:$I$4,0,AI$7+1)-INDEX($E$4:$I$4,0,AI$7))+AH65)))</f>
        <v>0.69716246779298474</v>
      </c>
      <c r="AJ65" s="313" cm="1">
        <f t="array" ref="AJ65">IF(AJ$7=-1,AK65,IF(AJ$7=99,AI65,IF(AJ$7=0,INDEX($E65:$I65,0,AJ$5),(INDEX($E65:$I65,0,AJ$7+1)-INDEX($E65:$I65,0,AJ$7))/(INDEX($E$4:$I$4,0,AJ$7+1)-INDEX($E$4:$I$4,0,AJ$7))+AI65)))</f>
        <v>0.69709380815390487</v>
      </c>
      <c r="AK65" s="313" cm="1">
        <f t="array" ref="AK65">IF(AK$7=-1,AL65,IF(AK$7=99,AJ65,IF(AK$7=0,INDEX($E65:$I65,0,AK$5),(INDEX($E65:$I65,0,AK$7+1)-INDEX($E65:$I65,0,AK$7))/(INDEX($E$4:$I$4,0,AK$7+1)-INDEX($E$4:$I$4,0,AK$7))+AJ65)))</f>
        <v>0.697025148514825</v>
      </c>
      <c r="AL65" s="313" cm="1">
        <f t="array" ref="AL65">IF(AL$7=-1,AM65,IF(AL$7=99,AK65,IF(AL$7=0,INDEX($E65:$I65,0,AL$5),(INDEX($E65:$I65,0,AL$7+1)-INDEX($E65:$I65,0,AL$7))/(INDEX($E$4:$I$4,0,AL$7+1)-INDEX($E$4:$I$4,0,AL$7))+AK65)))</f>
        <v>0.69695648887574557</v>
      </c>
      <c r="AM65" s="313" cm="1">
        <f t="array" ref="AM65">IF(AM$7=-1,AN65,IF(AM$7=99,AL65,IF(AM$7=0,INDEX($E65:$I65,0,AM$5),(INDEX($E65:$I65,0,AM$7+1)-INDEX($E65:$I65,0,AM$7))/(INDEX($E$4:$I$4,0,AM$7+1)-INDEX($E$4:$I$4,0,AM$7))+AL65)))</f>
        <v>0.69689027850499463</v>
      </c>
      <c r="AN65" s="313" cm="1">
        <f t="array" ref="AN65">IF(AN$7=-1,AO65,IF(AN$7=99,AM65,IF(AN$7=0,INDEX($E65:$I65,0,AN$5),(INDEX($E65:$I65,0,AN$7+1)-INDEX($E65:$I65,0,AN$7))/(INDEX($E$4:$I$4,0,AN$7+1)-INDEX($E$4:$I$4,0,AN$7))+AM65)))</f>
        <v>0.6962943851682365</v>
      </c>
      <c r="AO65" s="313" cm="1">
        <f t="array" ref="AO65">IF(AO$7=-1,AP65,IF(AO$7=99,AN65,IF(AO$7=0,INDEX($E65:$I65,0,AO$5),(INDEX($E65:$I65,0,AO$7+1)-INDEX($E65:$I65,0,AO$7))/(INDEX($E$4:$I$4,0,AO$7+1)-INDEX($E$4:$I$4,0,AO$7))+AN65)))</f>
        <v>0.6962943851682365</v>
      </c>
      <c r="AP65" s="313" cm="1">
        <f t="array" ref="AP65">IF(AP$7=-1,AQ65,IF(AP$7=99,AO65,IF(AP$7=0,INDEX($E65:$I65,0,AP$5),(INDEX($E65:$I65,0,AP$7+1)-INDEX($E65:$I65,0,AP$7))/(INDEX($E$4:$I$4,0,AP$7+1)-INDEX($E$4:$I$4,0,AP$7))+AO65)))</f>
        <v>0.6962943851682365</v>
      </c>
    </row>
    <row r="66" spans="1:42">
      <c r="A66" s="313" t="s">
        <v>16</v>
      </c>
      <c r="C66" s="313" t="str">
        <f t="shared" si="18"/>
        <v>Cooking</v>
      </c>
      <c r="E66" s="186">
        <f t="shared" si="19"/>
        <v>0.39899999999999997</v>
      </c>
      <c r="F66" s="186">
        <f t="shared" si="19"/>
        <v>0.39900742506043552</v>
      </c>
      <c r="G66" s="186">
        <f t="shared" si="19"/>
        <v>0.39882154263327191</v>
      </c>
      <c r="H66" s="186">
        <f t="shared" si="19"/>
        <v>0.39847824443787278</v>
      </c>
      <c r="I66" s="186">
        <f t="shared" si="19"/>
        <v>0.39814719258411824</v>
      </c>
      <c r="J66" s="313" cm="1">
        <f t="array" ref="J66">IF(J$7=-1,K66,IF(J$7=99,I66,IF(J$7=0,INDEX($E66:$I66,0,J$5),(INDEX($E66:$I66,0,J$7+1)-INDEX($E66:$I66,0,J$7))/(INDEX($E$4:$I$4,0,J$7+1)-INDEX($E$4:$I$4,0,J$7))+I66)))</f>
        <v>0.39899999999999997</v>
      </c>
      <c r="K66" s="313" cm="1">
        <f t="array" ref="K66">IF(K$7=-1,L66,IF(K$7=99,J66,IF(K$7=0,INDEX($E66:$I66,0,K$5),(INDEX($E66:$I66,0,K$7+1)-INDEX($E66:$I66,0,K$7))/(INDEX($E$4:$I$4,0,K$7+1)-INDEX($E$4:$I$4,0,K$7))+J66)))</f>
        <v>0.39900092813255439</v>
      </c>
      <c r="L66" s="313" cm="1">
        <f t="array" ref="L66">IF(L$7=-1,M66,IF(L$7=99,K66,IF(L$7=0,INDEX($E66:$I66,0,L$5),(INDEX($E66:$I66,0,L$7+1)-INDEX($E66:$I66,0,L$7))/(INDEX($E$4:$I$4,0,L$7+1)-INDEX($E$4:$I$4,0,L$7))+K66)))</f>
        <v>0.39900185626510881</v>
      </c>
      <c r="M66" s="313" cm="1">
        <f t="array" ref="M66">IF(M$7=-1,N66,IF(M$7=99,L66,IF(M$7=0,INDEX($E66:$I66,0,M$5),(INDEX($E66:$I66,0,M$7+1)-INDEX($E66:$I66,0,M$7))/(INDEX($E$4:$I$4,0,M$7+1)-INDEX($E$4:$I$4,0,M$7))+L66)))</f>
        <v>0.39900278439766323</v>
      </c>
      <c r="N66" s="313" cm="1">
        <f t="array" ref="N66">IF(N$7=-1,O66,IF(N$7=99,M66,IF(N$7=0,INDEX($E66:$I66,0,N$5),(INDEX($E66:$I66,0,N$7+1)-INDEX($E66:$I66,0,N$7))/(INDEX($E$4:$I$4,0,N$7+1)-INDEX($E$4:$I$4,0,N$7))+M66)))</f>
        <v>0.39900371253021766</v>
      </c>
      <c r="O66" s="313" cm="1">
        <f t="array" ref="O66">IF(O$7=-1,P66,IF(O$7=99,N66,IF(O$7=0,INDEX($E66:$I66,0,O$5),(INDEX($E66:$I66,0,O$7+1)-INDEX($E66:$I66,0,O$7))/(INDEX($E$4:$I$4,0,O$7+1)-INDEX($E$4:$I$4,0,O$7))+N66)))</f>
        <v>0.39900464066277208</v>
      </c>
      <c r="P66" s="313" cm="1">
        <f t="array" ref="P66">IF(P$7=-1,Q66,IF(P$7=99,O66,IF(P$7=0,INDEX($E66:$I66,0,P$5),(INDEX($E66:$I66,0,P$7+1)-INDEX($E66:$I66,0,P$7))/(INDEX($E$4:$I$4,0,P$7+1)-INDEX($E$4:$I$4,0,P$7))+O66)))</f>
        <v>0.3990055687953265</v>
      </c>
      <c r="Q66" s="313" cm="1">
        <f t="array" ref="Q66">IF(Q$7=-1,R66,IF(Q$7=99,P66,IF(Q$7=0,INDEX($E66:$I66,0,Q$5),(INDEX($E66:$I66,0,Q$7+1)-INDEX($E66:$I66,0,Q$7))/(INDEX($E$4:$I$4,0,Q$7+1)-INDEX($E$4:$I$4,0,Q$7))+P66)))</f>
        <v>0.39900649692788093</v>
      </c>
      <c r="R66" s="313" cm="1">
        <f t="array" ref="R66">IF(R$7=-1,S66,IF(R$7=99,Q66,IF(R$7=0,INDEX($E66:$I66,0,R$5),(INDEX($E66:$I66,0,R$7+1)-INDEX($E66:$I66,0,R$7))/(INDEX($E$4:$I$4,0,R$7+1)-INDEX($E$4:$I$4,0,R$7))+Q66)))</f>
        <v>0.39900742506043552</v>
      </c>
      <c r="S66" s="313" cm="1">
        <f t="array" ref="S66">IF(S$7=-1,T66,IF(S$7=99,R66,IF(S$7=0,INDEX($E66:$I66,0,S$5),(INDEX($E66:$I66,0,S$7+1)-INDEX($E66:$I66,0,S$7))/(INDEX($E$4:$I$4,0,S$7+1)-INDEX($E$4:$I$4,0,S$7))+R66)))</f>
        <v>0.39898883681771913</v>
      </c>
      <c r="T66" s="313" cm="1">
        <f t="array" ref="T66">IF(T$7=-1,U66,IF(T$7=99,S66,IF(T$7=0,INDEX($E66:$I66,0,T$5),(INDEX($E66:$I66,0,T$7+1)-INDEX($E66:$I66,0,T$7))/(INDEX($E$4:$I$4,0,T$7+1)-INDEX($E$4:$I$4,0,T$7))+S66)))</f>
        <v>0.39897024857500274</v>
      </c>
      <c r="U66" s="313" cm="1">
        <f t="array" ref="U66">IF(U$7=-1,V66,IF(U$7=99,T66,IF(U$7=0,INDEX($E66:$I66,0,U$5),(INDEX($E66:$I66,0,U$7+1)-INDEX($E66:$I66,0,U$7))/(INDEX($E$4:$I$4,0,U$7+1)-INDEX($E$4:$I$4,0,U$7))+T66)))</f>
        <v>0.39895166033228635</v>
      </c>
      <c r="V66" s="313" cm="1">
        <f t="array" ref="V66">IF(V$7=-1,W66,IF(V$7=99,U66,IF(V$7=0,INDEX($E66:$I66,0,V$5),(INDEX($E66:$I66,0,V$7+1)-INDEX($E66:$I66,0,V$7))/(INDEX($E$4:$I$4,0,V$7+1)-INDEX($E$4:$I$4,0,V$7))+U66)))</f>
        <v>0.39893307208956996</v>
      </c>
      <c r="W66" s="313" cm="1">
        <f t="array" ref="W66">IF(W$7=-1,X66,IF(W$7=99,V66,IF(W$7=0,INDEX($E66:$I66,0,W$5),(INDEX($E66:$I66,0,W$7+1)-INDEX($E66:$I66,0,W$7))/(INDEX($E$4:$I$4,0,W$7+1)-INDEX($E$4:$I$4,0,W$7))+V66)))</f>
        <v>0.39891448384685357</v>
      </c>
      <c r="X66" s="313" cm="1">
        <f t="array" ref="X66">IF(X$7=-1,Y66,IF(X$7=99,W66,IF(X$7=0,INDEX($E66:$I66,0,X$5),(INDEX($E66:$I66,0,X$7+1)-INDEX($E66:$I66,0,X$7))/(INDEX($E$4:$I$4,0,X$7+1)-INDEX($E$4:$I$4,0,X$7))+W66)))</f>
        <v>0.39889589560413719</v>
      </c>
      <c r="Y66" s="313" cm="1">
        <f t="array" ref="Y66">IF(Y$7=-1,Z66,IF(Y$7=99,X66,IF(Y$7=0,INDEX($E66:$I66,0,Y$5),(INDEX($E66:$I66,0,Y$7+1)-INDEX($E66:$I66,0,Y$7))/(INDEX($E$4:$I$4,0,Y$7+1)-INDEX($E$4:$I$4,0,Y$7))+X66)))</f>
        <v>0.3988773073614208</v>
      </c>
      <c r="Z66" s="313" cm="1">
        <f t="array" ref="Z66">IF(Z$7=-1,AA66,IF(Z$7=99,Y66,IF(Z$7=0,INDEX($E66:$I66,0,Z$5),(INDEX($E66:$I66,0,Z$7+1)-INDEX($E66:$I66,0,Z$7))/(INDEX($E$4:$I$4,0,Z$7+1)-INDEX($E$4:$I$4,0,Z$7))+Y66)))</f>
        <v>0.39885871911870441</v>
      </c>
      <c r="AA66" s="313" cm="1">
        <f t="array" ref="AA66">IF(AA$7=-1,AB66,IF(AA$7=99,Z66,IF(AA$7=0,INDEX($E66:$I66,0,AA$5),(INDEX($E66:$I66,0,AA$7+1)-INDEX($E66:$I66,0,AA$7))/(INDEX($E$4:$I$4,0,AA$7+1)-INDEX($E$4:$I$4,0,AA$7))+Z66)))</f>
        <v>0.39884013087598802</v>
      </c>
      <c r="AB66" s="313" cm="1">
        <f t="array" ref="AB66">IF(AB$7=-1,AC66,IF(AB$7=99,AA66,IF(AB$7=0,INDEX($E66:$I66,0,AB$5),(INDEX($E66:$I66,0,AB$7+1)-INDEX($E66:$I66,0,AB$7))/(INDEX($E$4:$I$4,0,AB$7+1)-INDEX($E$4:$I$4,0,AB$7))+AA66)))</f>
        <v>0.39882154263327191</v>
      </c>
      <c r="AC66" s="313" cm="1">
        <f t="array" ref="AC66">IF(AC$7=-1,AD66,IF(AC$7=99,AB66,IF(AC$7=0,INDEX($E66:$I66,0,AC$5),(INDEX($E66:$I66,0,AC$7+1)-INDEX($E66:$I66,0,AC$7))/(INDEX($E$4:$I$4,0,AC$7+1)-INDEX($E$4:$I$4,0,AC$7))+AB66)))</f>
        <v>0.39878721281373197</v>
      </c>
      <c r="AD66" s="313" cm="1">
        <f t="array" ref="AD66">IF(AD$7=-1,AE66,IF(AD$7=99,AC66,IF(AD$7=0,INDEX($E66:$I66,0,AD$5),(INDEX($E66:$I66,0,AD$7+1)-INDEX($E66:$I66,0,AD$7))/(INDEX($E$4:$I$4,0,AD$7+1)-INDEX($E$4:$I$4,0,AD$7))+AC66)))</f>
        <v>0.39875288299419204</v>
      </c>
      <c r="AE66" s="313" cm="1">
        <f t="array" ref="AE66">IF(AE$7=-1,AF66,IF(AE$7=99,AD66,IF(AE$7=0,INDEX($E66:$I66,0,AE$5),(INDEX($E66:$I66,0,AE$7+1)-INDEX($E66:$I66,0,AE$7))/(INDEX($E$4:$I$4,0,AE$7+1)-INDEX($E$4:$I$4,0,AE$7))+AD66)))</f>
        <v>0.3987185531746521</v>
      </c>
      <c r="AF66" s="313" cm="1">
        <f t="array" ref="AF66">IF(AF$7=-1,AG66,IF(AF$7=99,AE66,IF(AF$7=0,INDEX($E66:$I66,0,AF$5),(INDEX($E66:$I66,0,AF$7+1)-INDEX($E66:$I66,0,AF$7))/(INDEX($E$4:$I$4,0,AF$7+1)-INDEX($E$4:$I$4,0,AF$7))+AE66)))</f>
        <v>0.39868422335511217</v>
      </c>
      <c r="AG66" s="313" cm="1">
        <f t="array" ref="AG66">IF(AG$7=-1,AH66,IF(AG$7=99,AF66,IF(AG$7=0,INDEX($E66:$I66,0,AG$5),(INDEX($E66:$I66,0,AG$7+1)-INDEX($E66:$I66,0,AG$7))/(INDEX($E$4:$I$4,0,AG$7+1)-INDEX($E$4:$I$4,0,AG$7))+AF66)))</f>
        <v>0.39864989353557223</v>
      </c>
      <c r="AH66" s="313" cm="1">
        <f t="array" ref="AH66">IF(AH$7=-1,AI66,IF(AH$7=99,AG66,IF(AH$7=0,INDEX($E66:$I66,0,AH$5),(INDEX($E66:$I66,0,AH$7+1)-INDEX($E66:$I66,0,AH$7))/(INDEX($E$4:$I$4,0,AH$7+1)-INDEX($E$4:$I$4,0,AH$7))+AG66)))</f>
        <v>0.3986155637160323</v>
      </c>
      <c r="AI66" s="313" cm="1">
        <f t="array" ref="AI66">IF(AI$7=-1,AJ66,IF(AI$7=99,AH66,IF(AI$7=0,INDEX($E66:$I66,0,AI$5),(INDEX($E66:$I66,0,AI$7+1)-INDEX($E66:$I66,0,AI$7))/(INDEX($E$4:$I$4,0,AI$7+1)-INDEX($E$4:$I$4,0,AI$7))+AH66)))</f>
        <v>0.39858123389649236</v>
      </c>
      <c r="AJ66" s="313" cm="1">
        <f t="array" ref="AJ66">IF(AJ$7=-1,AK66,IF(AJ$7=99,AI66,IF(AJ$7=0,INDEX($E66:$I66,0,AJ$5),(INDEX($E66:$I66,0,AJ$7+1)-INDEX($E66:$I66,0,AJ$7))/(INDEX($E$4:$I$4,0,AJ$7+1)-INDEX($E$4:$I$4,0,AJ$7))+AI66)))</f>
        <v>0.39854690407695242</v>
      </c>
      <c r="AK66" s="313" cm="1">
        <f t="array" ref="AK66">IF(AK$7=-1,AL66,IF(AK$7=99,AJ66,IF(AK$7=0,INDEX($E66:$I66,0,AK$5),(INDEX($E66:$I66,0,AK$7+1)-INDEX($E66:$I66,0,AK$7))/(INDEX($E$4:$I$4,0,AK$7+1)-INDEX($E$4:$I$4,0,AK$7))+AJ66)))</f>
        <v>0.39851257425741249</v>
      </c>
      <c r="AL66" s="313" cm="1">
        <f t="array" ref="AL66">IF(AL$7=-1,AM66,IF(AL$7=99,AK66,IF(AL$7=0,INDEX($E66:$I66,0,AL$5),(INDEX($E66:$I66,0,AL$7+1)-INDEX($E66:$I66,0,AL$7))/(INDEX($E$4:$I$4,0,AL$7+1)-INDEX($E$4:$I$4,0,AL$7))+AK66)))</f>
        <v>0.39847824443787278</v>
      </c>
      <c r="AM66" s="313" cm="1">
        <f t="array" ref="AM66">IF(AM$7=-1,AN66,IF(AM$7=99,AL66,IF(AM$7=0,INDEX($E66:$I66,0,AM$5),(INDEX($E66:$I66,0,AM$7+1)-INDEX($E66:$I66,0,AM$7))/(INDEX($E$4:$I$4,0,AM$7+1)-INDEX($E$4:$I$4,0,AM$7))+AL66)))</f>
        <v>0.3984451392524973</v>
      </c>
      <c r="AN66" s="313" cm="1">
        <f t="array" ref="AN66">IF(AN$7=-1,AO66,IF(AN$7=99,AM66,IF(AN$7=0,INDEX($E66:$I66,0,AN$5),(INDEX($E66:$I66,0,AN$7+1)-INDEX($E66:$I66,0,AN$7))/(INDEX($E$4:$I$4,0,AN$7+1)-INDEX($E$4:$I$4,0,AN$7))+AM66)))</f>
        <v>0.39814719258411824</v>
      </c>
      <c r="AO66" s="313" cm="1">
        <f t="array" ref="AO66">IF(AO$7=-1,AP66,IF(AO$7=99,AN66,IF(AO$7=0,INDEX($E66:$I66,0,AO$5),(INDEX($E66:$I66,0,AO$7+1)-INDEX($E66:$I66,0,AO$7))/(INDEX($E$4:$I$4,0,AO$7+1)-INDEX($E$4:$I$4,0,AO$7))+AN66)))</f>
        <v>0.39814719258411824</v>
      </c>
      <c r="AP66" s="313" cm="1">
        <f t="array" ref="AP66">IF(AP$7=-1,AQ66,IF(AP$7=99,AO66,IF(AP$7=0,INDEX($E66:$I66,0,AP$5),(INDEX($E66:$I66,0,AP$7+1)-INDEX($E66:$I66,0,AP$7))/(INDEX($E$4:$I$4,0,AP$7+1)-INDEX($E$4:$I$4,0,AP$7))+AO66)))</f>
        <v>0.39814719258411824</v>
      </c>
    </row>
    <row r="67" spans="1:42">
      <c r="A67" s="313" t="s">
        <v>16</v>
      </c>
      <c r="C67" s="313" t="str">
        <f t="shared" si="18"/>
        <v>Space Heating</v>
      </c>
      <c r="E67" s="186">
        <f t="shared" si="19"/>
        <v>0.29899999999999999</v>
      </c>
      <c r="F67" s="186">
        <f t="shared" si="19"/>
        <v>0.29900742506043554</v>
      </c>
      <c r="G67" s="186">
        <f t="shared" si="19"/>
        <v>0.29882154263327193</v>
      </c>
      <c r="H67" s="186">
        <f t="shared" si="19"/>
        <v>0.2984782444378728</v>
      </c>
      <c r="I67" s="186">
        <f t="shared" si="19"/>
        <v>0.29814719258411826</v>
      </c>
      <c r="J67" s="313" cm="1">
        <f t="array" ref="J67">IF(J$7=-1,K67,IF(J$7=99,I67,IF(J$7=0,INDEX($E67:$I67,0,J$5),(INDEX($E67:$I67,0,J$7+1)-INDEX($E67:$I67,0,J$7))/(INDEX($E$4:$I$4,0,J$7+1)-INDEX($E$4:$I$4,0,J$7))+I67)))</f>
        <v>0.29899999999999999</v>
      </c>
      <c r="K67" s="313" cm="1">
        <f t="array" ref="K67">IF(K$7=-1,L67,IF(K$7=99,J67,IF(K$7=0,INDEX($E67:$I67,0,K$5),(INDEX($E67:$I67,0,K$7+1)-INDEX($E67:$I67,0,K$7))/(INDEX($E$4:$I$4,0,K$7+1)-INDEX($E$4:$I$4,0,K$7))+J67)))</f>
        <v>0.29900092813255441</v>
      </c>
      <c r="L67" s="313" cm="1">
        <f t="array" ref="L67">IF(L$7=-1,M67,IF(L$7=99,K67,IF(L$7=0,INDEX($E67:$I67,0,L$5),(INDEX($E67:$I67,0,L$7+1)-INDEX($E67:$I67,0,L$7))/(INDEX($E$4:$I$4,0,L$7+1)-INDEX($E$4:$I$4,0,L$7))+K67)))</f>
        <v>0.29900185626510883</v>
      </c>
      <c r="M67" s="313" cm="1">
        <f t="array" ref="M67">IF(M$7=-1,N67,IF(M$7=99,L67,IF(M$7=0,INDEX($E67:$I67,0,M$5),(INDEX($E67:$I67,0,M$7+1)-INDEX($E67:$I67,0,M$7))/(INDEX($E$4:$I$4,0,M$7+1)-INDEX($E$4:$I$4,0,M$7))+L67)))</f>
        <v>0.29900278439766326</v>
      </c>
      <c r="N67" s="313" cm="1">
        <f t="array" ref="N67">IF(N$7=-1,O67,IF(N$7=99,M67,IF(N$7=0,INDEX($E67:$I67,0,N$5),(INDEX($E67:$I67,0,N$7+1)-INDEX($E67:$I67,0,N$7))/(INDEX($E$4:$I$4,0,N$7+1)-INDEX($E$4:$I$4,0,N$7))+M67)))</f>
        <v>0.29900371253021768</v>
      </c>
      <c r="O67" s="313" cm="1">
        <f t="array" ref="O67">IF(O$7=-1,P67,IF(O$7=99,N67,IF(O$7=0,INDEX($E67:$I67,0,O$5),(INDEX($E67:$I67,0,O$7+1)-INDEX($E67:$I67,0,O$7))/(INDEX($E$4:$I$4,0,O$7+1)-INDEX($E$4:$I$4,0,O$7))+N67)))</f>
        <v>0.2990046406627721</v>
      </c>
      <c r="P67" s="313" cm="1">
        <f t="array" ref="P67">IF(P$7=-1,Q67,IF(P$7=99,O67,IF(P$7=0,INDEX($E67:$I67,0,P$5),(INDEX($E67:$I67,0,P$7+1)-INDEX($E67:$I67,0,P$7))/(INDEX($E$4:$I$4,0,P$7+1)-INDEX($E$4:$I$4,0,P$7))+O67)))</f>
        <v>0.29900556879532653</v>
      </c>
      <c r="Q67" s="313" cm="1">
        <f t="array" ref="Q67">IF(Q$7=-1,R67,IF(Q$7=99,P67,IF(Q$7=0,INDEX($E67:$I67,0,Q$5),(INDEX($E67:$I67,0,Q$7+1)-INDEX($E67:$I67,0,Q$7))/(INDEX($E$4:$I$4,0,Q$7+1)-INDEX($E$4:$I$4,0,Q$7))+P67)))</f>
        <v>0.29900649692788095</v>
      </c>
      <c r="R67" s="313" cm="1">
        <f t="array" ref="R67">IF(R$7=-1,S67,IF(R$7=99,Q67,IF(R$7=0,INDEX($E67:$I67,0,R$5),(INDEX($E67:$I67,0,R$7+1)-INDEX($E67:$I67,0,R$7))/(INDEX($E$4:$I$4,0,R$7+1)-INDEX($E$4:$I$4,0,R$7))+Q67)))</f>
        <v>0.29900742506043554</v>
      </c>
      <c r="S67" s="313" cm="1">
        <f t="array" ref="S67">IF(S$7=-1,T67,IF(S$7=99,R67,IF(S$7=0,INDEX($E67:$I67,0,S$5),(INDEX($E67:$I67,0,S$7+1)-INDEX($E67:$I67,0,S$7))/(INDEX($E$4:$I$4,0,S$7+1)-INDEX($E$4:$I$4,0,S$7))+R67)))</f>
        <v>0.29898883681771915</v>
      </c>
      <c r="T67" s="313" cm="1">
        <f t="array" ref="T67">IF(T$7=-1,U67,IF(T$7=99,S67,IF(T$7=0,INDEX($E67:$I67,0,T$5),(INDEX($E67:$I67,0,T$7+1)-INDEX($E67:$I67,0,T$7))/(INDEX($E$4:$I$4,0,T$7+1)-INDEX($E$4:$I$4,0,T$7))+S67)))</f>
        <v>0.29897024857500276</v>
      </c>
      <c r="U67" s="313" cm="1">
        <f t="array" ref="U67">IF(U$7=-1,V67,IF(U$7=99,T67,IF(U$7=0,INDEX($E67:$I67,0,U$5),(INDEX($E67:$I67,0,U$7+1)-INDEX($E67:$I67,0,U$7))/(INDEX($E$4:$I$4,0,U$7+1)-INDEX($E$4:$I$4,0,U$7))+T67)))</f>
        <v>0.29895166033228637</v>
      </c>
      <c r="V67" s="313" cm="1">
        <f t="array" ref="V67">IF(V$7=-1,W67,IF(V$7=99,U67,IF(V$7=0,INDEX($E67:$I67,0,V$5),(INDEX($E67:$I67,0,V$7+1)-INDEX($E67:$I67,0,V$7))/(INDEX($E$4:$I$4,0,V$7+1)-INDEX($E$4:$I$4,0,V$7))+U67)))</f>
        <v>0.29893307208956998</v>
      </c>
      <c r="W67" s="313" cm="1">
        <f t="array" ref="W67">IF(W$7=-1,X67,IF(W$7=99,V67,IF(W$7=0,INDEX($E67:$I67,0,W$5),(INDEX($E67:$I67,0,W$7+1)-INDEX($E67:$I67,0,W$7))/(INDEX($E$4:$I$4,0,W$7+1)-INDEX($E$4:$I$4,0,W$7))+V67)))</f>
        <v>0.2989144838468536</v>
      </c>
      <c r="X67" s="313" cm="1">
        <f t="array" ref="X67">IF(X$7=-1,Y67,IF(X$7=99,W67,IF(X$7=0,INDEX($E67:$I67,0,X$5),(INDEX($E67:$I67,0,X$7+1)-INDEX($E67:$I67,0,X$7))/(INDEX($E$4:$I$4,0,X$7+1)-INDEX($E$4:$I$4,0,X$7))+W67)))</f>
        <v>0.29889589560413721</v>
      </c>
      <c r="Y67" s="313" cm="1">
        <f t="array" ref="Y67">IF(Y$7=-1,Z67,IF(Y$7=99,X67,IF(Y$7=0,INDEX($E67:$I67,0,Y$5),(INDEX($E67:$I67,0,Y$7+1)-INDEX($E67:$I67,0,Y$7))/(INDEX($E$4:$I$4,0,Y$7+1)-INDEX($E$4:$I$4,0,Y$7))+X67)))</f>
        <v>0.29887730736142082</v>
      </c>
      <c r="Z67" s="313" cm="1">
        <f t="array" ref="Z67">IF(Z$7=-1,AA67,IF(Z$7=99,Y67,IF(Z$7=0,INDEX($E67:$I67,0,Z$5),(INDEX($E67:$I67,0,Z$7+1)-INDEX($E67:$I67,0,Z$7))/(INDEX($E$4:$I$4,0,Z$7+1)-INDEX($E$4:$I$4,0,Z$7))+Y67)))</f>
        <v>0.29885871911870443</v>
      </c>
      <c r="AA67" s="313" cm="1">
        <f t="array" ref="AA67">IF(AA$7=-1,AB67,IF(AA$7=99,Z67,IF(AA$7=0,INDEX($E67:$I67,0,AA$5),(INDEX($E67:$I67,0,AA$7+1)-INDEX($E67:$I67,0,AA$7))/(INDEX($E$4:$I$4,0,AA$7+1)-INDEX($E$4:$I$4,0,AA$7))+Z67)))</f>
        <v>0.29884013087598804</v>
      </c>
      <c r="AB67" s="313" cm="1">
        <f t="array" ref="AB67">IF(AB$7=-1,AC67,IF(AB$7=99,AA67,IF(AB$7=0,INDEX($E67:$I67,0,AB$5),(INDEX($E67:$I67,0,AB$7+1)-INDEX($E67:$I67,0,AB$7))/(INDEX($E$4:$I$4,0,AB$7+1)-INDEX($E$4:$I$4,0,AB$7))+AA67)))</f>
        <v>0.29882154263327193</v>
      </c>
      <c r="AC67" s="313" cm="1">
        <f t="array" ref="AC67">IF(AC$7=-1,AD67,IF(AC$7=99,AB67,IF(AC$7=0,INDEX($E67:$I67,0,AC$5),(INDEX($E67:$I67,0,AC$7+1)-INDEX($E67:$I67,0,AC$7))/(INDEX($E$4:$I$4,0,AC$7+1)-INDEX($E$4:$I$4,0,AC$7))+AB67)))</f>
        <v>0.29878721281373199</v>
      </c>
      <c r="AD67" s="313" cm="1">
        <f t="array" ref="AD67">IF(AD$7=-1,AE67,IF(AD$7=99,AC67,IF(AD$7=0,INDEX($E67:$I67,0,AD$5),(INDEX($E67:$I67,0,AD$7+1)-INDEX($E67:$I67,0,AD$7))/(INDEX($E$4:$I$4,0,AD$7+1)-INDEX($E$4:$I$4,0,AD$7))+AC67)))</f>
        <v>0.29875288299419206</v>
      </c>
      <c r="AE67" s="313" cm="1">
        <f t="array" ref="AE67">IF(AE$7=-1,AF67,IF(AE$7=99,AD67,IF(AE$7=0,INDEX($E67:$I67,0,AE$5),(INDEX($E67:$I67,0,AE$7+1)-INDEX($E67:$I67,0,AE$7))/(INDEX($E$4:$I$4,0,AE$7+1)-INDEX($E$4:$I$4,0,AE$7))+AD67)))</f>
        <v>0.29871855317465212</v>
      </c>
      <c r="AF67" s="313" cm="1">
        <f t="array" ref="AF67">IF(AF$7=-1,AG67,IF(AF$7=99,AE67,IF(AF$7=0,INDEX($E67:$I67,0,AF$5),(INDEX($E67:$I67,0,AF$7+1)-INDEX($E67:$I67,0,AF$7))/(INDEX($E$4:$I$4,0,AF$7+1)-INDEX($E$4:$I$4,0,AF$7))+AE67)))</f>
        <v>0.29868422335511219</v>
      </c>
      <c r="AG67" s="313" cm="1">
        <f t="array" ref="AG67">IF(AG$7=-1,AH67,IF(AG$7=99,AF67,IF(AG$7=0,INDEX($E67:$I67,0,AG$5),(INDEX($E67:$I67,0,AG$7+1)-INDEX($E67:$I67,0,AG$7))/(INDEX($E$4:$I$4,0,AG$7+1)-INDEX($E$4:$I$4,0,AG$7))+AF67)))</f>
        <v>0.29864989353557225</v>
      </c>
      <c r="AH67" s="313" cm="1">
        <f t="array" ref="AH67">IF(AH$7=-1,AI67,IF(AH$7=99,AG67,IF(AH$7=0,INDEX($E67:$I67,0,AH$5),(INDEX($E67:$I67,0,AH$7+1)-INDEX($E67:$I67,0,AH$7))/(INDEX($E$4:$I$4,0,AH$7+1)-INDEX($E$4:$I$4,0,AH$7))+AG67)))</f>
        <v>0.29861556371603232</v>
      </c>
      <c r="AI67" s="313" cm="1">
        <f t="array" ref="AI67">IF(AI$7=-1,AJ67,IF(AI$7=99,AH67,IF(AI$7=0,INDEX($E67:$I67,0,AI$5),(INDEX($E67:$I67,0,AI$7+1)-INDEX($E67:$I67,0,AI$7))/(INDEX($E$4:$I$4,0,AI$7+1)-INDEX($E$4:$I$4,0,AI$7))+AH67)))</f>
        <v>0.29858123389649238</v>
      </c>
      <c r="AJ67" s="313" cm="1">
        <f t="array" ref="AJ67">IF(AJ$7=-1,AK67,IF(AJ$7=99,AI67,IF(AJ$7=0,INDEX($E67:$I67,0,AJ$5),(INDEX($E67:$I67,0,AJ$7+1)-INDEX($E67:$I67,0,AJ$7))/(INDEX($E$4:$I$4,0,AJ$7+1)-INDEX($E$4:$I$4,0,AJ$7))+AI67)))</f>
        <v>0.29854690407695245</v>
      </c>
      <c r="AK67" s="313" cm="1">
        <f t="array" ref="AK67">IF(AK$7=-1,AL67,IF(AK$7=99,AJ67,IF(AK$7=0,INDEX($E67:$I67,0,AK$5),(INDEX($E67:$I67,0,AK$7+1)-INDEX($E67:$I67,0,AK$7))/(INDEX($E$4:$I$4,0,AK$7+1)-INDEX($E$4:$I$4,0,AK$7))+AJ67)))</f>
        <v>0.29851257425741251</v>
      </c>
      <c r="AL67" s="313" cm="1">
        <f t="array" ref="AL67">IF(AL$7=-1,AM67,IF(AL$7=99,AK67,IF(AL$7=0,INDEX($E67:$I67,0,AL$5),(INDEX($E67:$I67,0,AL$7+1)-INDEX($E67:$I67,0,AL$7))/(INDEX($E$4:$I$4,0,AL$7+1)-INDEX($E$4:$I$4,0,AL$7))+AK67)))</f>
        <v>0.2984782444378728</v>
      </c>
      <c r="AM67" s="313" cm="1">
        <f t="array" ref="AM67">IF(AM$7=-1,AN67,IF(AM$7=99,AL67,IF(AM$7=0,INDEX($E67:$I67,0,AM$5),(INDEX($E67:$I67,0,AM$7+1)-INDEX($E67:$I67,0,AM$7))/(INDEX($E$4:$I$4,0,AM$7+1)-INDEX($E$4:$I$4,0,AM$7))+AL67)))</f>
        <v>0.29844513925249733</v>
      </c>
      <c r="AN67" s="313" cm="1">
        <f t="array" ref="AN67">IF(AN$7=-1,AO67,IF(AN$7=99,AM67,IF(AN$7=0,INDEX($E67:$I67,0,AN$5),(INDEX($E67:$I67,0,AN$7+1)-INDEX($E67:$I67,0,AN$7))/(INDEX($E$4:$I$4,0,AN$7+1)-INDEX($E$4:$I$4,0,AN$7))+AM67)))</f>
        <v>0.29814719258411826</v>
      </c>
      <c r="AO67" s="313" cm="1">
        <f t="array" ref="AO67">IF(AO$7=-1,AP67,IF(AO$7=99,AN67,IF(AO$7=0,INDEX($E67:$I67,0,AO$5),(INDEX($E67:$I67,0,AO$7+1)-INDEX($E67:$I67,0,AO$7))/(INDEX($E$4:$I$4,0,AO$7+1)-INDEX($E$4:$I$4,0,AO$7))+AN67)))</f>
        <v>0.29814719258411826</v>
      </c>
      <c r="AP67" s="313" cm="1">
        <f t="array" ref="AP67">IF(AP$7=-1,AQ67,IF(AP$7=99,AO67,IF(AP$7=0,INDEX($E67:$I67,0,AP$5),(INDEX($E67:$I67,0,AP$7+1)-INDEX($E67:$I67,0,AP$7))/(INDEX($E$4:$I$4,0,AP$7+1)-INDEX($E$4:$I$4,0,AP$7))+AO67)))</f>
        <v>0.29814719258411826</v>
      </c>
    </row>
    <row r="68" spans="1:42">
      <c r="A68" s="313" t="s">
        <v>16</v>
      </c>
      <c r="C68" s="313" t="str">
        <f t="shared" si="18"/>
        <v>Water Heating Geyser</v>
      </c>
      <c r="E68" s="186">
        <f t="shared" si="19"/>
        <v>0.69799999999999995</v>
      </c>
      <c r="F68" s="186">
        <f t="shared" si="19"/>
        <v>0.69801485012087106</v>
      </c>
      <c r="G68" s="186">
        <f t="shared" si="19"/>
        <v>0.69764308526654384</v>
      </c>
      <c r="H68" s="186">
        <f t="shared" si="19"/>
        <v>0.69695648887574557</v>
      </c>
      <c r="I68" s="186">
        <f t="shared" si="19"/>
        <v>0.6962943851682365</v>
      </c>
      <c r="J68" s="313" cm="1">
        <f t="array" ref="J68">IF(J$7=-1,K68,IF(J$7=99,I68,IF(J$7=0,INDEX($E68:$I68,0,J$5),(INDEX($E68:$I68,0,J$7+1)-INDEX($E68:$I68,0,J$7))/(INDEX($E$4:$I$4,0,J$7+1)-INDEX($E$4:$I$4,0,J$7))+I68)))</f>
        <v>0.69799999999999995</v>
      </c>
      <c r="K68" s="313" cm="1">
        <f t="array" ref="K68">IF(K$7=-1,L68,IF(K$7=99,J68,IF(K$7=0,INDEX($E68:$I68,0,K$5),(INDEX($E68:$I68,0,K$7+1)-INDEX($E68:$I68,0,K$7))/(INDEX($E$4:$I$4,0,K$7+1)-INDEX($E$4:$I$4,0,K$7))+J68)))</f>
        <v>0.6980018562651088</v>
      </c>
      <c r="L68" s="313" cm="1">
        <f t="array" ref="L68">IF(L$7=-1,M68,IF(L$7=99,K68,IF(L$7=0,INDEX($E68:$I68,0,L$5),(INDEX($E68:$I68,0,L$7+1)-INDEX($E68:$I68,0,L$7))/(INDEX($E$4:$I$4,0,L$7+1)-INDEX($E$4:$I$4,0,L$7))+K68)))</f>
        <v>0.69800371253021765</v>
      </c>
      <c r="M68" s="313" cm="1">
        <f t="array" ref="M68">IF(M$7=-1,N68,IF(M$7=99,L68,IF(M$7=0,INDEX($E68:$I68,0,M$5),(INDEX($E68:$I68,0,M$7+1)-INDEX($E68:$I68,0,M$7))/(INDEX($E$4:$I$4,0,M$7+1)-INDEX($E$4:$I$4,0,M$7))+L68)))</f>
        <v>0.69800556879532649</v>
      </c>
      <c r="N68" s="313" cm="1">
        <f t="array" ref="N68">IF(N$7=-1,O68,IF(N$7=99,M68,IF(N$7=0,INDEX($E68:$I68,0,N$5),(INDEX($E68:$I68,0,N$7+1)-INDEX($E68:$I68,0,N$7))/(INDEX($E$4:$I$4,0,N$7+1)-INDEX($E$4:$I$4,0,N$7))+M68)))</f>
        <v>0.69800742506043534</v>
      </c>
      <c r="O68" s="313" cm="1">
        <f t="array" ref="O68">IF(O$7=-1,P68,IF(O$7=99,N68,IF(O$7=0,INDEX($E68:$I68,0,O$5),(INDEX($E68:$I68,0,O$7+1)-INDEX($E68:$I68,0,O$7))/(INDEX($E$4:$I$4,0,O$7+1)-INDEX($E$4:$I$4,0,O$7))+N68)))</f>
        <v>0.69800928132554418</v>
      </c>
      <c r="P68" s="313" cm="1">
        <f t="array" ref="P68">IF(P$7=-1,Q68,IF(P$7=99,O68,IF(P$7=0,INDEX($E68:$I68,0,P$5),(INDEX($E68:$I68,0,P$7+1)-INDEX($E68:$I68,0,P$7))/(INDEX($E$4:$I$4,0,P$7+1)-INDEX($E$4:$I$4,0,P$7))+O68)))</f>
        <v>0.69801113759065303</v>
      </c>
      <c r="Q68" s="313" cm="1">
        <f t="array" ref="Q68">IF(Q$7=-1,R68,IF(Q$7=99,P68,IF(Q$7=0,INDEX($E68:$I68,0,Q$5),(INDEX($E68:$I68,0,Q$7+1)-INDEX($E68:$I68,0,Q$7))/(INDEX($E$4:$I$4,0,Q$7+1)-INDEX($E$4:$I$4,0,Q$7))+P68)))</f>
        <v>0.69801299385576188</v>
      </c>
      <c r="R68" s="313" cm="1">
        <f t="array" ref="R68">IF(R$7=-1,S68,IF(R$7=99,Q68,IF(R$7=0,INDEX($E68:$I68,0,R$5),(INDEX($E68:$I68,0,R$7+1)-INDEX($E68:$I68,0,R$7))/(INDEX($E$4:$I$4,0,R$7+1)-INDEX($E$4:$I$4,0,R$7))+Q68)))</f>
        <v>0.69801485012087106</v>
      </c>
      <c r="S68" s="313" cm="1">
        <f t="array" ref="S68">IF(S$7=-1,T68,IF(S$7=99,R68,IF(S$7=0,INDEX($E68:$I68,0,S$5),(INDEX($E68:$I68,0,S$7+1)-INDEX($E68:$I68,0,S$7))/(INDEX($E$4:$I$4,0,S$7+1)-INDEX($E$4:$I$4,0,S$7))+R68)))</f>
        <v>0.69797767363543839</v>
      </c>
      <c r="T68" s="313" cm="1">
        <f t="array" ref="T68">IF(T$7=-1,U68,IF(T$7=99,S68,IF(T$7=0,INDEX($E68:$I68,0,T$5),(INDEX($E68:$I68,0,T$7+1)-INDEX($E68:$I68,0,T$7))/(INDEX($E$4:$I$4,0,T$7+1)-INDEX($E$4:$I$4,0,T$7))+S68)))</f>
        <v>0.69794049715000561</v>
      </c>
      <c r="U68" s="313" cm="1">
        <f t="array" ref="U68">IF(U$7=-1,V68,IF(U$7=99,T68,IF(U$7=0,INDEX($E68:$I68,0,U$5),(INDEX($E68:$I68,0,U$7+1)-INDEX($E68:$I68,0,U$7))/(INDEX($E$4:$I$4,0,U$7+1)-INDEX($E$4:$I$4,0,U$7))+T68)))</f>
        <v>0.69790332066457283</v>
      </c>
      <c r="V68" s="313" cm="1">
        <f t="array" ref="V68">IF(V$7=-1,W68,IF(V$7=99,U68,IF(V$7=0,INDEX($E68:$I68,0,V$5),(INDEX($E68:$I68,0,V$7+1)-INDEX($E68:$I68,0,V$7))/(INDEX($E$4:$I$4,0,V$7+1)-INDEX($E$4:$I$4,0,V$7))+U68)))</f>
        <v>0.69786614417914006</v>
      </c>
      <c r="W68" s="313" cm="1">
        <f t="array" ref="W68">IF(W$7=-1,X68,IF(W$7=99,V68,IF(W$7=0,INDEX($E68:$I68,0,W$5),(INDEX($E68:$I68,0,W$7+1)-INDEX($E68:$I68,0,W$7))/(INDEX($E$4:$I$4,0,W$7+1)-INDEX($E$4:$I$4,0,W$7))+V68)))</f>
        <v>0.69782896769370728</v>
      </c>
      <c r="X68" s="313" cm="1">
        <f t="array" ref="X68">IF(X$7=-1,Y68,IF(X$7=99,W68,IF(X$7=0,INDEX($E68:$I68,0,X$5),(INDEX($E68:$I68,0,X$7+1)-INDEX($E68:$I68,0,X$7))/(INDEX($E$4:$I$4,0,X$7+1)-INDEX($E$4:$I$4,0,X$7))+W68)))</f>
        <v>0.6977917912082745</v>
      </c>
      <c r="Y68" s="313" cm="1">
        <f t="array" ref="Y68">IF(Y$7=-1,Z68,IF(Y$7=99,X68,IF(Y$7=0,INDEX($E68:$I68,0,Y$5),(INDEX($E68:$I68,0,Y$7+1)-INDEX($E68:$I68,0,Y$7))/(INDEX($E$4:$I$4,0,Y$7+1)-INDEX($E$4:$I$4,0,Y$7))+X68)))</f>
        <v>0.69775461472284173</v>
      </c>
      <c r="Z68" s="313" cm="1">
        <f t="array" ref="Z68">IF(Z$7=-1,AA68,IF(Z$7=99,Y68,IF(Z$7=0,INDEX($E68:$I68,0,Z$5),(INDEX($E68:$I68,0,Z$7+1)-INDEX($E68:$I68,0,Z$7))/(INDEX($E$4:$I$4,0,Z$7+1)-INDEX($E$4:$I$4,0,Z$7))+Y68)))</f>
        <v>0.69771743823740895</v>
      </c>
      <c r="AA68" s="313" cm="1">
        <f t="array" ref="AA68">IF(AA$7=-1,AB68,IF(AA$7=99,Z68,IF(AA$7=0,INDEX($E68:$I68,0,AA$5),(INDEX($E68:$I68,0,AA$7+1)-INDEX($E68:$I68,0,AA$7))/(INDEX($E$4:$I$4,0,AA$7+1)-INDEX($E$4:$I$4,0,AA$7))+Z68)))</f>
        <v>0.69768026175197617</v>
      </c>
      <c r="AB68" s="313" cm="1">
        <f t="array" ref="AB68">IF(AB$7=-1,AC68,IF(AB$7=99,AA68,IF(AB$7=0,INDEX($E68:$I68,0,AB$5),(INDEX($E68:$I68,0,AB$7+1)-INDEX($E68:$I68,0,AB$7))/(INDEX($E$4:$I$4,0,AB$7+1)-INDEX($E$4:$I$4,0,AB$7))+AA68)))</f>
        <v>0.69764308526654384</v>
      </c>
      <c r="AC68" s="313" cm="1">
        <f t="array" ref="AC68">IF(AC$7=-1,AD68,IF(AC$7=99,AB68,IF(AC$7=0,INDEX($E68:$I68,0,AC$5),(INDEX($E68:$I68,0,AC$7+1)-INDEX($E68:$I68,0,AC$7))/(INDEX($E$4:$I$4,0,AC$7+1)-INDEX($E$4:$I$4,0,AC$7))+AB68)))</f>
        <v>0.69757442562746397</v>
      </c>
      <c r="AD68" s="313" cm="1">
        <f t="array" ref="AD68">IF(AD$7=-1,AE68,IF(AD$7=99,AC68,IF(AD$7=0,INDEX($E68:$I68,0,AD$5),(INDEX($E68:$I68,0,AD$7+1)-INDEX($E68:$I68,0,AD$7))/(INDEX($E$4:$I$4,0,AD$7+1)-INDEX($E$4:$I$4,0,AD$7))+AC68)))</f>
        <v>0.6975057659883841</v>
      </c>
      <c r="AE68" s="313" cm="1">
        <f t="array" ref="AE68">IF(AE$7=-1,AF68,IF(AE$7=99,AD68,IF(AE$7=0,INDEX($E68:$I68,0,AE$5),(INDEX($E68:$I68,0,AE$7+1)-INDEX($E68:$I68,0,AE$7))/(INDEX($E$4:$I$4,0,AE$7+1)-INDEX($E$4:$I$4,0,AE$7))+AD68)))</f>
        <v>0.69743710634930423</v>
      </c>
      <c r="AF68" s="313" cm="1">
        <f t="array" ref="AF68">IF(AF$7=-1,AG68,IF(AF$7=99,AE68,IF(AF$7=0,INDEX($E68:$I68,0,AF$5),(INDEX($E68:$I68,0,AF$7+1)-INDEX($E68:$I68,0,AF$7))/(INDEX($E$4:$I$4,0,AF$7+1)-INDEX($E$4:$I$4,0,AF$7))+AE68)))</f>
        <v>0.69736844671022435</v>
      </c>
      <c r="AG68" s="313" cm="1">
        <f t="array" ref="AG68">IF(AG$7=-1,AH68,IF(AG$7=99,AF68,IF(AG$7=0,INDEX($E68:$I68,0,AG$5),(INDEX($E68:$I68,0,AG$7+1)-INDEX($E68:$I68,0,AG$7))/(INDEX($E$4:$I$4,0,AG$7+1)-INDEX($E$4:$I$4,0,AG$7))+AF68)))</f>
        <v>0.69729978707114448</v>
      </c>
      <c r="AH68" s="313" cm="1">
        <f t="array" ref="AH68">IF(AH$7=-1,AI68,IF(AH$7=99,AG68,IF(AH$7=0,INDEX($E68:$I68,0,AH$5),(INDEX($E68:$I68,0,AH$7+1)-INDEX($E68:$I68,0,AH$7))/(INDEX($E$4:$I$4,0,AH$7+1)-INDEX($E$4:$I$4,0,AH$7))+AG68)))</f>
        <v>0.69723112743206461</v>
      </c>
      <c r="AI68" s="313" cm="1">
        <f t="array" ref="AI68">IF(AI$7=-1,AJ68,IF(AI$7=99,AH68,IF(AI$7=0,INDEX($E68:$I68,0,AI$5),(INDEX($E68:$I68,0,AI$7+1)-INDEX($E68:$I68,0,AI$7))/(INDEX($E$4:$I$4,0,AI$7+1)-INDEX($E$4:$I$4,0,AI$7))+AH68)))</f>
        <v>0.69716246779298474</v>
      </c>
      <c r="AJ68" s="313" cm="1">
        <f t="array" ref="AJ68">IF(AJ$7=-1,AK68,IF(AJ$7=99,AI68,IF(AJ$7=0,INDEX($E68:$I68,0,AJ$5),(INDEX($E68:$I68,0,AJ$7+1)-INDEX($E68:$I68,0,AJ$7))/(INDEX($E$4:$I$4,0,AJ$7+1)-INDEX($E$4:$I$4,0,AJ$7))+AI68)))</f>
        <v>0.69709380815390487</v>
      </c>
      <c r="AK68" s="313" cm="1">
        <f t="array" ref="AK68">IF(AK$7=-1,AL68,IF(AK$7=99,AJ68,IF(AK$7=0,INDEX($E68:$I68,0,AK$5),(INDEX($E68:$I68,0,AK$7+1)-INDEX($E68:$I68,0,AK$7))/(INDEX($E$4:$I$4,0,AK$7+1)-INDEX($E$4:$I$4,0,AK$7))+AJ68)))</f>
        <v>0.697025148514825</v>
      </c>
      <c r="AL68" s="313" cm="1">
        <f t="array" ref="AL68">IF(AL$7=-1,AM68,IF(AL$7=99,AK68,IF(AL$7=0,INDEX($E68:$I68,0,AL$5),(INDEX($E68:$I68,0,AL$7+1)-INDEX($E68:$I68,0,AL$7))/(INDEX($E$4:$I$4,0,AL$7+1)-INDEX($E$4:$I$4,0,AL$7))+AK68)))</f>
        <v>0.69695648887574557</v>
      </c>
      <c r="AM68" s="313" cm="1">
        <f t="array" ref="AM68">IF(AM$7=-1,AN68,IF(AM$7=99,AL68,IF(AM$7=0,INDEX($E68:$I68,0,AM$5),(INDEX($E68:$I68,0,AM$7+1)-INDEX($E68:$I68,0,AM$7))/(INDEX($E$4:$I$4,0,AM$7+1)-INDEX($E$4:$I$4,0,AM$7))+AL68)))</f>
        <v>0.69689027850499463</v>
      </c>
      <c r="AN68" s="313" cm="1">
        <f t="array" ref="AN68">IF(AN$7=-1,AO68,IF(AN$7=99,AM68,IF(AN$7=0,INDEX($E68:$I68,0,AN$5),(INDEX($E68:$I68,0,AN$7+1)-INDEX($E68:$I68,0,AN$7))/(INDEX($E$4:$I$4,0,AN$7+1)-INDEX($E$4:$I$4,0,AN$7))+AM68)))</f>
        <v>0.6962943851682365</v>
      </c>
      <c r="AO68" s="313" cm="1">
        <f t="array" ref="AO68">IF(AO$7=-1,AP68,IF(AO$7=99,AN68,IF(AO$7=0,INDEX($E68:$I68,0,AO$5),(INDEX($E68:$I68,0,AO$7+1)-INDEX($E68:$I68,0,AO$7))/(INDEX($E$4:$I$4,0,AO$7+1)-INDEX($E$4:$I$4,0,AO$7))+AN68)))</f>
        <v>0.6962943851682365</v>
      </c>
      <c r="AP68" s="313" cm="1">
        <f t="array" ref="AP68">IF(AP$7=-1,AQ68,IF(AP$7=99,AO68,IF(AP$7=0,INDEX($E68:$I68,0,AP$5),(INDEX($E68:$I68,0,AP$7+1)-INDEX($E68:$I68,0,AP$7))/(INDEX($E$4:$I$4,0,AP$7+1)-INDEX($E$4:$I$4,0,AP$7))+AO68)))</f>
        <v>0.6962943851682365</v>
      </c>
    </row>
    <row r="69" spans="1:42">
      <c r="A69" s="313" t="s">
        <v>16</v>
      </c>
      <c r="C69" s="313" t="str">
        <f t="shared" si="18"/>
        <v>Water Heating</v>
      </c>
      <c r="E69" s="186">
        <f t="shared" si="19"/>
        <v>0</v>
      </c>
      <c r="F69" s="186">
        <f t="shared" si="19"/>
        <v>0</v>
      </c>
      <c r="G69" s="186">
        <f t="shared" si="19"/>
        <v>0</v>
      </c>
      <c r="H69" s="186">
        <f t="shared" si="19"/>
        <v>0</v>
      </c>
      <c r="I69" s="186">
        <f t="shared" si="19"/>
        <v>0</v>
      </c>
      <c r="J69" s="313" cm="1">
        <f t="array" ref="J69">IF(J$7=-1,K69,IF(J$7=99,I69,IF(J$7=0,INDEX($E69:$I69,0,J$5),(INDEX($E69:$I69,0,J$7+1)-INDEX($E69:$I69,0,J$7))/(INDEX($E$4:$I$4,0,J$7+1)-INDEX($E$4:$I$4,0,J$7))+I69)))</f>
        <v>0</v>
      </c>
      <c r="K69" s="313" cm="1">
        <f t="array" ref="K69">IF(K$7=-1,L69,IF(K$7=99,J69,IF(K$7=0,INDEX($E69:$I69,0,K$5),(INDEX($E69:$I69,0,K$7+1)-INDEX($E69:$I69,0,K$7))/(INDEX($E$4:$I$4,0,K$7+1)-INDEX($E$4:$I$4,0,K$7))+J69)))</f>
        <v>0</v>
      </c>
      <c r="L69" s="313" cm="1">
        <f t="array" ref="L69">IF(L$7=-1,M69,IF(L$7=99,K69,IF(L$7=0,INDEX($E69:$I69,0,L$5),(INDEX($E69:$I69,0,L$7+1)-INDEX($E69:$I69,0,L$7))/(INDEX($E$4:$I$4,0,L$7+1)-INDEX($E$4:$I$4,0,L$7))+K69)))</f>
        <v>0</v>
      </c>
      <c r="M69" s="313" cm="1">
        <f t="array" ref="M69">IF(M$7=-1,N69,IF(M$7=99,L69,IF(M$7=0,INDEX($E69:$I69,0,M$5),(INDEX($E69:$I69,0,M$7+1)-INDEX($E69:$I69,0,M$7))/(INDEX($E$4:$I$4,0,M$7+1)-INDEX($E$4:$I$4,0,M$7))+L69)))</f>
        <v>0</v>
      </c>
      <c r="N69" s="313" cm="1">
        <f t="array" ref="N69">IF(N$7=-1,O69,IF(N$7=99,M69,IF(N$7=0,INDEX($E69:$I69,0,N$5),(INDEX($E69:$I69,0,N$7+1)-INDEX($E69:$I69,0,N$7))/(INDEX($E$4:$I$4,0,N$7+1)-INDEX($E$4:$I$4,0,N$7))+M69)))</f>
        <v>0</v>
      </c>
      <c r="O69" s="313" cm="1">
        <f t="array" ref="O69">IF(O$7=-1,P69,IF(O$7=99,N69,IF(O$7=0,INDEX($E69:$I69,0,O$5),(INDEX($E69:$I69,0,O$7+1)-INDEX($E69:$I69,0,O$7))/(INDEX($E$4:$I$4,0,O$7+1)-INDEX($E$4:$I$4,0,O$7))+N69)))</f>
        <v>0</v>
      </c>
      <c r="P69" s="313" cm="1">
        <f t="array" ref="P69">IF(P$7=-1,Q69,IF(P$7=99,O69,IF(P$7=0,INDEX($E69:$I69,0,P$5),(INDEX($E69:$I69,0,P$7+1)-INDEX($E69:$I69,0,P$7))/(INDEX($E$4:$I$4,0,P$7+1)-INDEX($E$4:$I$4,0,P$7))+O69)))</f>
        <v>0</v>
      </c>
      <c r="Q69" s="313" cm="1">
        <f t="array" ref="Q69">IF(Q$7=-1,R69,IF(Q$7=99,P69,IF(Q$7=0,INDEX($E69:$I69,0,Q$5),(INDEX($E69:$I69,0,Q$7+1)-INDEX($E69:$I69,0,Q$7))/(INDEX($E$4:$I$4,0,Q$7+1)-INDEX($E$4:$I$4,0,Q$7))+P69)))</f>
        <v>0</v>
      </c>
      <c r="R69" s="313" cm="1">
        <f t="array" ref="R69">IF(R$7=-1,S69,IF(R$7=99,Q69,IF(R$7=0,INDEX($E69:$I69,0,R$5),(INDEX($E69:$I69,0,R$7+1)-INDEX($E69:$I69,0,R$7))/(INDEX($E$4:$I$4,0,R$7+1)-INDEX($E$4:$I$4,0,R$7))+Q69)))</f>
        <v>0</v>
      </c>
      <c r="S69" s="313" cm="1">
        <f t="array" ref="S69">IF(S$7=-1,T69,IF(S$7=99,R69,IF(S$7=0,INDEX($E69:$I69,0,S$5),(INDEX($E69:$I69,0,S$7+1)-INDEX($E69:$I69,0,S$7))/(INDEX($E$4:$I$4,0,S$7+1)-INDEX($E$4:$I$4,0,S$7))+R69)))</f>
        <v>0</v>
      </c>
      <c r="T69" s="313" cm="1">
        <f t="array" ref="T69">IF(T$7=-1,U69,IF(T$7=99,S69,IF(T$7=0,INDEX($E69:$I69,0,T$5),(INDEX($E69:$I69,0,T$7+1)-INDEX($E69:$I69,0,T$7))/(INDEX($E$4:$I$4,0,T$7+1)-INDEX($E$4:$I$4,0,T$7))+S69)))</f>
        <v>0</v>
      </c>
      <c r="U69" s="313" cm="1">
        <f t="array" ref="U69">IF(U$7=-1,V69,IF(U$7=99,T69,IF(U$7=0,INDEX($E69:$I69,0,U$5),(INDEX($E69:$I69,0,U$7+1)-INDEX($E69:$I69,0,U$7))/(INDEX($E$4:$I$4,0,U$7+1)-INDEX($E$4:$I$4,0,U$7))+T69)))</f>
        <v>0</v>
      </c>
      <c r="V69" s="313" cm="1">
        <f t="array" ref="V69">IF(V$7=-1,W69,IF(V$7=99,U69,IF(V$7=0,INDEX($E69:$I69,0,V$5),(INDEX($E69:$I69,0,V$7+1)-INDEX($E69:$I69,0,V$7))/(INDEX($E$4:$I$4,0,V$7+1)-INDEX($E$4:$I$4,0,V$7))+U69)))</f>
        <v>0</v>
      </c>
      <c r="W69" s="313" cm="1">
        <f t="array" ref="W69">IF(W$7=-1,X69,IF(W$7=99,V69,IF(W$7=0,INDEX($E69:$I69,0,W$5),(INDEX($E69:$I69,0,W$7+1)-INDEX($E69:$I69,0,W$7))/(INDEX($E$4:$I$4,0,W$7+1)-INDEX($E$4:$I$4,0,W$7))+V69)))</f>
        <v>0</v>
      </c>
      <c r="X69" s="313" cm="1">
        <f t="array" ref="X69">IF(X$7=-1,Y69,IF(X$7=99,W69,IF(X$7=0,INDEX($E69:$I69,0,X$5),(INDEX($E69:$I69,0,X$7+1)-INDEX($E69:$I69,0,X$7))/(INDEX($E$4:$I$4,0,X$7+1)-INDEX($E$4:$I$4,0,X$7))+W69)))</f>
        <v>0</v>
      </c>
      <c r="Y69" s="313" cm="1">
        <f t="array" ref="Y69">IF(Y$7=-1,Z69,IF(Y$7=99,X69,IF(Y$7=0,INDEX($E69:$I69,0,Y$5),(INDEX($E69:$I69,0,Y$7+1)-INDEX($E69:$I69,0,Y$7))/(INDEX($E$4:$I$4,0,Y$7+1)-INDEX($E$4:$I$4,0,Y$7))+X69)))</f>
        <v>0</v>
      </c>
      <c r="Z69" s="313" cm="1">
        <f t="array" ref="Z69">IF(Z$7=-1,AA69,IF(Z$7=99,Y69,IF(Z$7=0,INDEX($E69:$I69,0,Z$5),(INDEX($E69:$I69,0,Z$7+1)-INDEX($E69:$I69,0,Z$7))/(INDEX($E$4:$I$4,0,Z$7+1)-INDEX($E$4:$I$4,0,Z$7))+Y69)))</f>
        <v>0</v>
      </c>
      <c r="AA69" s="313" cm="1">
        <f t="array" ref="AA69">IF(AA$7=-1,AB69,IF(AA$7=99,Z69,IF(AA$7=0,INDEX($E69:$I69,0,AA$5),(INDEX($E69:$I69,0,AA$7+1)-INDEX($E69:$I69,0,AA$7))/(INDEX($E$4:$I$4,0,AA$7+1)-INDEX($E$4:$I$4,0,AA$7))+Z69)))</f>
        <v>0</v>
      </c>
      <c r="AB69" s="313" cm="1">
        <f t="array" ref="AB69">IF(AB$7=-1,AC69,IF(AB$7=99,AA69,IF(AB$7=0,INDEX($E69:$I69,0,AB$5),(INDEX($E69:$I69,0,AB$7+1)-INDEX($E69:$I69,0,AB$7))/(INDEX($E$4:$I$4,0,AB$7+1)-INDEX($E$4:$I$4,0,AB$7))+AA69)))</f>
        <v>0</v>
      </c>
      <c r="AC69" s="313" cm="1">
        <f t="array" ref="AC69">IF(AC$7=-1,AD69,IF(AC$7=99,AB69,IF(AC$7=0,INDEX($E69:$I69,0,AC$5),(INDEX($E69:$I69,0,AC$7+1)-INDEX($E69:$I69,0,AC$7))/(INDEX($E$4:$I$4,0,AC$7+1)-INDEX($E$4:$I$4,0,AC$7))+AB69)))</f>
        <v>0</v>
      </c>
      <c r="AD69" s="313" cm="1">
        <f t="array" ref="AD69">IF(AD$7=-1,AE69,IF(AD$7=99,AC69,IF(AD$7=0,INDEX($E69:$I69,0,AD$5),(INDEX($E69:$I69,0,AD$7+1)-INDEX($E69:$I69,0,AD$7))/(INDEX($E$4:$I$4,0,AD$7+1)-INDEX($E$4:$I$4,0,AD$7))+AC69)))</f>
        <v>0</v>
      </c>
      <c r="AE69" s="313" cm="1">
        <f t="array" ref="AE69">IF(AE$7=-1,AF69,IF(AE$7=99,AD69,IF(AE$7=0,INDEX($E69:$I69,0,AE$5),(INDEX($E69:$I69,0,AE$7+1)-INDEX($E69:$I69,0,AE$7))/(INDEX($E$4:$I$4,0,AE$7+1)-INDEX($E$4:$I$4,0,AE$7))+AD69)))</f>
        <v>0</v>
      </c>
      <c r="AF69" s="313" cm="1">
        <f t="array" ref="AF69">IF(AF$7=-1,AG69,IF(AF$7=99,AE69,IF(AF$7=0,INDEX($E69:$I69,0,AF$5),(INDEX($E69:$I69,0,AF$7+1)-INDEX($E69:$I69,0,AF$7))/(INDEX($E$4:$I$4,0,AF$7+1)-INDEX($E$4:$I$4,0,AF$7))+AE69)))</f>
        <v>0</v>
      </c>
      <c r="AG69" s="313" cm="1">
        <f t="array" ref="AG69">IF(AG$7=-1,AH69,IF(AG$7=99,AF69,IF(AG$7=0,INDEX($E69:$I69,0,AG$5),(INDEX($E69:$I69,0,AG$7+1)-INDEX($E69:$I69,0,AG$7))/(INDEX($E$4:$I$4,0,AG$7+1)-INDEX($E$4:$I$4,0,AG$7))+AF69)))</f>
        <v>0</v>
      </c>
      <c r="AH69" s="313" cm="1">
        <f t="array" ref="AH69">IF(AH$7=-1,AI69,IF(AH$7=99,AG69,IF(AH$7=0,INDEX($E69:$I69,0,AH$5),(INDEX($E69:$I69,0,AH$7+1)-INDEX($E69:$I69,0,AH$7))/(INDEX($E$4:$I$4,0,AH$7+1)-INDEX($E$4:$I$4,0,AH$7))+AG69)))</f>
        <v>0</v>
      </c>
      <c r="AI69" s="313" cm="1">
        <f t="array" ref="AI69">IF(AI$7=-1,AJ69,IF(AI$7=99,AH69,IF(AI$7=0,INDEX($E69:$I69,0,AI$5),(INDEX($E69:$I69,0,AI$7+1)-INDEX($E69:$I69,0,AI$7))/(INDEX($E$4:$I$4,0,AI$7+1)-INDEX($E$4:$I$4,0,AI$7))+AH69)))</f>
        <v>0</v>
      </c>
      <c r="AJ69" s="313" cm="1">
        <f t="array" ref="AJ69">IF(AJ$7=-1,AK69,IF(AJ$7=99,AI69,IF(AJ$7=0,INDEX($E69:$I69,0,AJ$5),(INDEX($E69:$I69,0,AJ$7+1)-INDEX($E69:$I69,0,AJ$7))/(INDEX($E$4:$I$4,0,AJ$7+1)-INDEX($E$4:$I$4,0,AJ$7))+AI69)))</f>
        <v>0</v>
      </c>
      <c r="AK69" s="313" cm="1">
        <f t="array" ref="AK69">IF(AK$7=-1,AL69,IF(AK$7=99,AJ69,IF(AK$7=0,INDEX($E69:$I69,0,AK$5),(INDEX($E69:$I69,0,AK$7+1)-INDEX($E69:$I69,0,AK$7))/(INDEX($E$4:$I$4,0,AK$7+1)-INDEX($E$4:$I$4,0,AK$7))+AJ69)))</f>
        <v>0</v>
      </c>
      <c r="AL69" s="313" cm="1">
        <f t="array" ref="AL69">IF(AL$7=-1,AM69,IF(AL$7=99,AK69,IF(AL$7=0,INDEX($E69:$I69,0,AL$5),(INDEX($E69:$I69,0,AL$7+1)-INDEX($E69:$I69,0,AL$7))/(INDEX($E$4:$I$4,0,AL$7+1)-INDEX($E$4:$I$4,0,AL$7))+AK69)))</f>
        <v>0</v>
      </c>
      <c r="AM69" s="313" cm="1">
        <f t="array" ref="AM69">IF(AM$7=-1,AN69,IF(AM$7=99,AL69,IF(AM$7=0,INDEX($E69:$I69,0,AM$5),(INDEX($E69:$I69,0,AM$7+1)-INDEX($E69:$I69,0,AM$7))/(INDEX($E$4:$I$4,0,AM$7+1)-INDEX($E$4:$I$4,0,AM$7))+AL69)))</f>
        <v>0</v>
      </c>
      <c r="AN69" s="313" cm="1">
        <f t="array" ref="AN69">IF(AN$7=-1,AO69,IF(AN$7=99,AM69,IF(AN$7=0,INDEX($E69:$I69,0,AN$5),(INDEX($E69:$I69,0,AN$7+1)-INDEX($E69:$I69,0,AN$7))/(INDEX($E$4:$I$4,0,AN$7+1)-INDEX($E$4:$I$4,0,AN$7))+AM69)))</f>
        <v>0</v>
      </c>
      <c r="AO69" s="313" cm="1">
        <f t="array" ref="AO69">IF(AO$7=-1,AP69,IF(AO$7=99,AN69,IF(AO$7=0,INDEX($E69:$I69,0,AO$5),(INDEX($E69:$I69,0,AO$7+1)-INDEX($E69:$I69,0,AO$7))/(INDEX($E$4:$I$4,0,AO$7+1)-INDEX($E$4:$I$4,0,AO$7))+AN69)))</f>
        <v>0</v>
      </c>
      <c r="AP69" s="313" cm="1">
        <f t="array" ref="AP69">IF(AP$7=-1,AQ69,IF(AP$7=99,AO69,IF(AP$7=0,INDEX($E69:$I69,0,AP$5),(INDEX($E69:$I69,0,AP$7+1)-INDEX($E69:$I69,0,AP$7))/(INDEX($E$4:$I$4,0,AP$7+1)-INDEX($E$4:$I$4,0,AP$7))+AO69)))</f>
        <v>0</v>
      </c>
    </row>
    <row r="70" spans="1:42">
      <c r="A70" s="313" t="s">
        <v>16</v>
      </c>
    </row>
    <row r="71" spans="1:42">
      <c r="A71" s="313" t="s">
        <v>16</v>
      </c>
      <c r="C71" s="208" t="s">
        <v>546</v>
      </c>
      <c r="D71" s="209" t="s">
        <v>547</v>
      </c>
      <c r="E71" s="210"/>
      <c r="F71" s="210"/>
      <c r="G71" s="210"/>
      <c r="H71" s="210"/>
      <c r="I71" s="210"/>
      <c r="J71" s="209"/>
      <c r="K71" s="209"/>
      <c r="L71" s="209"/>
      <c r="M71" s="209"/>
      <c r="N71" s="209"/>
    </row>
    <row r="72" spans="1:42">
      <c r="A72" s="313" t="s">
        <v>16</v>
      </c>
      <c r="E72" s="186"/>
      <c r="F72" s="186"/>
      <c r="G72" s="186"/>
      <c r="H72" s="186"/>
      <c r="I72" s="186"/>
      <c r="J72" s="313"/>
    </row>
    <row r="73" spans="1:42">
      <c r="A73" s="313" t="s">
        <v>16</v>
      </c>
      <c r="E73" s="186"/>
      <c r="F73" s="186"/>
      <c r="G73" s="186"/>
      <c r="H73" s="186"/>
      <c r="I73" s="186"/>
      <c r="J73" s="313">
        <f t="shared" ref="J73:AP73" si="20">J97</f>
        <v>2012</v>
      </c>
      <c r="K73" s="313">
        <f t="shared" si="20"/>
        <v>2013</v>
      </c>
      <c r="L73" s="313">
        <f t="shared" si="20"/>
        <v>2014</v>
      </c>
      <c r="M73" s="313">
        <f t="shared" si="20"/>
        <v>2015</v>
      </c>
      <c r="N73" s="313">
        <f t="shared" si="20"/>
        <v>2016</v>
      </c>
      <c r="O73" s="313">
        <f t="shared" si="20"/>
        <v>2017</v>
      </c>
      <c r="P73" s="313">
        <f t="shared" si="20"/>
        <v>2018</v>
      </c>
      <c r="Q73" s="313">
        <f t="shared" si="20"/>
        <v>2019</v>
      </c>
      <c r="R73" s="313">
        <f t="shared" si="20"/>
        <v>2020</v>
      </c>
      <c r="S73" s="313">
        <f t="shared" si="20"/>
        <v>2021</v>
      </c>
      <c r="T73" s="313">
        <f t="shared" si="20"/>
        <v>2022</v>
      </c>
      <c r="U73" s="313">
        <f t="shared" si="20"/>
        <v>2023</v>
      </c>
      <c r="V73" s="313">
        <f t="shared" si="20"/>
        <v>2024</v>
      </c>
      <c r="W73" s="313">
        <f t="shared" si="20"/>
        <v>2025</v>
      </c>
      <c r="X73" s="313">
        <f t="shared" si="20"/>
        <v>2026</v>
      </c>
      <c r="Y73" s="313">
        <f t="shared" si="20"/>
        <v>2027</v>
      </c>
      <c r="Z73" s="313">
        <f t="shared" si="20"/>
        <v>2028</v>
      </c>
      <c r="AA73" s="313">
        <f t="shared" si="20"/>
        <v>2029</v>
      </c>
      <c r="AB73" s="313">
        <f t="shared" si="20"/>
        <v>2030</v>
      </c>
      <c r="AC73" s="313">
        <f t="shared" si="20"/>
        <v>2031</v>
      </c>
      <c r="AD73" s="313">
        <f t="shared" si="20"/>
        <v>2032</v>
      </c>
      <c r="AE73" s="313">
        <f t="shared" si="20"/>
        <v>2033</v>
      </c>
      <c r="AF73" s="313">
        <f t="shared" si="20"/>
        <v>2034</v>
      </c>
      <c r="AG73" s="313">
        <f t="shared" si="20"/>
        <v>2035</v>
      </c>
      <c r="AH73" s="313">
        <f t="shared" si="20"/>
        <v>2036</v>
      </c>
      <c r="AI73" s="313">
        <f t="shared" si="20"/>
        <v>2037</v>
      </c>
      <c r="AJ73" s="313">
        <f t="shared" si="20"/>
        <v>2038</v>
      </c>
      <c r="AK73" s="313">
        <f t="shared" si="20"/>
        <v>2039</v>
      </c>
      <c r="AL73" s="313">
        <f t="shared" si="20"/>
        <v>2040</v>
      </c>
      <c r="AM73" s="313">
        <f t="shared" si="20"/>
        <v>2045</v>
      </c>
      <c r="AN73" s="313">
        <f t="shared" si="20"/>
        <v>2050</v>
      </c>
      <c r="AO73" s="313">
        <f t="shared" si="20"/>
        <v>2060</v>
      </c>
      <c r="AP73" s="313">
        <f t="shared" si="20"/>
        <v>2070</v>
      </c>
    </row>
    <row r="74" spans="1:42">
      <c r="A74" s="313" t="s">
        <v>16</v>
      </c>
      <c r="C74" s="313" t="s">
        <v>548</v>
      </c>
      <c r="E74" s="186"/>
      <c r="F74" s="186"/>
      <c r="G74" s="186"/>
      <c r="H74" s="186"/>
      <c r="I74" s="186"/>
      <c r="J74" s="186">
        <f t="shared" ref="J74:AP74" si="21">J102+J113+J123</f>
        <v>34.923620586390435</v>
      </c>
      <c r="K74" s="186">
        <f t="shared" si="21"/>
        <v>34.428529243987121</v>
      </c>
      <c r="L74" s="186">
        <f t="shared" si="21"/>
        <v>33.933437901583808</v>
      </c>
      <c r="M74" s="186">
        <f t="shared" si="21"/>
        <v>33.438346559180495</v>
      </c>
      <c r="N74" s="186">
        <f t="shared" si="21"/>
        <v>32.943255216777175</v>
      </c>
      <c r="O74" s="186">
        <f t="shared" si="21"/>
        <v>32.448163874373861</v>
      </c>
      <c r="P74" s="186">
        <f t="shared" ca="1" si="21"/>
        <v>33.066725179588822</v>
      </c>
      <c r="Q74" s="186">
        <f t="shared" ca="1" si="21"/>
        <v>33.656564447864184</v>
      </c>
      <c r="R74" s="186">
        <f t="shared" ca="1" si="21"/>
        <v>33.643518394888524</v>
      </c>
      <c r="S74" s="186">
        <f t="shared" ca="1" si="21"/>
        <v>34.233426041589546</v>
      </c>
      <c r="T74" s="186">
        <f t="shared" ca="1" si="21"/>
        <v>34.731430320809849</v>
      </c>
      <c r="U74" s="186">
        <f t="shared" ca="1" si="21"/>
        <v>35.207709138178998</v>
      </c>
      <c r="V74" s="186">
        <f t="shared" ca="1" si="21"/>
        <v>35.691355524896693</v>
      </c>
      <c r="W74" s="186">
        <f t="shared" ca="1" si="21"/>
        <v>36.171728741259997</v>
      </c>
      <c r="X74" s="186">
        <f t="shared" ca="1" si="21"/>
        <v>36.64305315857419</v>
      </c>
      <c r="Y74" s="186">
        <f t="shared" ca="1" si="21"/>
        <v>37.124704423314853</v>
      </c>
      <c r="Z74" s="186">
        <f t="shared" ca="1" si="21"/>
        <v>37.596850823449515</v>
      </c>
      <c r="AA74" s="186">
        <f t="shared" ca="1" si="21"/>
        <v>38.058186010736634</v>
      </c>
      <c r="AB74" s="186">
        <f t="shared" ca="1" si="21"/>
        <v>38.499159053385476</v>
      </c>
      <c r="AC74" s="186">
        <f t="shared" ca="1" si="21"/>
        <v>38.916758667026123</v>
      </c>
      <c r="AD74" s="186">
        <f t="shared" ca="1" si="21"/>
        <v>39.355643793979709</v>
      </c>
      <c r="AE74" s="186">
        <f t="shared" ca="1" si="21"/>
        <v>39.782908993954216</v>
      </c>
      <c r="AF74" s="186">
        <f t="shared" ca="1" si="21"/>
        <v>40.200828516439323</v>
      </c>
      <c r="AG74" s="186">
        <f t="shared" ca="1" si="21"/>
        <v>40.604334824074229</v>
      </c>
      <c r="AH74" s="186">
        <f t="shared" ca="1" si="21"/>
        <v>41.002447040499817</v>
      </c>
      <c r="AI74" s="186">
        <f t="shared" ca="1" si="21"/>
        <v>41.402110432905559</v>
      </c>
      <c r="AJ74" s="186">
        <f t="shared" ca="1" si="21"/>
        <v>41.791668783470712</v>
      </c>
      <c r="AK74" s="186">
        <f t="shared" ca="1" si="21"/>
        <v>42.169889740373172</v>
      </c>
      <c r="AL74" s="186">
        <f t="shared" ca="1" si="21"/>
        <v>42.541537612366291</v>
      </c>
      <c r="AM74" s="186">
        <f t="shared" ca="1" si="21"/>
        <v>44.319252429146516</v>
      </c>
      <c r="AN74" s="186">
        <f t="shared" ca="1" si="21"/>
        <v>45.849649206750016</v>
      </c>
      <c r="AO74" s="186">
        <f t="shared" ca="1" si="21"/>
        <v>45.849649206750016</v>
      </c>
      <c r="AP74" s="186">
        <f t="shared" ca="1" si="21"/>
        <v>45.849649206750016</v>
      </c>
    </row>
    <row r="75" spans="1:42">
      <c r="A75" s="313" t="s">
        <v>16</v>
      </c>
      <c r="C75" s="313" t="s">
        <v>549</v>
      </c>
      <c r="D75" s="186" t="s">
        <v>487</v>
      </c>
      <c r="E75" s="211">
        <f>IF(E78=1,0.2,IF(E78=2,0.13,IF(E78=3,0.2,0.2)))</f>
        <v>0.2</v>
      </c>
      <c r="F75" s="186"/>
      <c r="G75" s="186"/>
      <c r="H75" s="186"/>
      <c r="I75" s="186"/>
      <c r="J75" s="313"/>
      <c r="M75" s="190">
        <v>0</v>
      </c>
      <c r="N75" s="190">
        <v>0</v>
      </c>
      <c r="O75" s="190">
        <v>0</v>
      </c>
      <c r="P75" s="190">
        <v>0</v>
      </c>
      <c r="Q75" s="190">
        <v>0</v>
      </c>
      <c r="R75" s="190">
        <v>0</v>
      </c>
      <c r="S75" s="190">
        <f>(($AB$75-$R$75)/($AB$73-$R$73))*(S$73-$R$73)</f>
        <v>0.02</v>
      </c>
      <c r="T75" s="190">
        <f t="shared" ref="T75:AA75" si="22">(($AB$75-$R$75)/($AB$73-$R$73))*(T$73-$R$73)</f>
        <v>0.04</v>
      </c>
      <c r="U75" s="190">
        <f t="shared" si="22"/>
        <v>0.06</v>
      </c>
      <c r="V75" s="190">
        <f t="shared" si="22"/>
        <v>0.08</v>
      </c>
      <c r="W75" s="109">
        <f t="shared" si="22"/>
        <v>0.1</v>
      </c>
      <c r="X75" s="109">
        <f t="shared" si="22"/>
        <v>0.12</v>
      </c>
      <c r="Y75" s="109">
        <f t="shared" si="22"/>
        <v>0.14000000000000001</v>
      </c>
      <c r="Z75" s="109">
        <f t="shared" si="22"/>
        <v>0.16</v>
      </c>
      <c r="AA75" s="109">
        <f t="shared" si="22"/>
        <v>0.18</v>
      </c>
      <c r="AB75" s="30">
        <f>$E$75</f>
        <v>0.2</v>
      </c>
      <c r="AC75" s="190">
        <f t="shared" ref="AC75:AP75" si="23">AB75</f>
        <v>0.2</v>
      </c>
      <c r="AD75" s="190">
        <f t="shared" si="23"/>
        <v>0.2</v>
      </c>
      <c r="AE75" s="190">
        <f t="shared" si="23"/>
        <v>0.2</v>
      </c>
      <c r="AF75" s="190">
        <f t="shared" si="23"/>
        <v>0.2</v>
      </c>
      <c r="AG75" s="190">
        <f t="shared" si="23"/>
        <v>0.2</v>
      </c>
      <c r="AH75" s="190">
        <f t="shared" si="23"/>
        <v>0.2</v>
      </c>
      <c r="AI75" s="190">
        <f t="shared" si="23"/>
        <v>0.2</v>
      </c>
      <c r="AJ75" s="190">
        <f t="shared" si="23"/>
        <v>0.2</v>
      </c>
      <c r="AK75" s="190">
        <f t="shared" si="23"/>
        <v>0.2</v>
      </c>
      <c r="AL75" s="190">
        <f t="shared" si="23"/>
        <v>0.2</v>
      </c>
      <c r="AM75" s="190">
        <f t="shared" si="23"/>
        <v>0.2</v>
      </c>
      <c r="AN75" s="190">
        <f t="shared" si="23"/>
        <v>0.2</v>
      </c>
      <c r="AO75" s="190">
        <f t="shared" si="23"/>
        <v>0.2</v>
      </c>
      <c r="AP75" s="190">
        <f t="shared" si="23"/>
        <v>0.2</v>
      </c>
    </row>
    <row r="76" spans="1:42">
      <c r="A76" s="313" t="s">
        <v>16</v>
      </c>
      <c r="D76" s="313" t="s">
        <v>488</v>
      </c>
      <c r="E76" s="211">
        <f>IF(E78=1,0.2,IF(E78=2,0.13,IF(E78=3,0.2,0.2)))</f>
        <v>0.2</v>
      </c>
      <c r="F76" s="186"/>
      <c r="G76" s="186"/>
      <c r="H76" s="186"/>
      <c r="I76" s="186"/>
      <c r="J76" s="313"/>
      <c r="M76" s="190">
        <v>0</v>
      </c>
      <c r="N76" s="190">
        <v>0</v>
      </c>
      <c r="O76" s="190">
        <v>0</v>
      </c>
      <c r="P76" s="190">
        <v>0</v>
      </c>
      <c r="Q76" s="190">
        <v>0</v>
      </c>
      <c r="R76" s="190">
        <v>0</v>
      </c>
      <c r="S76" s="109">
        <f>(($AB$76-$R$76)/($AB$73-$R$73))*(S$73-$R$73)</f>
        <v>0.02</v>
      </c>
      <c r="T76" s="109">
        <f t="shared" ref="T76:AA76" si="24">(($AB$76-$R$76)/($AB$73-$R$73))*(T$73-$R$73)</f>
        <v>0.04</v>
      </c>
      <c r="U76" s="109">
        <f t="shared" si="24"/>
        <v>0.06</v>
      </c>
      <c r="V76" s="109">
        <f t="shared" si="24"/>
        <v>0.08</v>
      </c>
      <c r="W76" s="109">
        <f t="shared" si="24"/>
        <v>0.1</v>
      </c>
      <c r="X76" s="109">
        <f t="shared" si="24"/>
        <v>0.12</v>
      </c>
      <c r="Y76" s="109">
        <f t="shared" si="24"/>
        <v>0.14000000000000001</v>
      </c>
      <c r="Z76" s="109">
        <f t="shared" si="24"/>
        <v>0.16</v>
      </c>
      <c r="AA76" s="109">
        <f t="shared" si="24"/>
        <v>0.18</v>
      </c>
      <c r="AB76" s="30">
        <f>$E$76</f>
        <v>0.2</v>
      </c>
      <c r="AC76" s="190">
        <f t="shared" ref="AC76:AP76" si="25">AB76</f>
        <v>0.2</v>
      </c>
      <c r="AD76" s="190">
        <f t="shared" si="25"/>
        <v>0.2</v>
      </c>
      <c r="AE76" s="190">
        <f t="shared" si="25"/>
        <v>0.2</v>
      </c>
      <c r="AF76" s="190">
        <f t="shared" si="25"/>
        <v>0.2</v>
      </c>
      <c r="AG76" s="190">
        <f t="shared" si="25"/>
        <v>0.2</v>
      </c>
      <c r="AH76" s="190">
        <f t="shared" si="25"/>
        <v>0.2</v>
      </c>
      <c r="AI76" s="190">
        <f t="shared" si="25"/>
        <v>0.2</v>
      </c>
      <c r="AJ76" s="190">
        <f t="shared" si="25"/>
        <v>0.2</v>
      </c>
      <c r="AK76" s="190">
        <f t="shared" si="25"/>
        <v>0.2</v>
      </c>
      <c r="AL76" s="190">
        <f t="shared" si="25"/>
        <v>0.2</v>
      </c>
      <c r="AM76" s="190">
        <f t="shared" si="25"/>
        <v>0.2</v>
      </c>
      <c r="AN76" s="190">
        <f t="shared" si="25"/>
        <v>0.2</v>
      </c>
      <c r="AO76" s="190">
        <f t="shared" si="25"/>
        <v>0.2</v>
      </c>
      <c r="AP76" s="190">
        <f t="shared" si="25"/>
        <v>0.2</v>
      </c>
    </row>
    <row r="77" spans="1:42">
      <c r="A77" s="313" t="s">
        <v>16</v>
      </c>
      <c r="C77" s="313" t="s">
        <v>550</v>
      </c>
      <c r="E77" s="186"/>
      <c r="F77" s="186"/>
      <c r="G77" s="186"/>
      <c r="J77" s="186">
        <f>J$74</f>
        <v>34.923620586390435</v>
      </c>
      <c r="K77" s="186">
        <f>K$74</f>
        <v>34.428529243987121</v>
      </c>
      <c r="L77" s="186">
        <f>L$74</f>
        <v>33.933437901583808</v>
      </c>
      <c r="M77" s="186">
        <f>M$74</f>
        <v>33.438346559180495</v>
      </c>
      <c r="N77" s="186">
        <f t="shared" ref="N77:AP77" si="26">(($M$74*(1-N$75))+((N74-$M$74)*(1-N$76)))</f>
        <v>32.943255216777175</v>
      </c>
      <c r="O77" s="186">
        <f t="shared" si="26"/>
        <v>32.448163874373861</v>
      </c>
      <c r="P77" s="186">
        <f t="shared" ca="1" si="26"/>
        <v>33.066725179588822</v>
      </c>
      <c r="Q77" s="186">
        <f t="shared" ca="1" si="26"/>
        <v>33.656564447864184</v>
      </c>
      <c r="R77" s="186">
        <f t="shared" ca="1" si="26"/>
        <v>33.643518394888524</v>
      </c>
      <c r="S77" s="186">
        <f t="shared" ca="1" si="26"/>
        <v>33.548757520757754</v>
      </c>
      <c r="T77" s="186">
        <f t="shared" ca="1" si="26"/>
        <v>33.342173107977452</v>
      </c>
      <c r="U77" s="186">
        <f t="shared" ca="1" si="26"/>
        <v>33.095246589888255</v>
      </c>
      <c r="V77" s="186">
        <f t="shared" ca="1" si="26"/>
        <v>32.836047082904955</v>
      </c>
      <c r="W77" s="186">
        <f t="shared" ca="1" si="26"/>
        <v>32.554555867133999</v>
      </c>
      <c r="X77" s="186">
        <f t="shared" ca="1" si="26"/>
        <v>32.245886779545287</v>
      </c>
      <c r="Y77" s="186">
        <f t="shared" ca="1" si="26"/>
        <v>31.927245804050774</v>
      </c>
      <c r="Z77" s="186">
        <f t="shared" ca="1" si="26"/>
        <v>31.581354691697591</v>
      </c>
      <c r="AA77" s="186">
        <f t="shared" ca="1" si="26"/>
        <v>31.207712528804041</v>
      </c>
      <c r="AB77" s="186">
        <f t="shared" ca="1" si="26"/>
        <v>30.799327242708383</v>
      </c>
      <c r="AC77" s="186">
        <f t="shared" ca="1" si="26"/>
        <v>31.133406933620901</v>
      </c>
      <c r="AD77" s="186">
        <f t="shared" ca="1" si="26"/>
        <v>31.484515035183769</v>
      </c>
      <c r="AE77" s="186">
        <f t="shared" ca="1" si="26"/>
        <v>31.826327195163376</v>
      </c>
      <c r="AF77" s="186">
        <f t="shared" ca="1" si="26"/>
        <v>32.160662813151461</v>
      </c>
      <c r="AG77" s="186">
        <f t="shared" ca="1" si="26"/>
        <v>32.483467859259385</v>
      </c>
      <c r="AH77" s="186">
        <f t="shared" ca="1" si="26"/>
        <v>32.801957632399855</v>
      </c>
      <c r="AI77" s="186">
        <f t="shared" ca="1" si="26"/>
        <v>33.121688346324447</v>
      </c>
      <c r="AJ77" s="186">
        <f t="shared" ca="1" si="26"/>
        <v>33.433335026776575</v>
      </c>
      <c r="AK77" s="186">
        <f t="shared" ca="1" si="26"/>
        <v>33.735911792298538</v>
      </c>
      <c r="AL77" s="186">
        <f t="shared" ca="1" si="26"/>
        <v>34.033230089893038</v>
      </c>
      <c r="AM77" s="186">
        <f t="shared" ca="1" si="26"/>
        <v>35.455401943317213</v>
      </c>
      <c r="AN77" s="186">
        <f t="shared" ca="1" si="26"/>
        <v>36.679719365400018</v>
      </c>
      <c r="AO77" s="186">
        <f t="shared" ca="1" si="26"/>
        <v>36.679719365400018</v>
      </c>
      <c r="AP77" s="186">
        <f t="shared" ca="1" si="26"/>
        <v>36.679719365400018</v>
      </c>
    </row>
    <row r="78" spans="1:42">
      <c r="A78" s="313" t="s">
        <v>16</v>
      </c>
      <c r="D78" s="313" t="s">
        <v>551</v>
      </c>
      <c r="E78" s="212">
        <f>DriversGams!A163</f>
        <v>-1</v>
      </c>
      <c r="F78" s="336" t="s">
        <v>654</v>
      </c>
      <c r="G78" s="186" t="s">
        <v>41</v>
      </c>
    </row>
    <row r="79" spans="1:42">
      <c r="A79" s="313" t="s">
        <v>16</v>
      </c>
      <c r="B79" s="228"/>
      <c r="D79" s="186"/>
      <c r="F79" s="91">
        <v>1</v>
      </c>
      <c r="G79" s="91" t="s">
        <v>632</v>
      </c>
      <c r="O79" s="5"/>
    </row>
    <row r="80" spans="1:42">
      <c r="A80" s="313" t="s">
        <v>16</v>
      </c>
      <c r="B80" s="228"/>
      <c r="D80" s="186"/>
      <c r="F80" s="91">
        <v>2</v>
      </c>
      <c r="G80" s="91" t="s">
        <v>636</v>
      </c>
      <c r="J80" s="213">
        <f t="shared" ref="J80:AP80" si="27">J73</f>
        <v>2012</v>
      </c>
      <c r="K80" s="7">
        <f t="shared" si="27"/>
        <v>2013</v>
      </c>
      <c r="L80" s="7">
        <f t="shared" si="27"/>
        <v>2014</v>
      </c>
      <c r="M80" s="7">
        <f t="shared" si="27"/>
        <v>2015</v>
      </c>
      <c r="N80" s="7">
        <f t="shared" si="27"/>
        <v>2016</v>
      </c>
      <c r="O80" s="7">
        <f t="shared" si="27"/>
        <v>2017</v>
      </c>
      <c r="P80" s="7">
        <f t="shared" si="27"/>
        <v>2018</v>
      </c>
      <c r="Q80" s="7">
        <f t="shared" si="27"/>
        <v>2019</v>
      </c>
      <c r="R80" s="7">
        <f t="shared" si="27"/>
        <v>2020</v>
      </c>
      <c r="S80" s="7">
        <f t="shared" si="27"/>
        <v>2021</v>
      </c>
      <c r="T80" s="7">
        <f t="shared" si="27"/>
        <v>2022</v>
      </c>
      <c r="U80" s="7">
        <f t="shared" si="27"/>
        <v>2023</v>
      </c>
      <c r="V80" s="7">
        <f t="shared" si="27"/>
        <v>2024</v>
      </c>
      <c r="W80" s="7">
        <f t="shared" si="27"/>
        <v>2025</v>
      </c>
      <c r="X80" s="7">
        <f t="shared" si="27"/>
        <v>2026</v>
      </c>
      <c r="Y80" s="7">
        <f t="shared" si="27"/>
        <v>2027</v>
      </c>
      <c r="Z80" s="7">
        <f t="shared" si="27"/>
        <v>2028</v>
      </c>
      <c r="AA80" s="7">
        <f t="shared" si="27"/>
        <v>2029</v>
      </c>
      <c r="AB80" s="7">
        <f t="shared" si="27"/>
        <v>2030</v>
      </c>
      <c r="AC80" s="7">
        <f t="shared" si="27"/>
        <v>2031</v>
      </c>
      <c r="AD80" s="7">
        <f t="shared" si="27"/>
        <v>2032</v>
      </c>
      <c r="AE80" s="7">
        <f t="shared" si="27"/>
        <v>2033</v>
      </c>
      <c r="AF80" s="7">
        <f t="shared" si="27"/>
        <v>2034</v>
      </c>
      <c r="AG80" s="7">
        <f t="shared" si="27"/>
        <v>2035</v>
      </c>
      <c r="AH80" s="7">
        <f t="shared" si="27"/>
        <v>2036</v>
      </c>
      <c r="AI80" s="7">
        <f t="shared" si="27"/>
        <v>2037</v>
      </c>
      <c r="AJ80" s="7">
        <f t="shared" si="27"/>
        <v>2038</v>
      </c>
      <c r="AK80" s="7">
        <f t="shared" si="27"/>
        <v>2039</v>
      </c>
      <c r="AL80" s="7">
        <f t="shared" si="27"/>
        <v>2040</v>
      </c>
      <c r="AM80" s="7">
        <f t="shared" si="27"/>
        <v>2045</v>
      </c>
      <c r="AN80" s="7">
        <f t="shared" si="27"/>
        <v>2050</v>
      </c>
      <c r="AO80" s="7">
        <f t="shared" si="27"/>
        <v>2060</v>
      </c>
      <c r="AP80" s="7">
        <f t="shared" si="27"/>
        <v>2070</v>
      </c>
    </row>
    <row r="81" spans="1:54">
      <c r="A81" s="313" t="s">
        <v>16</v>
      </c>
      <c r="B81" s="228"/>
      <c r="C81" s="313" t="s">
        <v>552</v>
      </c>
      <c r="D81" s="186" t="str">
        <f>D102</f>
        <v>RLEH</v>
      </c>
      <c r="F81" s="91">
        <v>3</v>
      </c>
      <c r="G81" s="177" t="s">
        <v>632</v>
      </c>
      <c r="J81" s="42">
        <f t="shared" ref="J81:O81" si="28">J102</f>
        <v>14.6766565883431</v>
      </c>
      <c r="K81" s="42">
        <f t="shared" si="28"/>
        <v>14.06071286343999</v>
      </c>
      <c r="L81" s="42">
        <f t="shared" si="28"/>
        <v>13.444769138536881</v>
      </c>
      <c r="M81" s="42">
        <f t="shared" si="28"/>
        <v>12.828825413633773</v>
      </c>
      <c r="N81" s="42">
        <f t="shared" si="28"/>
        <v>12.212881688730663</v>
      </c>
      <c r="O81" s="42">
        <f t="shared" si="28"/>
        <v>11.596937963827553</v>
      </c>
      <c r="P81" s="24">
        <f t="shared" ref="P81:AP81" ca="1" si="29">OFFSET(P$33,$BB81,$J$96)/OFFSET(O$33,$BB81,$J$96)*O81</f>
        <v>11.574729540883233</v>
      </c>
      <c r="Q81" s="24">
        <f t="shared" ca="1" si="29"/>
        <v>11.683096844035036</v>
      </c>
      <c r="R81" s="24">
        <f t="shared" ca="1" si="29"/>
        <v>12.156583663250711</v>
      </c>
      <c r="S81" s="24">
        <f t="shared" ca="1" si="29"/>
        <v>13.187196775000475</v>
      </c>
      <c r="T81" s="24">
        <f t="shared" ca="1" si="29"/>
        <v>13.167107350652484</v>
      </c>
      <c r="U81" s="24">
        <f t="shared" ca="1" si="29"/>
        <v>13.111911513572245</v>
      </c>
      <c r="V81" s="24">
        <f t="shared" ca="1" si="29"/>
        <v>13.019601735405013</v>
      </c>
      <c r="W81" s="24">
        <f t="shared" ca="1" si="29"/>
        <v>12.924473568193823</v>
      </c>
      <c r="X81" s="24">
        <f t="shared" ca="1" si="29"/>
        <v>12.802537541200557</v>
      </c>
      <c r="Y81" s="24">
        <f t="shared" ca="1" si="29"/>
        <v>12.649616757400606</v>
      </c>
      <c r="Z81" s="24">
        <f t="shared" ca="1" si="29"/>
        <v>12.495571188388116</v>
      </c>
      <c r="AA81" s="24">
        <f t="shared" ca="1" si="29"/>
        <v>12.358192580548739</v>
      </c>
      <c r="AB81" s="24">
        <f t="shared" ca="1" si="29"/>
        <v>12.278118323455077</v>
      </c>
      <c r="AC81" s="24">
        <f t="shared" ca="1" si="29"/>
        <v>12.180505515218833</v>
      </c>
      <c r="AD81" s="24">
        <f t="shared" ca="1" si="29"/>
        <v>12.040390392994471</v>
      </c>
      <c r="AE81" s="24">
        <f t="shared" ca="1" si="29"/>
        <v>11.90334810809455</v>
      </c>
      <c r="AF81" s="24">
        <f t="shared" ca="1" si="29"/>
        <v>11.781890287151597</v>
      </c>
      <c r="AG81" s="24">
        <f t="shared" ca="1" si="29"/>
        <v>11.670449895862784</v>
      </c>
      <c r="AH81" s="24">
        <f t="shared" ca="1" si="29"/>
        <v>11.538044276442596</v>
      </c>
      <c r="AI81" s="24">
        <f t="shared" ca="1" si="29"/>
        <v>11.389238797909822</v>
      </c>
      <c r="AJ81" s="24">
        <f t="shared" ca="1" si="29"/>
        <v>11.249337947668653</v>
      </c>
      <c r="AK81" s="24">
        <f t="shared" ca="1" si="29"/>
        <v>11.113324472555446</v>
      </c>
      <c r="AL81" s="24">
        <f t="shared" ca="1" si="29"/>
        <v>10.970284356059416</v>
      </c>
      <c r="AM81" s="24">
        <f t="shared" ca="1" si="29"/>
        <v>10.118314874206119</v>
      </c>
      <c r="AN81" s="24">
        <f t="shared" ca="1" si="29"/>
        <v>9.3256488762356078</v>
      </c>
      <c r="AO81" s="24">
        <f t="shared" ca="1" si="29"/>
        <v>9.3256488762356078</v>
      </c>
      <c r="AP81" s="24">
        <f t="shared" ca="1" si="29"/>
        <v>9.3256488762356078</v>
      </c>
      <c r="BB81" s="313">
        <v>1</v>
      </c>
    </row>
    <row r="82" spans="1:54">
      <c r="A82" s="313" t="s">
        <v>16</v>
      </c>
      <c r="B82" s="228"/>
      <c r="D82" s="186" t="str">
        <f>D113</f>
        <v>RMEH</v>
      </c>
      <c r="H82" s="313" t="s">
        <v>649</v>
      </c>
      <c r="J82" s="42">
        <f t="shared" ref="J82:O82" si="30">J113</f>
        <v>13.162661948752438</v>
      </c>
      <c r="K82" s="42">
        <f t="shared" si="30"/>
        <v>13.134665662024011</v>
      </c>
      <c r="L82" s="42">
        <f t="shared" si="30"/>
        <v>13.106669375295583</v>
      </c>
      <c r="M82" s="42">
        <f t="shared" si="30"/>
        <v>13.078673088567156</v>
      </c>
      <c r="N82" s="42">
        <f t="shared" si="30"/>
        <v>13.050676801838728</v>
      </c>
      <c r="O82" s="42">
        <f t="shared" si="30"/>
        <v>13.0226805151103</v>
      </c>
      <c r="P82" s="24">
        <f t="shared" ref="P82:AP82" ca="1" si="31">OFFSET(P$33,$BB82,$J$96)/OFFSET(O$33,$BB82,$J$96)*O82</f>
        <v>13.374050837411678</v>
      </c>
      <c r="Q82" s="24">
        <f t="shared" ca="1" si="31"/>
        <v>13.735474767731189</v>
      </c>
      <c r="R82" s="24">
        <f t="shared" ca="1" si="31"/>
        <v>14.434256187090865</v>
      </c>
      <c r="S82" s="24">
        <f t="shared" ca="1" si="31"/>
        <v>13.808824668458882</v>
      </c>
      <c r="T82" s="24">
        <f t="shared" ca="1" si="31"/>
        <v>14.067316747757923</v>
      </c>
      <c r="U82" s="24">
        <f t="shared" ca="1" si="31"/>
        <v>14.304826631527213</v>
      </c>
      <c r="V82" s="24">
        <f t="shared" ca="1" si="31"/>
        <v>14.558566550970626</v>
      </c>
      <c r="W82" s="24">
        <f t="shared" ca="1" si="31"/>
        <v>14.829004301978982</v>
      </c>
      <c r="X82" s="24">
        <f t="shared" ca="1" si="31"/>
        <v>15.057120504261869</v>
      </c>
      <c r="Y82" s="24">
        <f t="shared" ca="1" si="31"/>
        <v>15.328710468281786</v>
      </c>
      <c r="Z82" s="24">
        <f t="shared" ca="1" si="31"/>
        <v>15.595206749627014</v>
      </c>
      <c r="AA82" s="24">
        <f t="shared" ca="1" si="31"/>
        <v>15.864575895743723</v>
      </c>
      <c r="AB82" s="24">
        <f t="shared" ca="1" si="31"/>
        <v>16.15082101524105</v>
      </c>
      <c r="AC82" s="24">
        <f t="shared" ca="1" si="31"/>
        <v>16.335693988369229</v>
      </c>
      <c r="AD82" s="24">
        <f t="shared" ca="1" si="31"/>
        <v>16.592804782899904</v>
      </c>
      <c r="AE82" s="24">
        <f t="shared" ca="1" si="31"/>
        <v>16.834491364984629</v>
      </c>
      <c r="AF82" s="24">
        <f t="shared" ca="1" si="31"/>
        <v>17.086398929772653</v>
      </c>
      <c r="AG82" s="24">
        <f t="shared" ca="1" si="31"/>
        <v>17.318133494943833</v>
      </c>
      <c r="AH82" s="24">
        <f t="shared" ca="1" si="31"/>
        <v>17.528980587355782</v>
      </c>
      <c r="AI82" s="24">
        <f t="shared" ca="1" si="31"/>
        <v>17.758633445355528</v>
      </c>
      <c r="AJ82" s="24">
        <f t="shared" ca="1" si="31"/>
        <v>17.989496872123929</v>
      </c>
      <c r="AK82" s="24">
        <f t="shared" ca="1" si="31"/>
        <v>18.205759905880186</v>
      </c>
      <c r="AL82" s="24">
        <f t="shared" ca="1" si="31"/>
        <v>18.415037311158567</v>
      </c>
      <c r="AM82" s="24">
        <f t="shared" ca="1" si="31"/>
        <v>19.424069754460099</v>
      </c>
      <c r="AN82" s="24">
        <f t="shared" ca="1" si="31"/>
        <v>20.316612717356925</v>
      </c>
      <c r="AO82" s="24">
        <f t="shared" ca="1" si="31"/>
        <v>20.316612717356925</v>
      </c>
      <c r="AP82" s="24">
        <f t="shared" ca="1" si="31"/>
        <v>20.316612717356925</v>
      </c>
      <c r="BB82" s="313">
        <v>2</v>
      </c>
    </row>
    <row r="83" spans="1:54">
      <c r="A83" s="313" t="s">
        <v>16</v>
      </c>
      <c r="B83" s="228"/>
      <c r="D83" s="186" t="str">
        <f>D123</f>
        <v>RHEH</v>
      </c>
      <c r="H83" s="313" t="s">
        <v>648</v>
      </c>
      <c r="J83" s="42">
        <f t="shared" ref="J83:O83" si="32">J123</f>
        <v>7.0843020492948998</v>
      </c>
      <c r="K83" s="42">
        <f t="shared" si="32"/>
        <v>7.2331507185231221</v>
      </c>
      <c r="L83" s="42">
        <f t="shared" si="32"/>
        <v>7.3819993877513435</v>
      </c>
      <c r="M83" s="42">
        <f t="shared" si="32"/>
        <v>7.5308480569795657</v>
      </c>
      <c r="N83" s="42">
        <f t="shared" si="32"/>
        <v>7.6796967262077871</v>
      </c>
      <c r="O83" s="42">
        <f t="shared" si="32"/>
        <v>7.8285453954360094</v>
      </c>
      <c r="P83" s="24">
        <f t="shared" ref="P83:AP83" ca="1" si="33">OFFSET(P$33,$BB83,$J$96)/OFFSET(O$33,$BB83,$J$96)*O83</f>
        <v>8.1179448012939073</v>
      </c>
      <c r="Q83" s="24">
        <f t="shared" ca="1" si="33"/>
        <v>8.2379928360979573</v>
      </c>
      <c r="R83" s="24">
        <f t="shared" ca="1" si="33"/>
        <v>7.0526785445469491</v>
      </c>
      <c r="S83" s="24">
        <f t="shared" ca="1" si="33"/>
        <v>7.2374045981301922</v>
      </c>
      <c r="T83" s="24">
        <f t="shared" ca="1" si="33"/>
        <v>7.4970062223994436</v>
      </c>
      <c r="U83" s="24">
        <f t="shared" ca="1" si="33"/>
        <v>7.7909709930795437</v>
      </c>
      <c r="V83" s="24">
        <f t="shared" ca="1" si="33"/>
        <v>8.1131872385210517</v>
      </c>
      <c r="W83" s="24">
        <f t="shared" ca="1" si="33"/>
        <v>8.4182508710871939</v>
      </c>
      <c r="X83" s="24">
        <f t="shared" ca="1" si="33"/>
        <v>8.783395113111764</v>
      </c>
      <c r="Y83" s="24">
        <f t="shared" ca="1" si="33"/>
        <v>9.1463771976324608</v>
      </c>
      <c r="Z83" s="24">
        <f t="shared" ca="1" si="33"/>
        <v>9.506072885434385</v>
      </c>
      <c r="AA83" s="24">
        <f t="shared" ca="1" si="33"/>
        <v>9.8354175344441686</v>
      </c>
      <c r="AB83" s="24">
        <f t="shared" ca="1" si="33"/>
        <v>10.070219714689349</v>
      </c>
      <c r="AC83" s="24">
        <f t="shared" ca="1" si="33"/>
        <v>10.400559163438063</v>
      </c>
      <c r="AD83" s="24">
        <f t="shared" ca="1" si="33"/>
        <v>10.722448618085338</v>
      </c>
      <c r="AE83" s="24">
        <f t="shared" ca="1" si="33"/>
        <v>11.045069520875037</v>
      </c>
      <c r="AF83" s="24">
        <f t="shared" ca="1" si="33"/>
        <v>11.332539299515073</v>
      </c>
      <c r="AG83" s="24">
        <f t="shared" ca="1" si="33"/>
        <v>11.615751433267608</v>
      </c>
      <c r="AH83" s="24">
        <f t="shared" ca="1" si="33"/>
        <v>11.93542217670144</v>
      </c>
      <c r="AI83" s="24">
        <f t="shared" ca="1" si="33"/>
        <v>12.254238189640212</v>
      </c>
      <c r="AJ83" s="24">
        <f t="shared" ca="1" si="33"/>
        <v>12.552833963678131</v>
      </c>
      <c r="AK83" s="24">
        <f t="shared" ca="1" si="33"/>
        <v>12.850805361937539</v>
      </c>
      <c r="AL83" s="24">
        <f t="shared" ca="1" si="33"/>
        <v>13.156215945148309</v>
      </c>
      <c r="AM83" s="24">
        <f t="shared" ca="1" si="33"/>
        <v>14.776867800480296</v>
      </c>
      <c r="AN83" s="24">
        <f t="shared" ca="1" si="33"/>
        <v>16.207387613157479</v>
      </c>
      <c r="AO83" s="24">
        <f t="shared" ca="1" si="33"/>
        <v>16.207387613157479</v>
      </c>
      <c r="AP83" s="24">
        <f t="shared" ca="1" si="33"/>
        <v>16.207387613157479</v>
      </c>
      <c r="BB83" s="313">
        <v>3</v>
      </c>
    </row>
    <row r="84" spans="1:54">
      <c r="A84" s="313" t="s">
        <v>16</v>
      </c>
      <c r="B84" s="228"/>
      <c r="D84" s="186" t="s">
        <v>377</v>
      </c>
      <c r="J84" s="42">
        <f t="shared" ref="J84:O84" si="34">J117</f>
        <v>5.817816552719238</v>
      </c>
      <c r="K84" s="42">
        <f t="shared" si="34"/>
        <v>6.4300655380120677</v>
      </c>
      <c r="L84" s="42">
        <f t="shared" si="34"/>
        <v>7.0423145233048983</v>
      </c>
      <c r="M84" s="42">
        <f t="shared" si="34"/>
        <v>7.6545635085977279</v>
      </c>
      <c r="N84" s="42">
        <f t="shared" si="34"/>
        <v>8.2668124938905585</v>
      </c>
      <c r="O84" s="42">
        <f t="shared" si="34"/>
        <v>8.8790614791833882</v>
      </c>
      <c r="P84" s="24">
        <f t="shared" ref="P84:AP84" ca="1" si="35">OFFSET(P$33,$BB117,$J$96)/OFFSET(O$33,$BB117,$J$96)*O84</f>
        <v>9.118631104657533</v>
      </c>
      <c r="Q84" s="24">
        <f t="shared" ca="1" si="35"/>
        <v>9.3650554328618139</v>
      </c>
      <c r="R84" s="24">
        <f t="shared" ca="1" si="35"/>
        <v>9.8414952238715401</v>
      </c>
      <c r="S84" s="24">
        <f t="shared" ca="1" si="35"/>
        <v>9.4150665098668522</v>
      </c>
      <c r="T84" s="24">
        <f t="shared" ca="1" si="35"/>
        <v>9.5913103378034315</v>
      </c>
      <c r="U84" s="24">
        <f t="shared" ca="1" si="35"/>
        <v>9.7532481859641305</v>
      </c>
      <c r="V84" s="24">
        <f t="shared" ca="1" si="35"/>
        <v>9.9262519190931862</v>
      </c>
      <c r="W84" s="24">
        <f t="shared" ca="1" si="35"/>
        <v>10.110640487537994</v>
      </c>
      <c r="X84" s="24">
        <f t="shared" ca="1" si="35"/>
        <v>10.266173580906708</v>
      </c>
      <c r="Y84" s="24">
        <f t="shared" ca="1" si="35"/>
        <v>10.451347745692829</v>
      </c>
      <c r="Z84" s="24">
        <f t="shared" ca="1" si="35"/>
        <v>10.633048960223315</v>
      </c>
      <c r="AA84" s="24">
        <f t="shared" ca="1" si="35"/>
        <v>10.816708937613548</v>
      </c>
      <c r="AB84" s="24">
        <f t="shared" ca="1" si="35"/>
        <v>11.011875210116658</v>
      </c>
      <c r="AC84" s="24">
        <f t="shared" ca="1" si="35"/>
        <v>11.137924412685967</v>
      </c>
      <c r="AD84" s="24">
        <f t="shared" ca="1" si="35"/>
        <v>11.313226459676269</v>
      </c>
      <c r="AE84" s="24">
        <f t="shared" ca="1" si="35"/>
        <v>11.478012044221172</v>
      </c>
      <c r="AF84" s="24">
        <f t="shared" ca="1" si="35"/>
        <v>11.649766450100129</v>
      </c>
      <c r="AG84" s="24">
        <f t="shared" ca="1" si="35"/>
        <v>11.807766598273872</v>
      </c>
      <c r="AH84" s="24">
        <f t="shared" ca="1" si="35"/>
        <v>11.951525350096166</v>
      </c>
      <c r="AI84" s="24">
        <f t="shared" ca="1" si="35"/>
        <v>12.108106158684992</v>
      </c>
      <c r="AJ84" s="24">
        <f t="shared" ca="1" si="35"/>
        <v>12.265512351457144</v>
      </c>
      <c r="AK84" s="24">
        <f t="shared" ca="1" si="35"/>
        <v>12.412963774393342</v>
      </c>
      <c r="AL84" s="24">
        <f t="shared" ca="1" si="35"/>
        <v>12.555652289673638</v>
      </c>
      <c r="AM84" s="24">
        <f t="shared" ca="1" si="35"/>
        <v>13.243625943651361</v>
      </c>
      <c r="AN84" s="24">
        <f t="shared" ca="1" si="35"/>
        <v>13.85217529961368</v>
      </c>
      <c r="AO84" s="24">
        <f t="shared" ca="1" si="35"/>
        <v>13.85217529961368</v>
      </c>
      <c r="AP84" s="24">
        <f t="shared" ca="1" si="35"/>
        <v>13.85217529961368</v>
      </c>
      <c r="BB84" s="313">
        <v>4</v>
      </c>
    </row>
    <row r="85" spans="1:54">
      <c r="A85" s="313" t="s">
        <v>16</v>
      </c>
      <c r="B85" s="228"/>
      <c r="D85" s="186" t="s">
        <v>365</v>
      </c>
      <c r="J85" s="42">
        <f t="shared" ref="J85:O85" si="36">J127</f>
        <v>11.690422995158354</v>
      </c>
      <c r="K85" s="42">
        <f t="shared" si="36"/>
        <v>12.004282116591277</v>
      </c>
      <c r="L85" s="42">
        <f t="shared" si="36"/>
        <v>12.3181412380242</v>
      </c>
      <c r="M85" s="42">
        <f t="shared" si="36"/>
        <v>12.632000359457125</v>
      </c>
      <c r="N85" s="42">
        <f t="shared" si="36"/>
        <v>12.945859480890048</v>
      </c>
      <c r="O85" s="42">
        <f t="shared" si="36"/>
        <v>13.259718602322971</v>
      </c>
      <c r="P85" s="24">
        <f t="shared" ref="P85:AP85" ca="1" si="37">OFFSET(P$33,$BB127,$J$96)/OFFSET(O$33,$BB127,$J$96)*O85</f>
        <v>13.749893276099831</v>
      </c>
      <c r="Q85" s="24">
        <f t="shared" ca="1" si="37"/>
        <v>13.953226472735771</v>
      </c>
      <c r="R85" s="24">
        <f t="shared" ca="1" si="37"/>
        <v>11.945582246716331</v>
      </c>
      <c r="S85" s="24">
        <f t="shared" ca="1" si="37"/>
        <v>12.258464827745934</v>
      </c>
      <c r="T85" s="24">
        <f t="shared" ca="1" si="37"/>
        <v>12.698169052814752</v>
      </c>
      <c r="U85" s="24">
        <f t="shared" ca="1" si="37"/>
        <v>13.19607638314549</v>
      </c>
      <c r="V85" s="24">
        <f t="shared" ca="1" si="37"/>
        <v>13.741835081324881</v>
      </c>
      <c r="W85" s="24">
        <f t="shared" ca="1" si="37"/>
        <v>14.258541278875674</v>
      </c>
      <c r="X85" s="24">
        <f t="shared" ca="1" si="37"/>
        <v>14.877009928406276</v>
      </c>
      <c r="Y85" s="24">
        <f t="shared" ca="1" si="37"/>
        <v>15.491816390566541</v>
      </c>
      <c r="Z85" s="24">
        <f t="shared" ca="1" si="37"/>
        <v>16.101056467976463</v>
      </c>
      <c r="AA85" s="24">
        <f t="shared" ca="1" si="37"/>
        <v>16.658889008820704</v>
      </c>
      <c r="AB85" s="24">
        <f t="shared" ca="1" si="37"/>
        <v>17.056588795945668</v>
      </c>
      <c r="AC85" s="24">
        <f t="shared" ca="1" si="37"/>
        <v>17.616106294076044</v>
      </c>
      <c r="AD85" s="24">
        <f t="shared" ca="1" si="37"/>
        <v>18.161311485345212</v>
      </c>
      <c r="AE85" s="24">
        <f t="shared" ca="1" si="37"/>
        <v>18.707755578102567</v>
      </c>
      <c r="AF85" s="24">
        <f t="shared" ca="1" si="37"/>
        <v>19.19466191624058</v>
      </c>
      <c r="AG85" s="24">
        <f t="shared" ca="1" si="37"/>
        <v>19.674356803174671</v>
      </c>
      <c r="AH85" s="24">
        <f t="shared" ca="1" si="37"/>
        <v>20.215804018362203</v>
      </c>
      <c r="AI85" s="24">
        <f t="shared" ca="1" si="37"/>
        <v>20.755803520689575</v>
      </c>
      <c r="AJ85" s="24">
        <f t="shared" ca="1" si="37"/>
        <v>21.261554683848679</v>
      </c>
      <c r="AK85" s="24">
        <f t="shared" ca="1" si="37"/>
        <v>21.766248300975032</v>
      </c>
      <c r="AL85" s="24">
        <f t="shared" ca="1" si="37"/>
        <v>22.283542151491257</v>
      </c>
      <c r="AM85" s="24">
        <f t="shared" ca="1" si="37"/>
        <v>25.028546040280478</v>
      </c>
      <c r="AN85" s="24">
        <f t="shared" ca="1" si="37"/>
        <v>27.45151087129565</v>
      </c>
      <c r="AO85" s="24">
        <f t="shared" ca="1" si="37"/>
        <v>27.45151087129565</v>
      </c>
      <c r="AP85" s="24">
        <f t="shared" ca="1" si="37"/>
        <v>27.45151087129565</v>
      </c>
      <c r="BB85" s="313">
        <v>5</v>
      </c>
    </row>
    <row r="86" spans="1:54">
      <c r="A86" s="313" t="s">
        <v>16</v>
      </c>
      <c r="B86" s="228"/>
      <c r="D86" s="186"/>
      <c r="J86" s="186"/>
      <c r="K86" s="186"/>
      <c r="L86" s="186"/>
      <c r="M86" s="186"/>
      <c r="N86" s="186"/>
      <c r="O86" s="186"/>
      <c r="P86" s="24"/>
      <c r="Q86" s="24"/>
      <c r="R86" s="24"/>
      <c r="S86" s="24"/>
      <c r="T86" s="24"/>
      <c r="U86" s="24"/>
      <c r="V86" s="24"/>
      <c r="W86" s="24"/>
      <c r="X86" s="24"/>
      <c r="Y86" s="24"/>
      <c r="Z86" s="24"/>
      <c r="AA86" s="24"/>
      <c r="AB86" s="24"/>
      <c r="AC86" s="24"/>
      <c r="AD86" s="24"/>
      <c r="AE86" s="24"/>
      <c r="AF86" s="24"/>
      <c r="AG86" s="24"/>
      <c r="AH86" s="24"/>
      <c r="AI86" s="24"/>
      <c r="AJ86" s="24"/>
      <c r="AK86" s="24"/>
      <c r="AL86" s="24"/>
      <c r="AM86" s="24"/>
      <c r="AN86" s="24"/>
      <c r="AO86" s="24"/>
      <c r="AP86" s="24"/>
    </row>
    <row r="87" spans="1:54">
      <c r="A87" s="313" t="s">
        <v>16</v>
      </c>
      <c r="B87" s="228"/>
      <c r="D87" s="186"/>
      <c r="J87" s="186"/>
      <c r="K87" s="186"/>
      <c r="L87" s="186"/>
      <c r="M87" s="186"/>
      <c r="N87" s="186"/>
      <c r="O87" s="186"/>
      <c r="P87" s="24"/>
      <c r="Q87" s="24"/>
      <c r="R87" s="24"/>
      <c r="S87" s="24"/>
      <c r="T87" s="24"/>
      <c r="U87" s="24"/>
      <c r="V87" s="24"/>
      <c r="W87" s="24"/>
      <c r="X87" s="24"/>
      <c r="Y87" s="24"/>
      <c r="Z87" s="24"/>
      <c r="AA87" s="24"/>
      <c r="AB87" s="24"/>
      <c r="AC87" s="24"/>
      <c r="AD87" s="24"/>
      <c r="AE87" s="24"/>
      <c r="AF87" s="24"/>
      <c r="AG87" s="24"/>
      <c r="AH87" s="24"/>
      <c r="AI87" s="24"/>
      <c r="AJ87" s="24"/>
      <c r="AK87" s="24"/>
      <c r="AL87" s="24"/>
      <c r="AM87" s="24"/>
      <c r="AN87" s="24"/>
      <c r="AO87" s="24"/>
      <c r="AP87" s="24"/>
    </row>
    <row r="88" spans="1:54">
      <c r="A88" s="313" t="s">
        <v>16</v>
      </c>
      <c r="B88" s="228"/>
      <c r="J88" s="313"/>
      <c r="AR88" s="313" t="s">
        <v>655</v>
      </c>
    </row>
    <row r="89" spans="1:54">
      <c r="A89" s="313" t="s">
        <v>16</v>
      </c>
      <c r="B89" s="228"/>
      <c r="C89" s="313" t="s">
        <v>656</v>
      </c>
      <c r="D89" s="186" t="str">
        <f>D81</f>
        <v>RLEH</v>
      </c>
      <c r="J89" s="42">
        <f t="shared" ref="J89:O93" si="38">J81</f>
        <v>14.6766565883431</v>
      </c>
      <c r="K89" s="42">
        <f t="shared" si="38"/>
        <v>14.06071286343999</v>
      </c>
      <c r="L89" s="42">
        <f t="shared" si="38"/>
        <v>13.444769138536881</v>
      </c>
      <c r="M89" s="42">
        <f t="shared" si="38"/>
        <v>12.828825413633773</v>
      </c>
      <c r="N89" s="42">
        <f t="shared" si="38"/>
        <v>12.212881688730663</v>
      </c>
      <c r="O89" s="42">
        <f t="shared" si="38"/>
        <v>11.596937963827553</v>
      </c>
      <c r="P89" s="186">
        <f t="shared" ref="P89:AP89" ca="1" si="39">(($M$81*(1-P$75))+((P81-$M$81)*(1-P$76)))</f>
        <v>11.574729540883233</v>
      </c>
      <c r="Q89" s="186">
        <f t="shared" ca="1" si="39"/>
        <v>11.683096844035036</v>
      </c>
      <c r="R89" s="186">
        <f t="shared" ca="1" si="39"/>
        <v>12.156583663250711</v>
      </c>
      <c r="S89" s="186">
        <f t="shared" ca="1" si="39"/>
        <v>12.923452839500465</v>
      </c>
      <c r="T89" s="186">
        <f t="shared" ca="1" si="39"/>
        <v>12.640423056626386</v>
      </c>
      <c r="U89" s="186">
        <f t="shared" ca="1" si="39"/>
        <v>12.32519682275791</v>
      </c>
      <c r="V89" s="186">
        <f t="shared" ca="1" si="39"/>
        <v>11.978033596572612</v>
      </c>
      <c r="W89" s="186">
        <f t="shared" ca="1" si="39"/>
        <v>11.632026211374441</v>
      </c>
      <c r="X89" s="186">
        <f t="shared" ca="1" si="39"/>
        <v>11.266233036256491</v>
      </c>
      <c r="Y89" s="186">
        <f t="shared" ca="1" si="39"/>
        <v>10.878670411364521</v>
      </c>
      <c r="Z89" s="186">
        <f t="shared" ca="1" si="39"/>
        <v>10.496279798246018</v>
      </c>
      <c r="AA89" s="186">
        <f t="shared" ca="1" si="39"/>
        <v>10.133717916049967</v>
      </c>
      <c r="AB89" s="186">
        <f t="shared" ca="1" si="39"/>
        <v>9.8224946587640627</v>
      </c>
      <c r="AC89" s="186">
        <f t="shared" ca="1" si="39"/>
        <v>9.7444044121750668</v>
      </c>
      <c r="AD89" s="186">
        <f t="shared" ca="1" si="39"/>
        <v>9.6323123143955769</v>
      </c>
      <c r="AE89" s="186">
        <f t="shared" ca="1" si="39"/>
        <v>9.5226784864756393</v>
      </c>
      <c r="AF89" s="186">
        <f t="shared" ca="1" si="39"/>
        <v>9.4255122297212779</v>
      </c>
      <c r="AG89" s="186">
        <f t="shared" ca="1" si="39"/>
        <v>9.3363599166902276</v>
      </c>
      <c r="AH89" s="186">
        <f t="shared" ca="1" si="39"/>
        <v>9.2304354211540769</v>
      </c>
      <c r="AI89" s="186">
        <f t="shared" ca="1" si="39"/>
        <v>9.1113910383278576</v>
      </c>
      <c r="AJ89" s="186">
        <f t="shared" ca="1" si="39"/>
        <v>8.9994703581349231</v>
      </c>
      <c r="AK89" s="186">
        <f t="shared" ca="1" si="39"/>
        <v>8.8906595780443567</v>
      </c>
      <c r="AL89" s="186">
        <f t="shared" ca="1" si="39"/>
        <v>8.7762274848475332</v>
      </c>
      <c r="AM89" s="186">
        <f t="shared" ca="1" si="39"/>
        <v>8.0946518993648944</v>
      </c>
      <c r="AN89" s="186">
        <f ca="1">(($M$81*(1-AN$75))+((AN81-$M$81)*(1-AN$76)))</f>
        <v>7.4605191009884866</v>
      </c>
      <c r="AO89" s="186">
        <f t="shared" ca="1" si="39"/>
        <v>7.4605191009884866</v>
      </c>
      <c r="AP89" s="186">
        <f t="shared" ca="1" si="39"/>
        <v>7.4605191009884866</v>
      </c>
      <c r="AR89" s="186">
        <v>5.6509347274363675</v>
      </c>
    </row>
    <row r="90" spans="1:54">
      <c r="A90" s="313" t="s">
        <v>16</v>
      </c>
      <c r="B90" s="228"/>
      <c r="D90" s="186" t="str">
        <f>D82</f>
        <v>RMEH</v>
      </c>
      <c r="J90" s="42">
        <f t="shared" si="38"/>
        <v>13.162661948752438</v>
      </c>
      <c r="K90" s="42">
        <f t="shared" si="38"/>
        <v>13.134665662024011</v>
      </c>
      <c r="L90" s="42">
        <f t="shared" si="38"/>
        <v>13.106669375295583</v>
      </c>
      <c r="M90" s="42">
        <f t="shared" si="38"/>
        <v>13.078673088567156</v>
      </c>
      <c r="N90" s="42">
        <f t="shared" si="38"/>
        <v>13.050676801838728</v>
      </c>
      <c r="O90" s="42">
        <f t="shared" si="38"/>
        <v>13.0226805151103</v>
      </c>
      <c r="P90" s="186">
        <f t="shared" ref="P90:AP90" ca="1" si="40">(($M$82*(1-P$75))+((P82-$M$82)*(1-P$76)))</f>
        <v>13.374050837411678</v>
      </c>
      <c r="Q90" s="186">
        <f t="shared" ca="1" si="40"/>
        <v>13.735474767731189</v>
      </c>
      <c r="R90" s="186">
        <f t="shared" ca="1" si="40"/>
        <v>14.434256187090865</v>
      </c>
      <c r="S90" s="186">
        <f t="shared" ca="1" si="40"/>
        <v>13.532648175089705</v>
      </c>
      <c r="T90" s="186">
        <f t="shared" ca="1" si="40"/>
        <v>13.504624077847605</v>
      </c>
      <c r="U90" s="186">
        <f t="shared" ca="1" si="40"/>
        <v>13.446537033635579</v>
      </c>
      <c r="V90" s="186">
        <f t="shared" ca="1" si="40"/>
        <v>13.393881226892978</v>
      </c>
      <c r="W90" s="186">
        <f t="shared" ca="1" si="40"/>
        <v>13.346103871781082</v>
      </c>
      <c r="X90" s="186">
        <f t="shared" ca="1" si="40"/>
        <v>13.250266043750443</v>
      </c>
      <c r="Y90" s="186">
        <f t="shared" ca="1" si="40"/>
        <v>13.182691002722335</v>
      </c>
      <c r="Z90" s="186">
        <f t="shared" ca="1" si="40"/>
        <v>13.09997366968669</v>
      </c>
      <c r="AA90" s="186">
        <f t="shared" ca="1" si="40"/>
        <v>13.008952234509854</v>
      </c>
      <c r="AB90" s="186">
        <f t="shared" ca="1" si="40"/>
        <v>12.92065681219284</v>
      </c>
      <c r="AC90" s="186">
        <f t="shared" ca="1" si="40"/>
        <v>13.068555190695385</v>
      </c>
      <c r="AD90" s="186">
        <f t="shared" ca="1" si="40"/>
        <v>13.274243826319925</v>
      </c>
      <c r="AE90" s="186">
        <f t="shared" ca="1" si="40"/>
        <v>13.467593091987704</v>
      </c>
      <c r="AF90" s="186">
        <f t="shared" ca="1" si="40"/>
        <v>13.669119143818122</v>
      </c>
      <c r="AG90" s="186">
        <f t="shared" ca="1" si="40"/>
        <v>13.854506795955068</v>
      </c>
      <c r="AH90" s="186">
        <f t="shared" ca="1" si="40"/>
        <v>14.023184469884626</v>
      </c>
      <c r="AI90" s="186">
        <f t="shared" ca="1" si="40"/>
        <v>14.206906756284424</v>
      </c>
      <c r="AJ90" s="186">
        <f t="shared" ca="1" si="40"/>
        <v>14.391597497699145</v>
      </c>
      <c r="AK90" s="186">
        <f t="shared" ca="1" si="40"/>
        <v>14.564607924704148</v>
      </c>
      <c r="AL90" s="186">
        <f t="shared" ca="1" si="40"/>
        <v>14.732029848926855</v>
      </c>
      <c r="AM90" s="186">
        <f t="shared" ca="1" si="40"/>
        <v>15.53925580356808</v>
      </c>
      <c r="AN90" s="186">
        <f t="shared" ca="1" si="40"/>
        <v>16.253290173885542</v>
      </c>
      <c r="AO90" s="186">
        <f t="shared" ca="1" si="40"/>
        <v>16.253290173885542</v>
      </c>
      <c r="AP90" s="186">
        <f t="shared" ca="1" si="40"/>
        <v>16.253290173885542</v>
      </c>
      <c r="AR90" s="186">
        <v>15.965795038638294</v>
      </c>
    </row>
    <row r="91" spans="1:54">
      <c r="A91" s="313" t="s">
        <v>16</v>
      </c>
      <c r="B91" s="228"/>
      <c r="D91" s="186" t="str">
        <f>D83</f>
        <v>RHEH</v>
      </c>
      <c r="J91" s="42">
        <f t="shared" si="38"/>
        <v>7.0843020492948998</v>
      </c>
      <c r="K91" s="42">
        <f t="shared" si="38"/>
        <v>7.2331507185231221</v>
      </c>
      <c r="L91" s="42">
        <f t="shared" si="38"/>
        <v>7.3819993877513435</v>
      </c>
      <c r="M91" s="42">
        <f t="shared" si="38"/>
        <v>7.5308480569795657</v>
      </c>
      <c r="N91" s="42">
        <f t="shared" si="38"/>
        <v>7.6796967262077871</v>
      </c>
      <c r="O91" s="42">
        <f t="shared" si="38"/>
        <v>7.8285453954360094</v>
      </c>
      <c r="P91" s="186">
        <f t="shared" ref="P91:AP91" ca="1" si="41">(($M$83*(1-P$75))+((P83-$M$83)*(1-P$76)))</f>
        <v>8.1179448012939073</v>
      </c>
      <c r="Q91" s="186">
        <f t="shared" ca="1" si="41"/>
        <v>8.2379928360979573</v>
      </c>
      <c r="R91" s="186">
        <f t="shared" ca="1" si="41"/>
        <v>7.0526785445469491</v>
      </c>
      <c r="S91" s="186">
        <f t="shared" ca="1" si="41"/>
        <v>7.0926565061675886</v>
      </c>
      <c r="T91" s="186">
        <f t="shared" ca="1" si="41"/>
        <v>7.1971259735034661</v>
      </c>
      <c r="U91" s="186">
        <f t="shared" ca="1" si="41"/>
        <v>7.3235127334947707</v>
      </c>
      <c r="V91" s="186">
        <f t="shared" ca="1" si="41"/>
        <v>7.4641322594393671</v>
      </c>
      <c r="W91" s="186">
        <f t="shared" ca="1" si="41"/>
        <v>7.5764257839784745</v>
      </c>
      <c r="X91" s="186">
        <f t="shared" ca="1" si="41"/>
        <v>7.7293876995383517</v>
      </c>
      <c r="Y91" s="186">
        <f t="shared" ca="1" si="41"/>
        <v>7.8658843899639166</v>
      </c>
      <c r="Z91" s="186">
        <f t="shared" ca="1" si="41"/>
        <v>7.9851012237648833</v>
      </c>
      <c r="AA91" s="186">
        <f t="shared" ca="1" si="41"/>
        <v>8.0650423782442182</v>
      </c>
      <c r="AB91" s="186">
        <f t="shared" ca="1" si="41"/>
        <v>8.0561757717514801</v>
      </c>
      <c r="AC91" s="186">
        <f t="shared" ca="1" si="41"/>
        <v>8.3204473307504507</v>
      </c>
      <c r="AD91" s="186">
        <f t="shared" ca="1" si="41"/>
        <v>8.5779588944682708</v>
      </c>
      <c r="AE91" s="186">
        <f t="shared" ca="1" si="41"/>
        <v>8.8360556167000297</v>
      </c>
      <c r="AF91" s="186">
        <f t="shared" ca="1" si="41"/>
        <v>9.0660314396120594</v>
      </c>
      <c r="AG91" s="186">
        <f t="shared" ca="1" si="41"/>
        <v>9.2926011466140874</v>
      </c>
      <c r="AH91" s="186">
        <f t="shared" ca="1" si="41"/>
        <v>9.5483377413611521</v>
      </c>
      <c r="AI91" s="186">
        <f t="shared" ca="1" si="41"/>
        <v>9.8033905517121696</v>
      </c>
      <c r="AJ91" s="186">
        <f t="shared" ca="1" si="41"/>
        <v>10.042267170942505</v>
      </c>
      <c r="AK91" s="186">
        <f t="shared" ca="1" si="41"/>
        <v>10.280644289550033</v>
      </c>
      <c r="AL91" s="186">
        <f t="shared" ca="1" si="41"/>
        <v>10.524972756118649</v>
      </c>
      <c r="AM91" s="186">
        <f t="shared" ca="1" si="41"/>
        <v>11.821494240384238</v>
      </c>
      <c r="AN91" s="186">
        <f t="shared" ca="1" si="41"/>
        <v>12.965910090525984</v>
      </c>
      <c r="AO91" s="186">
        <f t="shared" ca="1" si="41"/>
        <v>12.965910090525984</v>
      </c>
      <c r="AP91" s="186">
        <f t="shared" ca="1" si="41"/>
        <v>12.965910090525984</v>
      </c>
      <c r="AR91" s="186">
        <v>15.624866478724483</v>
      </c>
    </row>
    <row r="92" spans="1:54">
      <c r="A92" s="313" t="s">
        <v>16</v>
      </c>
      <c r="B92" s="228"/>
      <c r="D92" s="186" t="str">
        <f>D84</f>
        <v>RMEO</v>
      </c>
      <c r="I92" s="313">
        <v>0.1</v>
      </c>
      <c r="J92" s="42">
        <f t="shared" si="38"/>
        <v>5.817816552719238</v>
      </c>
      <c r="K92" s="42">
        <f t="shared" si="38"/>
        <v>6.4300655380120677</v>
      </c>
      <c r="L92" s="42">
        <f t="shared" si="38"/>
        <v>7.0423145233048983</v>
      </c>
      <c r="M92" s="42">
        <f t="shared" si="38"/>
        <v>7.6545635085977279</v>
      </c>
      <c r="N92" s="42">
        <f t="shared" si="38"/>
        <v>8.2668124938905585</v>
      </c>
      <c r="O92" s="42">
        <f t="shared" si="38"/>
        <v>8.8790614791833882</v>
      </c>
      <c r="P92" s="186">
        <f ca="1">OFFSET(P$33,$BB117,$J$96)/OFFSET(O$33,$BB117,$J$96)*O117</f>
        <v>9.118631104657533</v>
      </c>
      <c r="Q92" s="186">
        <f t="shared" ref="Q92:AP92" ca="1" si="42">(($M$84*(1-Q$75*$I$92))+((Q84-$M$84)*(1-Q$76*$I$92)))</f>
        <v>9.3650554328618139</v>
      </c>
      <c r="R92" s="186">
        <f t="shared" ca="1" si="42"/>
        <v>9.8414952238715401</v>
      </c>
      <c r="S92" s="186">
        <f t="shared" ca="1" si="42"/>
        <v>9.3962363768471189</v>
      </c>
      <c r="T92" s="186">
        <f t="shared" ca="1" si="42"/>
        <v>9.552945096452218</v>
      </c>
      <c r="U92" s="186">
        <f t="shared" ca="1" si="42"/>
        <v>9.6947286968483457</v>
      </c>
      <c r="V92" s="186">
        <f t="shared" ca="1" si="42"/>
        <v>9.8468419037404402</v>
      </c>
      <c r="W92" s="186">
        <f t="shared" ca="1" si="42"/>
        <v>10.009534082662615</v>
      </c>
      <c r="X92" s="186">
        <f t="shared" ca="1" si="42"/>
        <v>10.142979497935826</v>
      </c>
      <c r="Y92" s="186">
        <f t="shared" ca="1" si="42"/>
        <v>10.305028877253129</v>
      </c>
      <c r="Z92" s="186">
        <f t="shared" ca="1" si="42"/>
        <v>10.462920176859742</v>
      </c>
      <c r="AA92" s="186">
        <f t="shared" ca="1" si="42"/>
        <v>10.622008176736504</v>
      </c>
      <c r="AB92" s="186">
        <f t="shared" ca="1" si="42"/>
        <v>10.791637705914324</v>
      </c>
      <c r="AC92" s="186">
        <f t="shared" ca="1" si="42"/>
        <v>10.915165924432248</v>
      </c>
      <c r="AD92" s="186">
        <f t="shared" ca="1" si="42"/>
        <v>11.086961930482744</v>
      </c>
      <c r="AE92" s="186">
        <f t="shared" ca="1" si="42"/>
        <v>11.248451803336749</v>
      </c>
      <c r="AF92" s="186">
        <f t="shared" ca="1" si="42"/>
        <v>11.416771121098126</v>
      </c>
      <c r="AG92" s="186">
        <f t="shared" ca="1" si="42"/>
        <v>11.571611266308395</v>
      </c>
      <c r="AH92" s="186">
        <f t="shared" ca="1" si="42"/>
        <v>11.712494843094241</v>
      </c>
      <c r="AI92" s="186">
        <f t="shared" ca="1" si="42"/>
        <v>11.865944035511291</v>
      </c>
      <c r="AJ92" s="186">
        <f t="shared" ca="1" si="42"/>
        <v>12.020202104428</v>
      </c>
      <c r="AK92" s="186">
        <f t="shared" ca="1" si="42"/>
        <v>12.164704498905476</v>
      </c>
      <c r="AL92" s="186">
        <f t="shared" ca="1" si="42"/>
        <v>12.304539243880164</v>
      </c>
      <c r="AM92" s="186">
        <f t="shared" ca="1" si="42"/>
        <v>12.978753424778333</v>
      </c>
      <c r="AN92" s="186">
        <f t="shared" ca="1" si="42"/>
        <v>13.575131793621406</v>
      </c>
      <c r="AO92" s="186">
        <f t="shared" ca="1" si="42"/>
        <v>13.575131793621406</v>
      </c>
      <c r="AP92" s="186">
        <f t="shared" ca="1" si="42"/>
        <v>13.575131793621406</v>
      </c>
      <c r="AR92" s="186">
        <v>12.91511152465643</v>
      </c>
    </row>
    <row r="93" spans="1:54">
      <c r="A93" s="313" t="s">
        <v>16</v>
      </c>
      <c r="B93" s="228"/>
      <c r="D93" s="186" t="str">
        <f>D85</f>
        <v>RHEO</v>
      </c>
      <c r="I93" s="313">
        <v>0.1</v>
      </c>
      <c r="J93" s="42">
        <f t="shared" si="38"/>
        <v>11.690422995158354</v>
      </c>
      <c r="K93" s="42">
        <f t="shared" si="38"/>
        <v>12.004282116591277</v>
      </c>
      <c r="L93" s="42">
        <f t="shared" si="38"/>
        <v>12.3181412380242</v>
      </c>
      <c r="M93" s="42">
        <f t="shared" si="38"/>
        <v>12.632000359457125</v>
      </c>
      <c r="N93" s="42">
        <f t="shared" si="38"/>
        <v>12.945859480890048</v>
      </c>
      <c r="O93" s="42">
        <f t="shared" si="38"/>
        <v>13.259718602322971</v>
      </c>
      <c r="P93" s="186">
        <f ca="1">(($M$85*(1-P$75))+((P85-$M$85)*(1-P$76)))</f>
        <v>13.749893276099831</v>
      </c>
      <c r="Q93" s="186">
        <f t="shared" ref="Q93:AP93" ca="1" si="43">(($M$85*(1-Q$75*$I$93))+((Q85-$M$85)*(1-Q$76*$I$93)))</f>
        <v>13.953226472735771</v>
      </c>
      <c r="R93" s="186">
        <f t="shared" ca="1" si="43"/>
        <v>11.945582246716331</v>
      </c>
      <c r="S93" s="186">
        <f t="shared" ca="1" si="43"/>
        <v>12.233947898090442</v>
      </c>
      <c r="T93" s="186">
        <f t="shared" ca="1" si="43"/>
        <v>12.647376376603493</v>
      </c>
      <c r="U93" s="186">
        <f t="shared" ca="1" si="43"/>
        <v>13.116899924846617</v>
      </c>
      <c r="V93" s="186">
        <f t="shared" ca="1" si="43"/>
        <v>13.631900400674283</v>
      </c>
      <c r="W93" s="186">
        <f t="shared" ca="1" si="43"/>
        <v>14.115955866086917</v>
      </c>
      <c r="X93" s="186">
        <f t="shared" ca="1" si="43"/>
        <v>14.698485809265399</v>
      </c>
      <c r="Y93" s="186">
        <f t="shared" ca="1" si="43"/>
        <v>15.27493096109861</v>
      </c>
      <c r="Z93" s="186">
        <f t="shared" ca="1" si="43"/>
        <v>15.84343956448884</v>
      </c>
      <c r="AA93" s="186">
        <f t="shared" ca="1" si="43"/>
        <v>16.359029006661931</v>
      </c>
      <c r="AB93" s="186">
        <f t="shared" ca="1" si="43"/>
        <v>16.715457020026754</v>
      </c>
      <c r="AC93" s="186">
        <f t="shared" ca="1" si="43"/>
        <v>17.263784168194523</v>
      </c>
      <c r="AD93" s="186">
        <f t="shared" ca="1" si="43"/>
        <v>17.798085255638306</v>
      </c>
      <c r="AE93" s="186">
        <f t="shared" ca="1" si="43"/>
        <v>18.333600466540517</v>
      </c>
      <c r="AF93" s="186">
        <f t="shared" ca="1" si="43"/>
        <v>18.810768677915767</v>
      </c>
      <c r="AG93" s="186">
        <f t="shared" ca="1" si="43"/>
        <v>19.280869667111176</v>
      </c>
      <c r="AH93" s="186">
        <f t="shared" ca="1" si="43"/>
        <v>19.811487937994958</v>
      </c>
      <c r="AI93" s="186">
        <f t="shared" ca="1" si="43"/>
        <v>20.340687450275784</v>
      </c>
      <c r="AJ93" s="186">
        <f t="shared" ca="1" si="43"/>
        <v>20.836323590171705</v>
      </c>
      <c r="AK93" s="186">
        <f t="shared" ca="1" si="43"/>
        <v>21.330923334955529</v>
      </c>
      <c r="AL93" s="186">
        <f t="shared" ca="1" si="43"/>
        <v>21.83787130846143</v>
      </c>
      <c r="AM93" s="186">
        <f t="shared" ca="1" si="43"/>
        <v>24.527975119474867</v>
      </c>
      <c r="AN93" s="186">
        <f t="shared" ca="1" si="43"/>
        <v>26.902480653869738</v>
      </c>
      <c r="AO93" s="186">
        <f t="shared" ca="1" si="43"/>
        <v>26.902480653869738</v>
      </c>
      <c r="AP93" s="186">
        <f t="shared" ca="1" si="43"/>
        <v>26.902480653869738</v>
      </c>
      <c r="AR93" s="186">
        <v>32.227542399636981</v>
      </c>
    </row>
    <row r="94" spans="1:54">
      <c r="A94" s="313" t="s">
        <v>16</v>
      </c>
      <c r="B94" s="228"/>
      <c r="D94" s="186"/>
      <c r="J94" s="42"/>
      <c r="K94" s="186"/>
      <c r="L94" s="186"/>
      <c r="M94" s="186"/>
      <c r="N94" s="186"/>
      <c r="O94" s="186"/>
      <c r="P94" s="186"/>
      <c r="Q94" s="186"/>
      <c r="R94" s="186"/>
      <c r="S94" s="186"/>
      <c r="T94" s="186"/>
      <c r="U94" s="186"/>
      <c r="V94" s="186"/>
      <c r="W94" s="186"/>
      <c r="X94" s="186"/>
      <c r="Y94" s="186"/>
      <c r="Z94" s="186"/>
      <c r="AA94" s="186"/>
      <c r="AB94" s="186"/>
      <c r="AC94" s="186"/>
      <c r="AD94" s="186"/>
      <c r="AE94" s="186"/>
      <c r="AF94" s="186"/>
      <c r="AG94" s="186"/>
      <c r="AH94" s="186"/>
      <c r="AI94" s="186"/>
      <c r="AJ94" s="186"/>
      <c r="AK94" s="186"/>
      <c r="AL94" s="186"/>
      <c r="AM94" s="186"/>
      <c r="AN94" s="186"/>
      <c r="AO94" s="186"/>
      <c r="AP94" s="186"/>
    </row>
    <row r="95" spans="1:54">
      <c r="A95" s="313" t="s">
        <v>16</v>
      </c>
      <c r="B95" s="228"/>
      <c r="D95" s="186"/>
    </row>
    <row r="96" spans="1:54" ht="18" thickBot="1">
      <c r="A96" s="313" t="s">
        <v>16</v>
      </c>
      <c r="B96" s="228"/>
      <c r="C96" s="37" t="s">
        <v>154</v>
      </c>
      <c r="D96" s="14"/>
      <c r="I96" s="135" t="s">
        <v>445</v>
      </c>
      <c r="J96" s="40">
        <f>J97-J3</f>
        <v>0</v>
      </c>
    </row>
    <row r="97" spans="1:54" ht="24" thickTop="1">
      <c r="A97" s="313" t="s">
        <v>16</v>
      </c>
      <c r="B97" s="16" t="s">
        <v>18</v>
      </c>
      <c r="C97" s="16" t="s">
        <v>19</v>
      </c>
      <c r="D97" s="16" t="s">
        <v>20</v>
      </c>
      <c r="E97" s="16" t="s">
        <v>21</v>
      </c>
      <c r="F97" s="16" t="s">
        <v>22</v>
      </c>
      <c r="G97" s="16" t="s">
        <v>23</v>
      </c>
      <c r="H97" s="16" t="s">
        <v>24</v>
      </c>
      <c r="I97" s="17" t="s">
        <v>25</v>
      </c>
      <c r="J97" s="18">
        <f>'[5]TS BYDem'!J7</f>
        <v>2012</v>
      </c>
      <c r="K97" s="18">
        <v>2013</v>
      </c>
      <c r="L97" s="18">
        <f t="shared" ref="L97:AL97" si="44">1+K97</f>
        <v>2014</v>
      </c>
      <c r="M97" s="18">
        <f>1+L97</f>
        <v>2015</v>
      </c>
      <c r="N97" s="18">
        <f t="shared" si="44"/>
        <v>2016</v>
      </c>
      <c r="O97" s="18">
        <f t="shared" si="44"/>
        <v>2017</v>
      </c>
      <c r="P97" s="18">
        <f t="shared" si="44"/>
        <v>2018</v>
      </c>
      <c r="Q97" s="18">
        <f t="shared" si="44"/>
        <v>2019</v>
      </c>
      <c r="R97" s="18">
        <f t="shared" si="44"/>
        <v>2020</v>
      </c>
      <c r="S97" s="18">
        <f t="shared" si="44"/>
        <v>2021</v>
      </c>
      <c r="T97" s="18">
        <f t="shared" si="44"/>
        <v>2022</v>
      </c>
      <c r="U97" s="18">
        <f t="shared" si="44"/>
        <v>2023</v>
      </c>
      <c r="V97" s="18">
        <f t="shared" si="44"/>
        <v>2024</v>
      </c>
      <c r="W97" s="18">
        <f t="shared" si="44"/>
        <v>2025</v>
      </c>
      <c r="X97" s="18">
        <f t="shared" si="44"/>
        <v>2026</v>
      </c>
      <c r="Y97" s="18">
        <f t="shared" si="44"/>
        <v>2027</v>
      </c>
      <c r="Z97" s="18">
        <f t="shared" si="44"/>
        <v>2028</v>
      </c>
      <c r="AA97" s="18">
        <f t="shared" si="44"/>
        <v>2029</v>
      </c>
      <c r="AB97" s="18">
        <f t="shared" si="44"/>
        <v>2030</v>
      </c>
      <c r="AC97" s="18">
        <f t="shared" si="44"/>
        <v>2031</v>
      </c>
      <c r="AD97" s="18">
        <f t="shared" si="44"/>
        <v>2032</v>
      </c>
      <c r="AE97" s="18">
        <f t="shared" si="44"/>
        <v>2033</v>
      </c>
      <c r="AF97" s="18">
        <f t="shared" si="44"/>
        <v>2034</v>
      </c>
      <c r="AG97" s="18">
        <f t="shared" si="44"/>
        <v>2035</v>
      </c>
      <c r="AH97" s="18">
        <f t="shared" si="44"/>
        <v>2036</v>
      </c>
      <c r="AI97" s="18">
        <f t="shared" si="44"/>
        <v>2037</v>
      </c>
      <c r="AJ97" s="18">
        <f t="shared" si="44"/>
        <v>2038</v>
      </c>
      <c r="AK97" s="18">
        <f t="shared" si="44"/>
        <v>2039</v>
      </c>
      <c r="AL97" s="18">
        <f t="shared" si="44"/>
        <v>2040</v>
      </c>
      <c r="AM97" s="18">
        <f>5+AL97</f>
        <v>2045</v>
      </c>
      <c r="AN97" s="18">
        <f>5+AM97</f>
        <v>2050</v>
      </c>
      <c r="AO97" s="18">
        <f>10+AN97</f>
        <v>2060</v>
      </c>
      <c r="AP97" s="18">
        <f>10+AO97</f>
        <v>2070</v>
      </c>
      <c r="AQ97" s="18"/>
      <c r="AR97" s="18"/>
      <c r="AS97" s="18"/>
      <c r="AT97" s="18"/>
      <c r="AU97" s="18"/>
      <c r="AV97" s="18"/>
    </row>
    <row r="98" spans="1:54">
      <c r="A98" s="313" t="s">
        <v>16</v>
      </c>
      <c r="B98" s="16"/>
      <c r="C98" s="5" t="str">
        <f>C34</f>
        <v>Low Income Electrified</v>
      </c>
      <c r="D98" s="16"/>
      <c r="E98" s="16"/>
      <c r="F98" s="16"/>
      <c r="G98" s="16"/>
      <c r="H98" s="16"/>
      <c r="I98" s="17"/>
      <c r="J98" s="186"/>
    </row>
    <row r="99" spans="1:54">
      <c r="A99" s="22" t="str">
        <f>'[5]TS BYDem'!A10</f>
        <v/>
      </c>
      <c r="B99" s="22" t="str">
        <f>'[5]TS BYDem'!B10</f>
        <v>COM_PROJ</v>
      </c>
      <c r="C99" s="22" t="str">
        <f>'[5]TS BYDem'!C10</f>
        <v>-</v>
      </c>
      <c r="D99" s="22" t="str">
        <f>'[5]TS BYDem'!D10</f>
        <v>RLEL</v>
      </c>
      <c r="E99" s="111" t="str">
        <f>'[5]TS BYDem'!E10</f>
        <v>-</v>
      </c>
      <c r="F99" s="111" t="str">
        <f>'[5]TS BYDem'!F10</f>
        <v>-</v>
      </c>
      <c r="G99" s="111" t="str">
        <f>'[5]TS BYDem'!G10</f>
        <v>-</v>
      </c>
      <c r="H99" s="111" t="str">
        <f>'[5]TS BYDem'!H10</f>
        <v>-</v>
      </c>
      <c r="I99" s="111">
        <f>'[5]TS BYDem'!I10</f>
        <v>0</v>
      </c>
      <c r="J99" s="24">
        <f>'[5]TS BYDem'!J10</f>
        <v>10.675871970797223</v>
      </c>
      <c r="K99" s="24">
        <f t="shared" ref="K99:N128" si="45">($O99-$J99)*(K$97-$J$97)/($O$97-$J$97)+$J99</f>
        <v>12.571540561475462</v>
      </c>
      <c r="L99" s="24">
        <f t="shared" si="45"/>
        <v>14.467209152153703</v>
      </c>
      <c r="M99" s="24">
        <f t="shared" si="45"/>
        <v>16.362877742831945</v>
      </c>
      <c r="N99" s="24">
        <f t="shared" si="45"/>
        <v>18.258546333510182</v>
      </c>
      <c r="O99" s="24">
        <f>'[5]TS BYDem'!O10</f>
        <v>20.154214924188423</v>
      </c>
      <c r="P99" s="24">
        <f t="shared" ref="P99:AP99" ca="1" si="46">OFFSET(P$21,$BB99,$J$96)/OFFSET(O$21,$BB99,$J$96)*O99</f>
        <v>20.115619104279475</v>
      </c>
      <c r="Q99" s="24">
        <f t="shared" ca="1" si="46"/>
        <v>20.303949672683693</v>
      </c>
      <c r="R99" s="24">
        <f t="shared" ca="1" si="46"/>
        <v>21.126818187459595</v>
      </c>
      <c r="S99" s="24">
        <f t="shared" ca="1" si="46"/>
        <v>22.917911510773006</v>
      </c>
      <c r="T99" s="24">
        <f t="shared" ca="1" si="46"/>
        <v>22.882998279601509</v>
      </c>
      <c r="U99" s="24">
        <f t="shared" ca="1" si="46"/>
        <v>22.787073927250443</v>
      </c>
      <c r="V99" s="24">
        <f t="shared" ca="1" si="46"/>
        <v>22.626649588119761</v>
      </c>
      <c r="W99" s="24">
        <f t="shared" ca="1" si="46"/>
        <v>22.461327195838408</v>
      </c>
      <c r="X99" s="24">
        <f t="shared" ca="1" si="46"/>
        <v>22.249415663441727</v>
      </c>
      <c r="Y99" s="24">
        <f t="shared" ca="1" si="46"/>
        <v>21.983655998891244</v>
      </c>
      <c r="Z99" s="24">
        <f t="shared" ca="1" si="46"/>
        <v>21.715941580164461</v>
      </c>
      <c r="AA99" s="24">
        <f t="shared" ca="1" si="46"/>
        <v>21.477192524420889</v>
      </c>
      <c r="AB99" s="24">
        <f t="shared" ca="1" si="46"/>
        <v>21.338032188098133</v>
      </c>
      <c r="AC99" s="24">
        <f t="shared" ca="1" si="46"/>
        <v>21.168391760367712</v>
      </c>
      <c r="AD99" s="24">
        <f t="shared" ca="1" si="46"/>
        <v>20.924886940712135</v>
      </c>
      <c r="AE99" s="24">
        <f t="shared" ca="1" si="46"/>
        <v>20.686722377601608</v>
      </c>
      <c r="AF99" s="24">
        <f t="shared" ca="1" si="46"/>
        <v>20.475641915229289</v>
      </c>
      <c r="AG99" s="24">
        <f t="shared" ca="1" si="46"/>
        <v>20.281970654395099</v>
      </c>
      <c r="AH99" s="24">
        <f t="shared" ca="1" si="46"/>
        <v>20.05186411081538</v>
      </c>
      <c r="AI99" s="24">
        <f t="shared" ca="1" si="46"/>
        <v>19.793256398538166</v>
      </c>
      <c r="AJ99" s="24">
        <f t="shared" ca="1" si="46"/>
        <v>19.550123960248687</v>
      </c>
      <c r="AK99" s="24">
        <f t="shared" ca="1" si="46"/>
        <v>19.313747356478999</v>
      </c>
      <c r="AL99" s="24">
        <f t="shared" ca="1" si="46"/>
        <v>19.065159215399518</v>
      </c>
      <c r="AM99" s="24">
        <f t="shared" ca="1" si="46"/>
        <v>17.584529061157181</v>
      </c>
      <c r="AN99" s="24">
        <f t="shared" ca="1" si="46"/>
        <v>16.206961901961886</v>
      </c>
      <c r="AO99" s="24">
        <f t="shared" ca="1" si="46"/>
        <v>16.206961901961886</v>
      </c>
      <c r="AP99" s="24">
        <f t="shared" ca="1" si="46"/>
        <v>16.206961901961886</v>
      </c>
      <c r="AQ99" s="186"/>
      <c r="AR99" s="186"/>
      <c r="AS99" s="186"/>
      <c r="AT99" s="186"/>
      <c r="AU99" s="186"/>
      <c r="AV99" s="186"/>
      <c r="BB99" s="313">
        <f>MATCH(MID(D99,2,2),$B$34:$B$38,0)</f>
        <v>1</v>
      </c>
    </row>
    <row r="100" spans="1:54">
      <c r="A100" s="22" t="str">
        <f>'[5]TS BYDem'!A11</f>
        <v/>
      </c>
      <c r="B100" s="22" t="str">
        <f>'[5]TS BYDem'!B11</f>
        <v>COM_PROJ</v>
      </c>
      <c r="C100" s="22" t="str">
        <f>'[5]TS BYDem'!C11</f>
        <v>-</v>
      </c>
      <c r="D100" s="22" t="str">
        <f>'[5]TS BYDem'!D11</f>
        <v>RLNL</v>
      </c>
      <c r="E100" s="111" t="s">
        <v>137</v>
      </c>
      <c r="F100" s="111" t="s">
        <v>137</v>
      </c>
      <c r="G100" s="111" t="s">
        <v>137</v>
      </c>
      <c r="H100" s="111" t="s">
        <v>137</v>
      </c>
      <c r="I100" s="111">
        <v>0</v>
      </c>
      <c r="J100" s="186">
        <f>'[5]TS BYDem'!J11</f>
        <v>4.742986727829742E-2</v>
      </c>
      <c r="K100" s="24">
        <f t="shared" si="45"/>
        <v>4.5715902117421117E-2</v>
      </c>
      <c r="L100" s="24">
        <f t="shared" si="45"/>
        <v>4.4001936956544814E-2</v>
      </c>
      <c r="M100" s="24">
        <f t="shared" si="45"/>
        <v>4.2287971795668518E-2</v>
      </c>
      <c r="N100" s="24">
        <f t="shared" si="45"/>
        <v>4.0574006634792215E-2</v>
      </c>
      <c r="O100" s="24">
        <f>'[5]TS BYDem'!O11</f>
        <v>3.8860041473915911E-2</v>
      </c>
      <c r="P100" s="24">
        <f t="shared" ref="P100:AP100" ca="1" si="47">OFFSET(P$21,$BB100,$J$96)/OFFSET(O$21,$BB100,$J$96)*O100</f>
        <v>3.8785623533647673E-2</v>
      </c>
      <c r="Q100" s="24">
        <f t="shared" ca="1" si="47"/>
        <v>3.9148750240717303E-2</v>
      </c>
      <c r="R100" s="24">
        <f t="shared" ca="1" si="47"/>
        <v>4.0735351590958625E-2</v>
      </c>
      <c r="S100" s="24">
        <f t="shared" ca="1" si="47"/>
        <v>4.4188820807667187E-2</v>
      </c>
      <c r="T100" s="24">
        <f t="shared" ca="1" si="47"/>
        <v>4.412150339458927E-2</v>
      </c>
      <c r="U100" s="24">
        <f t="shared" ca="1" si="47"/>
        <v>4.3936548320688225E-2</v>
      </c>
      <c r="V100" s="24">
        <f t="shared" ca="1" si="47"/>
        <v>4.3627228583080289E-2</v>
      </c>
      <c r="W100" s="24">
        <f t="shared" ca="1" si="47"/>
        <v>4.3308464739150551E-2</v>
      </c>
      <c r="X100" s="24">
        <f t="shared" ca="1" si="47"/>
        <v>4.2899870756764623E-2</v>
      </c>
      <c r="Y100" s="24">
        <f t="shared" ca="1" si="47"/>
        <v>4.2387450321368196E-2</v>
      </c>
      <c r="Z100" s="24">
        <f t="shared" ca="1" si="47"/>
        <v>4.1871260856582736E-2</v>
      </c>
      <c r="AA100" s="24">
        <f t="shared" ca="1" si="47"/>
        <v>4.1410920513733733E-2</v>
      </c>
      <c r="AB100" s="24">
        <f t="shared" ca="1" si="47"/>
        <v>4.114260063814601E-2</v>
      </c>
      <c r="AC100" s="24">
        <f t="shared" ca="1" si="47"/>
        <v>4.0815511040160964E-2</v>
      </c>
      <c r="AD100" s="24">
        <f t="shared" ca="1" si="47"/>
        <v>4.0346000943810974E-2</v>
      </c>
      <c r="AE100" s="24">
        <f t="shared" ca="1" si="47"/>
        <v>3.9886787581499127E-2</v>
      </c>
      <c r="AF100" s="24">
        <f t="shared" ca="1" si="47"/>
        <v>3.9479796014078791E-2</v>
      </c>
      <c r="AG100" s="24">
        <f t="shared" ca="1" si="47"/>
        <v>3.9106371732526166E-2</v>
      </c>
      <c r="AH100" s="24">
        <f t="shared" ca="1" si="47"/>
        <v>3.866269531741582E-2</v>
      </c>
      <c r="AI100" s="24">
        <f t="shared" ca="1" si="47"/>
        <v>3.8164064809486385E-2</v>
      </c>
      <c r="AJ100" s="24">
        <f t="shared" ca="1" si="47"/>
        <v>3.7695272714576053E-2</v>
      </c>
      <c r="AK100" s="24">
        <f t="shared" ca="1" si="47"/>
        <v>3.7239506778740508E-2</v>
      </c>
      <c r="AL100" s="24">
        <f t="shared" ca="1" si="47"/>
        <v>3.6760195353879276E-2</v>
      </c>
      <c r="AM100" s="24">
        <f t="shared" ca="1" si="47"/>
        <v>3.3905340951570932E-2</v>
      </c>
      <c r="AN100" s="24">
        <f t="shared" ca="1" si="47"/>
        <v>3.1249205887972604E-2</v>
      </c>
      <c r="AO100" s="24">
        <f t="shared" ca="1" si="47"/>
        <v>3.1249205887972604E-2</v>
      </c>
      <c r="AP100" s="24">
        <f t="shared" ca="1" si="47"/>
        <v>3.1249205887972604E-2</v>
      </c>
      <c r="AQ100" s="186"/>
      <c r="AR100" s="186"/>
      <c r="AS100" s="186"/>
      <c r="AT100" s="186"/>
      <c r="AU100" s="186"/>
      <c r="AV100" s="186"/>
      <c r="BB100" s="214">
        <v>1</v>
      </c>
    </row>
    <row r="101" spans="1:54">
      <c r="A101" s="22" t="str">
        <f>'[5]TS BYDem'!A12</f>
        <v/>
      </c>
      <c r="B101" s="22" t="str">
        <f>'[5]TS BYDem'!B12</f>
        <v>COM_PROJ</v>
      </c>
      <c r="C101" s="22" t="str">
        <f>'[5]TS BYDem'!C12</f>
        <v>-</v>
      </c>
      <c r="D101" s="22" t="str">
        <f>'[5]TS BYDem'!D12</f>
        <v>RLEK</v>
      </c>
      <c r="E101" s="111" t="s">
        <v>137</v>
      </c>
      <c r="F101" s="111" t="s">
        <v>137</v>
      </c>
      <c r="G101" s="111" t="s">
        <v>137</v>
      </c>
      <c r="H101" s="111" t="s">
        <v>137</v>
      </c>
      <c r="I101" s="111">
        <v>0</v>
      </c>
      <c r="J101" s="186">
        <f>'[5]TS BYDem'!J12</f>
        <v>10.057139730159809</v>
      </c>
      <c r="K101" s="24">
        <f t="shared" si="45"/>
        <v>10.611604337611492</v>
      </c>
      <c r="L101" s="24">
        <f t="shared" si="45"/>
        <v>11.166068945063177</v>
      </c>
      <c r="M101" s="24">
        <f t="shared" si="45"/>
        <v>11.72053355251486</v>
      </c>
      <c r="N101" s="24">
        <f t="shared" si="45"/>
        <v>12.274998159966543</v>
      </c>
      <c r="O101" s="24">
        <f>'[5]TS BYDem'!O12</f>
        <v>12.829462767418228</v>
      </c>
      <c r="P101" s="24">
        <f t="shared" ref="P101:AP101" ca="1" si="48">OFFSET(P$21,$BB101,$J$96)/OFFSET(O$21,$BB101,$J$96)*O101</f>
        <v>12.804894028999867</v>
      </c>
      <c r="Q101" s="24">
        <f t="shared" ca="1" si="48"/>
        <v>12.92477863003232</v>
      </c>
      <c r="R101" s="24">
        <f t="shared" ca="1" si="48"/>
        <v>13.448587719719463</v>
      </c>
      <c r="S101" s="24">
        <f t="shared" ca="1" si="48"/>
        <v>14.588734591768665</v>
      </c>
      <c r="T101" s="24">
        <f t="shared" ca="1" si="48"/>
        <v>14.566510059526161</v>
      </c>
      <c r="U101" s="24">
        <f t="shared" ca="1" si="48"/>
        <v>14.505447998234967</v>
      </c>
      <c r="V101" s="24">
        <f t="shared" ca="1" si="48"/>
        <v>14.403327519039587</v>
      </c>
      <c r="W101" s="24">
        <f t="shared" ca="1" si="48"/>
        <v>14.298089111869055</v>
      </c>
      <c r="X101" s="24">
        <f t="shared" ca="1" si="48"/>
        <v>14.163193700408158</v>
      </c>
      <c r="Y101" s="24">
        <f t="shared" ca="1" si="48"/>
        <v>13.99402046621088</v>
      </c>
      <c r="Z101" s="24">
        <f t="shared" ca="1" si="48"/>
        <v>13.823602904411729</v>
      </c>
      <c r="AA101" s="24">
        <f t="shared" ca="1" si="48"/>
        <v>13.671623671633862</v>
      </c>
      <c r="AB101" s="24">
        <f t="shared" ca="1" si="48"/>
        <v>13.583039107051716</v>
      </c>
      <c r="AC101" s="24">
        <f t="shared" ca="1" si="48"/>
        <v>13.475051990728753</v>
      </c>
      <c r="AD101" s="24">
        <f t="shared" ca="1" si="48"/>
        <v>13.32004540628925</v>
      </c>
      <c r="AE101" s="24">
        <f t="shared" ca="1" si="48"/>
        <v>13.168438240917713</v>
      </c>
      <c r="AF101" s="24">
        <f t="shared" ca="1" si="48"/>
        <v>13.034071859338393</v>
      </c>
      <c r="AG101" s="24">
        <f t="shared" ca="1" si="48"/>
        <v>12.910787561768997</v>
      </c>
      <c r="AH101" s="24">
        <f t="shared" ca="1" si="48"/>
        <v>12.764309847578689</v>
      </c>
      <c r="AI101" s="24">
        <f t="shared" ca="1" si="48"/>
        <v>12.599689294086138</v>
      </c>
      <c r="AJ101" s="24">
        <f t="shared" ca="1" si="48"/>
        <v>12.444919754497532</v>
      </c>
      <c r="AK101" s="24">
        <f t="shared" ca="1" si="48"/>
        <v>12.294450741015275</v>
      </c>
      <c r="AL101" s="24">
        <f t="shared" ca="1" si="48"/>
        <v>12.136208293348746</v>
      </c>
      <c r="AM101" s="24">
        <f t="shared" ca="1" si="48"/>
        <v>11.193691330637845</v>
      </c>
      <c r="AN101" s="24">
        <f t="shared" ca="1" si="48"/>
        <v>10.316780637515137</v>
      </c>
      <c r="AO101" s="24">
        <f t="shared" ca="1" si="48"/>
        <v>10.316780637515137</v>
      </c>
      <c r="AP101" s="24">
        <f t="shared" ca="1" si="48"/>
        <v>10.316780637515137</v>
      </c>
      <c r="AQ101" s="186"/>
      <c r="AR101" s="186"/>
      <c r="AS101" s="186"/>
      <c r="AT101" s="186"/>
      <c r="AU101" s="186"/>
      <c r="AV101" s="186"/>
      <c r="BB101" s="313">
        <f t="shared" ref="BB101:BB110" si="49">MATCH(MID(D101,2,2),$B$34:$B$38,0)</f>
        <v>1</v>
      </c>
    </row>
    <row r="102" spans="1:54">
      <c r="A102" s="22" t="str">
        <f>'[5]TS BYDem'!A13</f>
        <v/>
      </c>
      <c r="B102" s="22" t="str">
        <f>'[5]TS BYDem'!B13</f>
        <v>COM_PROJ</v>
      </c>
      <c r="C102" s="22" t="str">
        <f>'[5]TS BYDem'!C13</f>
        <v>-</v>
      </c>
      <c r="D102" s="22" t="str">
        <f>'[5]TS BYDem'!D13</f>
        <v>RLEH</v>
      </c>
      <c r="E102" s="111" t="s">
        <v>137</v>
      </c>
      <c r="F102" s="111" t="s">
        <v>137</v>
      </c>
      <c r="G102" s="111" t="s">
        <v>137</v>
      </c>
      <c r="H102" s="111" t="s">
        <v>137</v>
      </c>
      <c r="I102" s="111">
        <v>0</v>
      </c>
      <c r="J102" s="186">
        <f>'[5]TS BYDem'!J13</f>
        <v>14.6766565883431</v>
      </c>
      <c r="K102" s="24">
        <f t="shared" si="45"/>
        <v>14.06071286343999</v>
      </c>
      <c r="L102" s="24">
        <f t="shared" si="45"/>
        <v>13.444769138536881</v>
      </c>
      <c r="M102" s="24">
        <f t="shared" si="45"/>
        <v>12.828825413633773</v>
      </c>
      <c r="N102" s="24">
        <f t="shared" si="45"/>
        <v>12.212881688730663</v>
      </c>
      <c r="O102" s="24">
        <f>'[5]TS BYDem'!O13</f>
        <v>11.596937963827553</v>
      </c>
      <c r="P102" s="24">
        <f ca="1">IF(OR($E$78=1,$E$78=2,$E$78=3), P89,P81)</f>
        <v>11.574729540883233</v>
      </c>
      <c r="Q102" s="24">
        <f t="shared" ref="Q102:AN102" ca="1" si="50">IF(OR($E$78=1,$E$78=2,$E$78=3), Q89,Q81)</f>
        <v>11.683096844035036</v>
      </c>
      <c r="R102" s="24">
        <f t="shared" ca="1" si="50"/>
        <v>12.156583663250711</v>
      </c>
      <c r="S102" s="24">
        <f t="shared" ca="1" si="50"/>
        <v>13.187196775000475</v>
      </c>
      <c r="T102" s="24">
        <f t="shared" ca="1" si="50"/>
        <v>13.167107350652484</v>
      </c>
      <c r="U102" s="24">
        <f t="shared" ca="1" si="50"/>
        <v>13.111911513572245</v>
      </c>
      <c r="V102" s="24">
        <f t="shared" ca="1" si="50"/>
        <v>13.019601735405013</v>
      </c>
      <c r="W102" s="24">
        <f t="shared" ca="1" si="50"/>
        <v>12.924473568193823</v>
      </c>
      <c r="X102" s="24">
        <f t="shared" ca="1" si="50"/>
        <v>12.802537541200557</v>
      </c>
      <c r="Y102" s="24">
        <f t="shared" ca="1" si="50"/>
        <v>12.649616757400606</v>
      </c>
      <c r="Z102" s="24">
        <f t="shared" ca="1" si="50"/>
        <v>12.495571188388116</v>
      </c>
      <c r="AA102" s="24">
        <f t="shared" ca="1" si="50"/>
        <v>12.358192580548739</v>
      </c>
      <c r="AB102" s="24">
        <f t="shared" ca="1" si="50"/>
        <v>12.278118323455077</v>
      </c>
      <c r="AC102" s="24">
        <f t="shared" ca="1" si="50"/>
        <v>12.180505515218833</v>
      </c>
      <c r="AD102" s="24">
        <f t="shared" ca="1" si="50"/>
        <v>12.040390392994471</v>
      </c>
      <c r="AE102" s="24">
        <f t="shared" ca="1" si="50"/>
        <v>11.90334810809455</v>
      </c>
      <c r="AF102" s="24">
        <f t="shared" ca="1" si="50"/>
        <v>11.781890287151597</v>
      </c>
      <c r="AG102" s="24">
        <f t="shared" ca="1" si="50"/>
        <v>11.670449895862784</v>
      </c>
      <c r="AH102" s="24">
        <f t="shared" ca="1" si="50"/>
        <v>11.538044276442596</v>
      </c>
      <c r="AI102" s="24">
        <f t="shared" ca="1" si="50"/>
        <v>11.389238797909822</v>
      </c>
      <c r="AJ102" s="24">
        <f t="shared" ca="1" si="50"/>
        <v>11.249337947668653</v>
      </c>
      <c r="AK102" s="24">
        <f t="shared" ca="1" si="50"/>
        <v>11.113324472555446</v>
      </c>
      <c r="AL102" s="24">
        <f t="shared" ca="1" si="50"/>
        <v>10.970284356059416</v>
      </c>
      <c r="AM102" s="24">
        <f t="shared" ca="1" si="50"/>
        <v>10.118314874206119</v>
      </c>
      <c r="AN102" s="24">
        <f t="shared" ca="1" si="50"/>
        <v>9.3256488762356078</v>
      </c>
      <c r="AO102" s="24">
        <f t="shared" ref="AO102:AP102" ca="1" si="51">IF($E$78=1, AO89,AO81)</f>
        <v>9.3256488762356078</v>
      </c>
      <c r="AP102" s="24">
        <f t="shared" ca="1" si="51"/>
        <v>9.3256488762356078</v>
      </c>
      <c r="AQ102" s="186"/>
      <c r="AR102" s="186"/>
      <c r="AS102" s="186"/>
      <c r="AT102" s="186"/>
      <c r="AU102" s="186"/>
      <c r="AV102" s="186"/>
      <c r="BB102" s="313">
        <f t="shared" si="49"/>
        <v>1</v>
      </c>
    </row>
    <row r="103" spans="1:54">
      <c r="A103" s="22" t="str">
        <f>'[5]TS BYDem'!A14</f>
        <v/>
      </c>
      <c r="B103" s="22" t="str">
        <f>'[5]TS BYDem'!B14</f>
        <v>COM_PROJ</v>
      </c>
      <c r="C103" s="22" t="str">
        <f>'[5]TS BYDem'!C14</f>
        <v>-</v>
      </c>
      <c r="D103" s="22" t="str">
        <f>'[5]TS BYDem'!D14</f>
        <v>RLEWG</v>
      </c>
      <c r="E103" s="111" t="s">
        <v>137</v>
      </c>
      <c r="F103" s="111" t="s">
        <v>137</v>
      </c>
      <c r="G103" s="111" t="s">
        <v>137</v>
      </c>
      <c r="H103" s="111" t="s">
        <v>137</v>
      </c>
      <c r="I103" s="111">
        <v>0</v>
      </c>
      <c r="J103" s="186">
        <f>'[5]TS BYDem'!J14</f>
        <v>0</v>
      </c>
      <c r="K103" s="24">
        <f t="shared" si="45"/>
        <v>0</v>
      </c>
      <c r="L103" s="24">
        <f t="shared" si="45"/>
        <v>0</v>
      </c>
      <c r="M103" s="24">
        <f t="shared" si="45"/>
        <v>0</v>
      </c>
      <c r="N103" s="24">
        <f t="shared" si="45"/>
        <v>0</v>
      </c>
      <c r="O103" s="24">
        <f>'[5]TS BYDem'!O14</f>
        <v>0</v>
      </c>
      <c r="P103" s="24">
        <f t="shared" ref="P103:AP103" ca="1" si="52">OFFSET(P$21,$BB103,$J$96)/OFFSET(O$21,$BB103,$J$96)*O103</f>
        <v>0</v>
      </c>
      <c r="Q103" s="24">
        <f t="shared" ca="1" si="52"/>
        <v>0</v>
      </c>
      <c r="R103" s="24">
        <f t="shared" ca="1" si="52"/>
        <v>0</v>
      </c>
      <c r="S103" s="24">
        <f t="shared" ca="1" si="52"/>
        <v>0</v>
      </c>
      <c r="T103" s="24">
        <f t="shared" ca="1" si="52"/>
        <v>0</v>
      </c>
      <c r="U103" s="24">
        <f t="shared" ca="1" si="52"/>
        <v>0</v>
      </c>
      <c r="V103" s="24">
        <f t="shared" ca="1" si="52"/>
        <v>0</v>
      </c>
      <c r="W103" s="24">
        <f t="shared" ca="1" si="52"/>
        <v>0</v>
      </c>
      <c r="X103" s="24">
        <f t="shared" ca="1" si="52"/>
        <v>0</v>
      </c>
      <c r="Y103" s="24">
        <f t="shared" ca="1" si="52"/>
        <v>0</v>
      </c>
      <c r="Z103" s="24">
        <f t="shared" ca="1" si="52"/>
        <v>0</v>
      </c>
      <c r="AA103" s="24">
        <f t="shared" ca="1" si="52"/>
        <v>0</v>
      </c>
      <c r="AB103" s="24">
        <f t="shared" ca="1" si="52"/>
        <v>0</v>
      </c>
      <c r="AC103" s="24">
        <f t="shared" ca="1" si="52"/>
        <v>0</v>
      </c>
      <c r="AD103" s="24">
        <f t="shared" ca="1" si="52"/>
        <v>0</v>
      </c>
      <c r="AE103" s="24">
        <f t="shared" ca="1" si="52"/>
        <v>0</v>
      </c>
      <c r="AF103" s="24">
        <f t="shared" ca="1" si="52"/>
        <v>0</v>
      </c>
      <c r="AG103" s="24">
        <f t="shared" ca="1" si="52"/>
        <v>0</v>
      </c>
      <c r="AH103" s="24">
        <f t="shared" ca="1" si="52"/>
        <v>0</v>
      </c>
      <c r="AI103" s="24">
        <f t="shared" ca="1" si="52"/>
        <v>0</v>
      </c>
      <c r="AJ103" s="24">
        <f t="shared" ca="1" si="52"/>
        <v>0</v>
      </c>
      <c r="AK103" s="24">
        <f t="shared" ca="1" si="52"/>
        <v>0</v>
      </c>
      <c r="AL103" s="24">
        <f t="shared" ca="1" si="52"/>
        <v>0</v>
      </c>
      <c r="AM103" s="24">
        <f t="shared" ca="1" si="52"/>
        <v>0</v>
      </c>
      <c r="AN103" s="24">
        <f t="shared" ca="1" si="52"/>
        <v>0</v>
      </c>
      <c r="AO103" s="24">
        <f t="shared" ca="1" si="52"/>
        <v>0</v>
      </c>
      <c r="AP103" s="24">
        <f t="shared" ca="1" si="52"/>
        <v>0</v>
      </c>
      <c r="AQ103" s="186"/>
      <c r="AR103" s="186"/>
      <c r="AS103" s="186"/>
      <c r="AT103" s="186"/>
      <c r="AU103" s="186"/>
      <c r="AV103" s="186"/>
      <c r="BB103" s="313">
        <f t="shared" si="49"/>
        <v>1</v>
      </c>
    </row>
    <row r="104" spans="1:54">
      <c r="A104" s="22" t="str">
        <f>'[5]TS BYDem'!A15</f>
        <v/>
      </c>
      <c r="B104" s="22" t="str">
        <f>'[5]TS BYDem'!B15</f>
        <v>COM_PROJ</v>
      </c>
      <c r="C104" s="22" t="str">
        <f>'[5]TS BYDem'!C15</f>
        <v>-</v>
      </c>
      <c r="D104" s="22" t="str">
        <f>'[5]TS BYDem'!D15</f>
        <v>RLEW</v>
      </c>
      <c r="E104" s="111" t="s">
        <v>137</v>
      </c>
      <c r="F104" s="111" t="s">
        <v>137</v>
      </c>
      <c r="G104" s="111" t="s">
        <v>137</v>
      </c>
      <c r="H104" s="111" t="s">
        <v>137</v>
      </c>
      <c r="I104" s="111">
        <v>0</v>
      </c>
      <c r="J104" s="186">
        <f>'[5]TS BYDem'!J15</f>
        <v>5.6663373040102876</v>
      </c>
      <c r="K104" s="24">
        <f t="shared" si="45"/>
        <v>6.0182587332743145</v>
      </c>
      <c r="L104" s="24">
        <f t="shared" si="45"/>
        <v>6.3701801625383423</v>
      </c>
      <c r="M104" s="24">
        <f t="shared" si="45"/>
        <v>6.7221015918023692</v>
      </c>
      <c r="N104" s="24">
        <f t="shared" si="45"/>
        <v>7.074023021066397</v>
      </c>
      <c r="O104" s="24">
        <f>'[5]TS BYDem'!O15</f>
        <v>7.4259444503304239</v>
      </c>
      <c r="P104" s="24">
        <f t="shared" ref="P104:AP104" ca="1" si="53">OFFSET(P$21,$BB104,$J$96)/OFFSET(O$21,$BB104,$J$96)*O104</f>
        <v>7.4117235830956094</v>
      </c>
      <c r="Q104" s="24">
        <f t="shared" ca="1" si="53"/>
        <v>7.4811151393794724</v>
      </c>
      <c r="R104" s="24">
        <f t="shared" ca="1" si="53"/>
        <v>7.7843061048245241</v>
      </c>
      <c r="S104" s="24">
        <f t="shared" ca="1" si="53"/>
        <v>8.4442454561867155</v>
      </c>
      <c r="T104" s="24">
        <f t="shared" ca="1" si="53"/>
        <v>8.4313814614225286</v>
      </c>
      <c r="U104" s="24">
        <f t="shared" ca="1" si="53"/>
        <v>8.3960375438017039</v>
      </c>
      <c r="V104" s="24">
        <f t="shared" ca="1" si="53"/>
        <v>8.3369282093351131</v>
      </c>
      <c r="W104" s="24">
        <f t="shared" ca="1" si="53"/>
        <v>8.2760141570589489</v>
      </c>
      <c r="X104" s="24">
        <f t="shared" ca="1" si="53"/>
        <v>8.1979340495538189</v>
      </c>
      <c r="Y104" s="24">
        <f t="shared" ca="1" si="53"/>
        <v>8.1000132665556297</v>
      </c>
      <c r="Z104" s="24">
        <f t="shared" ca="1" si="53"/>
        <v>8.0013722423581743</v>
      </c>
      <c r="AA104" s="24">
        <f t="shared" ca="1" si="53"/>
        <v>7.9134036843076805</v>
      </c>
      <c r="AB104" s="24">
        <f t="shared" ca="1" si="53"/>
        <v>7.8621292024630991</v>
      </c>
      <c r="AC104" s="24">
        <f t="shared" ca="1" si="53"/>
        <v>7.7996241434670033</v>
      </c>
      <c r="AD104" s="24">
        <f t="shared" ca="1" si="53"/>
        <v>7.7099032949520945</v>
      </c>
      <c r="AE104" s="24">
        <f t="shared" ca="1" si="53"/>
        <v>7.6221500968072551</v>
      </c>
      <c r="AF104" s="24">
        <f t="shared" ca="1" si="53"/>
        <v>7.5443762021642202</v>
      </c>
      <c r="AG104" s="24">
        <f t="shared" ca="1" si="53"/>
        <v>7.473016834905807</v>
      </c>
      <c r="AH104" s="24">
        <f t="shared" ca="1" si="53"/>
        <v>7.3882326636191475</v>
      </c>
      <c r="AI104" s="24">
        <f t="shared" ca="1" si="53"/>
        <v>7.2929470614251954</v>
      </c>
      <c r="AJ104" s="24">
        <f t="shared" ca="1" si="53"/>
        <v>7.2033634191150124</v>
      </c>
      <c r="AK104" s="24">
        <f t="shared" ca="1" si="53"/>
        <v>7.1162690055864157</v>
      </c>
      <c r="AL104" s="24">
        <f t="shared" ca="1" si="53"/>
        <v>7.0246751760271406</v>
      </c>
      <c r="AM104" s="24">
        <f t="shared" ca="1" si="53"/>
        <v>6.4791278888593409</v>
      </c>
      <c r="AN104" s="24">
        <f t="shared" ca="1" si="53"/>
        <v>5.9715547961209898</v>
      </c>
      <c r="AO104" s="24">
        <f t="shared" ca="1" si="53"/>
        <v>5.9715547961209898</v>
      </c>
      <c r="AP104" s="24">
        <f t="shared" ca="1" si="53"/>
        <v>5.9715547961209898</v>
      </c>
      <c r="AQ104" s="186"/>
      <c r="AR104" s="186"/>
      <c r="AS104" s="186"/>
      <c r="AT104" s="186"/>
      <c r="AU104" s="186"/>
      <c r="AV104" s="186"/>
      <c r="BB104" s="313">
        <f t="shared" si="49"/>
        <v>1</v>
      </c>
    </row>
    <row r="105" spans="1:54">
      <c r="A105" s="22" t="str">
        <f>'[5]TS BYDem'!A16</f>
        <v/>
      </c>
      <c r="B105" s="22" t="str">
        <f>'[5]TS BYDem'!B16</f>
        <v>COM_PROJ</v>
      </c>
      <c r="C105" s="22" t="str">
        <f>'[5]TS BYDem'!C16</f>
        <v>-</v>
      </c>
      <c r="D105" s="22" t="str">
        <f>'[5]TS BYDem'!D16</f>
        <v>RLER</v>
      </c>
      <c r="E105" s="111" t="s">
        <v>137</v>
      </c>
      <c r="F105" s="111" t="s">
        <v>137</v>
      </c>
      <c r="G105" s="111" t="s">
        <v>137</v>
      </c>
      <c r="H105" s="111" t="s">
        <v>137</v>
      </c>
      <c r="I105" s="111">
        <v>0</v>
      </c>
      <c r="J105" s="186">
        <f>'[5]TS BYDem'!J16</f>
        <v>1.4352211531349246</v>
      </c>
      <c r="K105" s="24">
        <f t="shared" si="45"/>
        <v>1.6892782081608682</v>
      </c>
      <c r="L105" s="24">
        <f t="shared" si="45"/>
        <v>1.9433352631868117</v>
      </c>
      <c r="M105" s="24">
        <f t="shared" si="45"/>
        <v>2.197392318212755</v>
      </c>
      <c r="N105" s="24">
        <f t="shared" si="45"/>
        <v>2.4514493732386988</v>
      </c>
      <c r="O105" s="24">
        <f>'[5]TS BYDem'!O16</f>
        <v>2.7055064282646422</v>
      </c>
      <c r="P105" s="24">
        <f t="shared" ref="P105:AP105" ca="1" si="54">OFFSET(P$21,$BB105,$J$96)/OFFSET(O$21,$BB105,$J$96)*O105</f>
        <v>2.7003253165586991</v>
      </c>
      <c r="Q105" s="24">
        <f t="shared" ca="1" si="54"/>
        <v>2.7256068552032446</v>
      </c>
      <c r="R105" s="24">
        <f t="shared" ca="1" si="54"/>
        <v>2.8360689131259713</v>
      </c>
      <c r="S105" s="24">
        <f t="shared" ca="1" si="54"/>
        <v>3.0765056911435824</v>
      </c>
      <c r="T105" s="24">
        <f t="shared" ca="1" si="54"/>
        <v>3.0718189309933468</v>
      </c>
      <c r="U105" s="24">
        <f t="shared" ca="1" si="54"/>
        <v>3.0589420239597986</v>
      </c>
      <c r="V105" s="24">
        <f t="shared" ca="1" si="54"/>
        <v>3.0374066239255724</v>
      </c>
      <c r="W105" s="24">
        <f t="shared" ca="1" si="54"/>
        <v>3.0152137081143748</v>
      </c>
      <c r="X105" s="24">
        <f t="shared" ca="1" si="54"/>
        <v>2.9867666554616545</v>
      </c>
      <c r="Y105" s="24">
        <f t="shared" ca="1" si="54"/>
        <v>2.9510910172133071</v>
      </c>
      <c r="Z105" s="24">
        <f t="shared" ca="1" si="54"/>
        <v>2.9151529723165468</v>
      </c>
      <c r="AA105" s="24">
        <f t="shared" ca="1" si="54"/>
        <v>2.8831032443819145</v>
      </c>
      <c r="AB105" s="24">
        <f t="shared" ca="1" si="54"/>
        <v>2.8644223289556914</v>
      </c>
      <c r="AC105" s="24">
        <f t="shared" ca="1" si="54"/>
        <v>2.8416497590766543</v>
      </c>
      <c r="AD105" s="24">
        <f t="shared" ca="1" si="54"/>
        <v>2.8089616163050444</v>
      </c>
      <c r="AE105" s="24">
        <f t="shared" ca="1" si="54"/>
        <v>2.7769903507953648</v>
      </c>
      <c r="AF105" s="24">
        <f t="shared" ca="1" si="54"/>
        <v>2.7486548611730925</v>
      </c>
      <c r="AG105" s="24">
        <f t="shared" ca="1" si="54"/>
        <v>2.7226563867533242</v>
      </c>
      <c r="AH105" s="24">
        <f t="shared" ca="1" si="54"/>
        <v>2.691766831631357</v>
      </c>
      <c r="AI105" s="24">
        <f t="shared" ca="1" si="54"/>
        <v>2.6570512730945124</v>
      </c>
      <c r="AJ105" s="24">
        <f t="shared" ca="1" si="54"/>
        <v>2.6244131188827908</v>
      </c>
      <c r="AK105" s="24">
        <f t="shared" ca="1" si="54"/>
        <v>2.5926818694446037</v>
      </c>
      <c r="AL105" s="24">
        <f t="shared" ca="1" si="54"/>
        <v>2.5593113404405834</v>
      </c>
      <c r="AM105" s="24">
        <f t="shared" ca="1" si="54"/>
        <v>2.3605512093586518</v>
      </c>
      <c r="AN105" s="24">
        <f t="shared" ca="1" si="54"/>
        <v>2.1756262783410669</v>
      </c>
      <c r="AO105" s="24">
        <f t="shared" ca="1" si="54"/>
        <v>2.1756262783410669</v>
      </c>
      <c r="AP105" s="24">
        <f t="shared" ca="1" si="54"/>
        <v>2.1756262783410669</v>
      </c>
      <c r="AQ105" s="186"/>
      <c r="AR105" s="186"/>
      <c r="AS105" s="186"/>
      <c r="AT105" s="186"/>
      <c r="AU105" s="186"/>
      <c r="AV105" s="186"/>
      <c r="BB105" s="313">
        <f t="shared" si="49"/>
        <v>1</v>
      </c>
    </row>
    <row r="106" spans="1:54">
      <c r="A106" s="22" t="str">
        <f>'[5]TS BYDem'!A17</f>
        <v/>
      </c>
      <c r="B106" s="22" t="str">
        <f>'[5]TS BYDem'!B17</f>
        <v>COM_PROJ</v>
      </c>
      <c r="C106" s="22" t="str">
        <f>'[5]TS BYDem'!C17</f>
        <v>-</v>
      </c>
      <c r="D106" s="22" t="str">
        <f>'[5]TS BYDem'!D17</f>
        <v>RLEO</v>
      </c>
      <c r="E106" s="111" t="s">
        <v>137</v>
      </c>
      <c r="F106" s="111" t="s">
        <v>137</v>
      </c>
      <c r="G106" s="111" t="s">
        <v>137</v>
      </c>
      <c r="H106" s="111" t="s">
        <v>137</v>
      </c>
      <c r="I106" s="111">
        <v>0</v>
      </c>
      <c r="J106" s="186">
        <f>'[5]TS BYDem'!J17</f>
        <v>1.9876880086386437</v>
      </c>
      <c r="K106" s="24">
        <f t="shared" si="45"/>
        <v>2.1471472243624685</v>
      </c>
      <c r="L106" s="24">
        <f t="shared" si="45"/>
        <v>2.3066064400862931</v>
      </c>
      <c r="M106" s="24">
        <f t="shared" si="45"/>
        <v>2.4660656558101177</v>
      </c>
      <c r="N106" s="24">
        <f t="shared" si="45"/>
        <v>2.6255248715339423</v>
      </c>
      <c r="O106" s="24">
        <f>'[5]TS BYDem'!O17</f>
        <v>2.7849840872577669</v>
      </c>
      <c r="P106" s="24">
        <f t="shared" ref="P106:AP106" ca="1" si="55">OFFSET(P$21,$BB106,$J$96)/OFFSET(O$21,$BB106,$J$96)*O106</f>
        <v>2.7796507738697032</v>
      </c>
      <c r="Q106" s="24">
        <f t="shared" ca="1" si="55"/>
        <v>2.8056749895547544</v>
      </c>
      <c r="R106" s="24">
        <f t="shared" ca="1" si="55"/>
        <v>2.9193820095590874</v>
      </c>
      <c r="S106" s="24">
        <f t="shared" ca="1" si="55"/>
        <v>3.1668819207679753</v>
      </c>
      <c r="T106" s="24">
        <f t="shared" ca="1" si="55"/>
        <v>3.1620574811352178</v>
      </c>
      <c r="U106" s="24">
        <f t="shared" ca="1" si="55"/>
        <v>3.1488022987387256</v>
      </c>
      <c r="V106" s="24">
        <f t="shared" ca="1" si="55"/>
        <v>3.1266342692040405</v>
      </c>
      <c r="W106" s="24">
        <f t="shared" ca="1" si="55"/>
        <v>3.103789408538276</v>
      </c>
      <c r="X106" s="24">
        <f t="shared" ca="1" si="55"/>
        <v>3.0745066878840044</v>
      </c>
      <c r="Y106" s="24">
        <f t="shared" ca="1" si="55"/>
        <v>3.0377830328276234</v>
      </c>
      <c r="Z106" s="24">
        <f t="shared" ca="1" si="55"/>
        <v>3.0007892625970238</v>
      </c>
      <c r="AA106" s="24">
        <f t="shared" ca="1" si="55"/>
        <v>2.9677980335367611</v>
      </c>
      <c r="AB106" s="24">
        <f t="shared" ca="1" si="55"/>
        <v>2.9485683426907445</v>
      </c>
      <c r="AC106" s="24">
        <f t="shared" ca="1" si="55"/>
        <v>2.9251267998888064</v>
      </c>
      <c r="AD106" s="24">
        <f t="shared" ca="1" si="55"/>
        <v>2.8914784017516282</v>
      </c>
      <c r="AE106" s="24">
        <f t="shared" ca="1" si="55"/>
        <v>2.8585679400488773</v>
      </c>
      <c r="AF106" s="24">
        <f t="shared" ca="1" si="55"/>
        <v>2.8294000597295899</v>
      </c>
      <c r="AG106" s="24">
        <f t="shared" ca="1" si="55"/>
        <v>2.8026378473779179</v>
      </c>
      <c r="AH106" s="24">
        <f t="shared" ca="1" si="55"/>
        <v>2.7708408726679634</v>
      </c>
      <c r="AI106" s="24">
        <f t="shared" ca="1" si="55"/>
        <v>2.7351055008738583</v>
      </c>
      <c r="AJ106" s="24">
        <f t="shared" ca="1" si="55"/>
        <v>2.7015085597734774</v>
      </c>
      <c r="AK106" s="24">
        <f t="shared" ca="1" si="55"/>
        <v>2.6688451649166258</v>
      </c>
      <c r="AL106" s="24">
        <f t="shared" ca="1" si="55"/>
        <v>2.6344943345919751</v>
      </c>
      <c r="AM106" s="24">
        <f t="shared" ca="1" si="55"/>
        <v>2.429895374315433</v>
      </c>
      <c r="AN106" s="24">
        <f t="shared" ca="1" si="55"/>
        <v>2.2395380405309582</v>
      </c>
      <c r="AO106" s="24">
        <f t="shared" ca="1" si="55"/>
        <v>2.2395380405309582</v>
      </c>
      <c r="AP106" s="24">
        <f t="shared" ca="1" si="55"/>
        <v>2.2395380405309582</v>
      </c>
      <c r="AQ106" s="186"/>
      <c r="AR106" s="186"/>
      <c r="AS106" s="186"/>
      <c r="AT106" s="186"/>
      <c r="AU106" s="186"/>
      <c r="AV106" s="186"/>
      <c r="BB106" s="313">
        <f t="shared" si="49"/>
        <v>1</v>
      </c>
    </row>
    <row r="107" spans="1:54">
      <c r="A107" s="22" t="str">
        <f>'[5]TS BYDem'!A18</f>
        <v>*</v>
      </c>
      <c r="B107" s="22" t="str">
        <f>'[5]TS BYDem'!B18</f>
        <v>COM_PROJ</v>
      </c>
      <c r="C107" s="22" t="str">
        <f>'[5]TS BYDem'!C18</f>
        <v>-</v>
      </c>
      <c r="D107" s="22">
        <f>'[5]TS BYDem'!D18</f>
        <v>0</v>
      </c>
      <c r="E107" s="111" t="s">
        <v>137</v>
      </c>
      <c r="F107" s="111" t="s">
        <v>137</v>
      </c>
      <c r="G107" s="111" t="s">
        <v>137</v>
      </c>
      <c r="H107" s="111" t="s">
        <v>137</v>
      </c>
      <c r="I107" s="111">
        <v>0</v>
      </c>
      <c r="J107" s="186">
        <f>'[5]TS BYDem'!J18</f>
        <v>0</v>
      </c>
      <c r="K107" s="24">
        <f t="shared" si="45"/>
        <v>0</v>
      </c>
      <c r="L107" s="24">
        <f t="shared" si="45"/>
        <v>0</v>
      </c>
      <c r="M107" s="24">
        <f t="shared" si="45"/>
        <v>0</v>
      </c>
      <c r="N107" s="24">
        <f t="shared" si="45"/>
        <v>0</v>
      </c>
      <c r="O107" s="24">
        <f>'[5]TS BYDem'!O18</f>
        <v>0</v>
      </c>
      <c r="P107" s="24" t="e">
        <f t="shared" ref="P107:AP107" ca="1" si="56">OFFSET(P$33,$BB107,$J$96)/OFFSET(O$33,$BB107,$J$96)*O107</f>
        <v>#N/A</v>
      </c>
      <c r="Q107" s="24" t="e">
        <f t="shared" ca="1" si="56"/>
        <v>#N/A</v>
      </c>
      <c r="R107" s="24" t="e">
        <f t="shared" ca="1" si="56"/>
        <v>#N/A</v>
      </c>
      <c r="S107" s="24" t="e">
        <f t="shared" ca="1" si="56"/>
        <v>#N/A</v>
      </c>
      <c r="T107" s="24" t="e">
        <f t="shared" ca="1" si="56"/>
        <v>#N/A</v>
      </c>
      <c r="U107" s="24" t="e">
        <f t="shared" ca="1" si="56"/>
        <v>#N/A</v>
      </c>
      <c r="V107" s="24" t="e">
        <f t="shared" ca="1" si="56"/>
        <v>#N/A</v>
      </c>
      <c r="W107" s="24" t="e">
        <f t="shared" ca="1" si="56"/>
        <v>#N/A</v>
      </c>
      <c r="X107" s="24" t="e">
        <f t="shared" ca="1" si="56"/>
        <v>#N/A</v>
      </c>
      <c r="Y107" s="24" t="e">
        <f t="shared" ca="1" si="56"/>
        <v>#N/A</v>
      </c>
      <c r="Z107" s="24" t="e">
        <f t="shared" ca="1" si="56"/>
        <v>#N/A</v>
      </c>
      <c r="AA107" s="24" t="e">
        <f t="shared" ca="1" si="56"/>
        <v>#N/A</v>
      </c>
      <c r="AB107" s="24" t="e">
        <f t="shared" ca="1" si="56"/>
        <v>#N/A</v>
      </c>
      <c r="AC107" s="24" t="e">
        <f t="shared" ca="1" si="56"/>
        <v>#N/A</v>
      </c>
      <c r="AD107" s="24" t="e">
        <f t="shared" ca="1" si="56"/>
        <v>#N/A</v>
      </c>
      <c r="AE107" s="24" t="e">
        <f t="shared" ca="1" si="56"/>
        <v>#N/A</v>
      </c>
      <c r="AF107" s="24" t="e">
        <f t="shared" ca="1" si="56"/>
        <v>#N/A</v>
      </c>
      <c r="AG107" s="24" t="e">
        <f t="shared" ca="1" si="56"/>
        <v>#N/A</v>
      </c>
      <c r="AH107" s="24" t="e">
        <f t="shared" ca="1" si="56"/>
        <v>#N/A</v>
      </c>
      <c r="AI107" s="24" t="e">
        <f t="shared" ca="1" si="56"/>
        <v>#N/A</v>
      </c>
      <c r="AJ107" s="24" t="e">
        <f t="shared" ca="1" si="56"/>
        <v>#N/A</v>
      </c>
      <c r="AK107" s="24" t="e">
        <f t="shared" ca="1" si="56"/>
        <v>#N/A</v>
      </c>
      <c r="AL107" s="24" t="e">
        <f t="shared" ca="1" si="56"/>
        <v>#N/A</v>
      </c>
      <c r="AM107" s="24" t="e">
        <f t="shared" ca="1" si="56"/>
        <v>#N/A</v>
      </c>
      <c r="AN107" s="24" t="e">
        <f t="shared" ca="1" si="56"/>
        <v>#N/A</v>
      </c>
      <c r="AO107" s="24" t="e">
        <f t="shared" ca="1" si="56"/>
        <v>#N/A</v>
      </c>
      <c r="AP107" s="24" t="e">
        <f t="shared" ca="1" si="56"/>
        <v>#N/A</v>
      </c>
      <c r="AQ107" s="186"/>
      <c r="AR107" s="186"/>
      <c r="AS107" s="186"/>
      <c r="AT107" s="186"/>
      <c r="AU107" s="186"/>
      <c r="AV107" s="186"/>
      <c r="BB107" s="313" t="e">
        <f t="shared" si="49"/>
        <v>#N/A</v>
      </c>
    </row>
    <row r="108" spans="1:54">
      <c r="A108" s="22" t="str">
        <f>'[5]TS BYDem'!A19</f>
        <v>*</v>
      </c>
      <c r="B108" s="22" t="str">
        <f>'[5]TS BYDem'!B19</f>
        <v>COM_PROJ</v>
      </c>
      <c r="C108" s="22" t="str">
        <f>'[5]TS BYDem'!C19</f>
        <v>-</v>
      </c>
      <c r="D108" s="22">
        <f>'[5]TS BYDem'!D19</f>
        <v>0</v>
      </c>
      <c r="E108" s="111" t="s">
        <v>137</v>
      </c>
      <c r="F108" s="111" t="s">
        <v>137</v>
      </c>
      <c r="G108" s="111" t="s">
        <v>137</v>
      </c>
      <c r="H108" s="111" t="s">
        <v>137</v>
      </c>
      <c r="I108" s="111">
        <v>0</v>
      </c>
      <c r="J108" s="186">
        <f>'[5]TS BYDem'!J19</f>
        <v>0</v>
      </c>
      <c r="K108" s="24">
        <f t="shared" si="45"/>
        <v>0</v>
      </c>
      <c r="L108" s="24">
        <f t="shared" si="45"/>
        <v>0</v>
      </c>
      <c r="M108" s="24">
        <f t="shared" si="45"/>
        <v>0</v>
      </c>
      <c r="N108" s="24">
        <f t="shared" si="45"/>
        <v>0</v>
      </c>
      <c r="O108" s="24">
        <f>'[5]TS BYDem'!O19</f>
        <v>0</v>
      </c>
      <c r="P108" s="24" t="e">
        <f t="shared" ref="P108:AP108" ca="1" si="57">OFFSET(P$33,$BB108,$J$96)/OFFSET(O$33,$BB108,$J$96)*O108</f>
        <v>#N/A</v>
      </c>
      <c r="Q108" s="24" t="e">
        <f t="shared" ca="1" si="57"/>
        <v>#N/A</v>
      </c>
      <c r="R108" s="24" t="e">
        <f t="shared" ca="1" si="57"/>
        <v>#N/A</v>
      </c>
      <c r="S108" s="24" t="e">
        <f t="shared" ca="1" si="57"/>
        <v>#N/A</v>
      </c>
      <c r="T108" s="24" t="e">
        <f t="shared" ca="1" si="57"/>
        <v>#N/A</v>
      </c>
      <c r="U108" s="24" t="e">
        <f t="shared" ca="1" si="57"/>
        <v>#N/A</v>
      </c>
      <c r="V108" s="24" t="e">
        <f t="shared" ca="1" si="57"/>
        <v>#N/A</v>
      </c>
      <c r="W108" s="24" t="e">
        <f t="shared" ca="1" si="57"/>
        <v>#N/A</v>
      </c>
      <c r="X108" s="24" t="e">
        <f t="shared" ca="1" si="57"/>
        <v>#N/A</v>
      </c>
      <c r="Y108" s="24" t="e">
        <f t="shared" ca="1" si="57"/>
        <v>#N/A</v>
      </c>
      <c r="Z108" s="24" t="e">
        <f t="shared" ca="1" si="57"/>
        <v>#N/A</v>
      </c>
      <c r="AA108" s="24" t="e">
        <f t="shared" ca="1" si="57"/>
        <v>#N/A</v>
      </c>
      <c r="AB108" s="24" t="e">
        <f t="shared" ca="1" si="57"/>
        <v>#N/A</v>
      </c>
      <c r="AC108" s="24" t="e">
        <f t="shared" ca="1" si="57"/>
        <v>#N/A</v>
      </c>
      <c r="AD108" s="24" t="e">
        <f t="shared" ca="1" si="57"/>
        <v>#N/A</v>
      </c>
      <c r="AE108" s="24" t="e">
        <f t="shared" ca="1" si="57"/>
        <v>#N/A</v>
      </c>
      <c r="AF108" s="24" t="e">
        <f t="shared" ca="1" si="57"/>
        <v>#N/A</v>
      </c>
      <c r="AG108" s="24" t="e">
        <f t="shared" ca="1" si="57"/>
        <v>#N/A</v>
      </c>
      <c r="AH108" s="24" t="e">
        <f t="shared" ca="1" si="57"/>
        <v>#N/A</v>
      </c>
      <c r="AI108" s="24" t="e">
        <f t="shared" ca="1" si="57"/>
        <v>#N/A</v>
      </c>
      <c r="AJ108" s="24" t="e">
        <f t="shared" ca="1" si="57"/>
        <v>#N/A</v>
      </c>
      <c r="AK108" s="24" t="e">
        <f t="shared" ca="1" si="57"/>
        <v>#N/A</v>
      </c>
      <c r="AL108" s="24" t="e">
        <f t="shared" ca="1" si="57"/>
        <v>#N/A</v>
      </c>
      <c r="AM108" s="24" t="e">
        <f t="shared" ca="1" si="57"/>
        <v>#N/A</v>
      </c>
      <c r="AN108" s="24" t="e">
        <f t="shared" ca="1" si="57"/>
        <v>#N/A</v>
      </c>
      <c r="AO108" s="24" t="e">
        <f t="shared" ca="1" si="57"/>
        <v>#N/A</v>
      </c>
      <c r="AP108" s="24" t="e">
        <f t="shared" ca="1" si="57"/>
        <v>#N/A</v>
      </c>
      <c r="AQ108" s="186"/>
      <c r="AR108" s="186"/>
      <c r="AS108" s="186"/>
      <c r="AT108" s="186"/>
      <c r="AU108" s="186"/>
      <c r="AV108" s="186"/>
      <c r="BB108" s="313" t="e">
        <f t="shared" si="49"/>
        <v>#N/A</v>
      </c>
    </row>
    <row r="109" spans="1:54">
      <c r="A109" s="22" t="str">
        <f>'[5]TS BYDem'!A20</f>
        <v>*</v>
      </c>
      <c r="B109" s="22" t="str">
        <f>'[5]TS BYDem'!B20</f>
        <v>COM_PROJ</v>
      </c>
      <c r="C109" s="22" t="str">
        <f>'[5]TS BYDem'!C20</f>
        <v>-</v>
      </c>
      <c r="D109" s="22">
        <f>'[5]TS BYDem'!D20</f>
        <v>0</v>
      </c>
      <c r="E109" s="111" t="s">
        <v>137</v>
      </c>
      <c r="F109" s="111" t="s">
        <v>137</v>
      </c>
      <c r="G109" s="111" t="s">
        <v>137</v>
      </c>
      <c r="H109" s="111" t="s">
        <v>137</v>
      </c>
      <c r="I109" s="111">
        <v>0</v>
      </c>
      <c r="J109" s="186">
        <f>'[5]TS BYDem'!J20</f>
        <v>0</v>
      </c>
      <c r="K109" s="24">
        <f t="shared" si="45"/>
        <v>0</v>
      </c>
      <c r="L109" s="24">
        <f t="shared" si="45"/>
        <v>0</v>
      </c>
      <c r="M109" s="24">
        <f t="shared" si="45"/>
        <v>0</v>
      </c>
      <c r="N109" s="24">
        <f t="shared" si="45"/>
        <v>0</v>
      </c>
      <c r="O109" s="24">
        <f>'[5]TS BYDem'!O20</f>
        <v>0</v>
      </c>
      <c r="P109" s="24" t="e">
        <f t="shared" ref="P109:AP109" ca="1" si="58">OFFSET(P$33,$BB109,$J$96)/OFFSET(O$33,$BB109,$J$96)*O109</f>
        <v>#N/A</v>
      </c>
      <c r="Q109" s="24" t="e">
        <f t="shared" ca="1" si="58"/>
        <v>#N/A</v>
      </c>
      <c r="R109" s="24" t="e">
        <f t="shared" ca="1" si="58"/>
        <v>#N/A</v>
      </c>
      <c r="S109" s="24" t="e">
        <f t="shared" ca="1" si="58"/>
        <v>#N/A</v>
      </c>
      <c r="T109" s="24" t="e">
        <f t="shared" ca="1" si="58"/>
        <v>#N/A</v>
      </c>
      <c r="U109" s="24" t="e">
        <f t="shared" ca="1" si="58"/>
        <v>#N/A</v>
      </c>
      <c r="V109" s="24" t="e">
        <f t="shared" ca="1" si="58"/>
        <v>#N/A</v>
      </c>
      <c r="W109" s="24" t="e">
        <f t="shared" ca="1" si="58"/>
        <v>#N/A</v>
      </c>
      <c r="X109" s="24" t="e">
        <f t="shared" ca="1" si="58"/>
        <v>#N/A</v>
      </c>
      <c r="Y109" s="24" t="e">
        <f t="shared" ca="1" si="58"/>
        <v>#N/A</v>
      </c>
      <c r="Z109" s="24" t="e">
        <f t="shared" ca="1" si="58"/>
        <v>#N/A</v>
      </c>
      <c r="AA109" s="24" t="e">
        <f t="shared" ca="1" si="58"/>
        <v>#N/A</v>
      </c>
      <c r="AB109" s="24" t="e">
        <f t="shared" ca="1" si="58"/>
        <v>#N/A</v>
      </c>
      <c r="AC109" s="24" t="e">
        <f t="shared" ca="1" si="58"/>
        <v>#N/A</v>
      </c>
      <c r="AD109" s="24" t="e">
        <f t="shared" ca="1" si="58"/>
        <v>#N/A</v>
      </c>
      <c r="AE109" s="24" t="e">
        <f t="shared" ca="1" si="58"/>
        <v>#N/A</v>
      </c>
      <c r="AF109" s="24" t="e">
        <f t="shared" ca="1" si="58"/>
        <v>#N/A</v>
      </c>
      <c r="AG109" s="24" t="e">
        <f t="shared" ca="1" si="58"/>
        <v>#N/A</v>
      </c>
      <c r="AH109" s="24" t="e">
        <f t="shared" ca="1" si="58"/>
        <v>#N/A</v>
      </c>
      <c r="AI109" s="24" t="e">
        <f t="shared" ca="1" si="58"/>
        <v>#N/A</v>
      </c>
      <c r="AJ109" s="24" t="e">
        <f t="shared" ca="1" si="58"/>
        <v>#N/A</v>
      </c>
      <c r="AK109" s="24" t="e">
        <f t="shared" ca="1" si="58"/>
        <v>#N/A</v>
      </c>
      <c r="AL109" s="24" t="e">
        <f t="shared" ca="1" si="58"/>
        <v>#N/A</v>
      </c>
      <c r="AM109" s="24" t="e">
        <f t="shared" ca="1" si="58"/>
        <v>#N/A</v>
      </c>
      <c r="AN109" s="24" t="e">
        <f t="shared" ca="1" si="58"/>
        <v>#N/A</v>
      </c>
      <c r="AO109" s="24" t="e">
        <f t="shared" ca="1" si="58"/>
        <v>#N/A</v>
      </c>
      <c r="AP109" s="24" t="e">
        <f t="shared" ca="1" si="58"/>
        <v>#N/A</v>
      </c>
      <c r="AQ109" s="186"/>
      <c r="AR109" s="186"/>
      <c r="AS109" s="186"/>
      <c r="AT109" s="186"/>
      <c r="AU109" s="186"/>
      <c r="AV109" s="186"/>
      <c r="BB109" s="313" t="e">
        <f t="shared" si="49"/>
        <v>#N/A</v>
      </c>
    </row>
    <row r="110" spans="1:54">
      <c r="A110" s="22" t="str">
        <f>'[5]TS BYDem'!A21</f>
        <v/>
      </c>
      <c r="B110" s="22" t="str">
        <f>'[5]TS BYDem'!B21</f>
        <v>COM_PROJ</v>
      </c>
      <c r="C110" s="22" t="str">
        <f>'[5]TS BYDem'!C21</f>
        <v>-</v>
      </c>
      <c r="D110" s="22" t="str">
        <f>'[5]TS BYDem'!D21</f>
        <v>RMEL</v>
      </c>
      <c r="E110" s="111" t="s">
        <v>137</v>
      </c>
      <c r="F110" s="111" t="s">
        <v>137</v>
      </c>
      <c r="G110" s="111" t="s">
        <v>137</v>
      </c>
      <c r="H110" s="111" t="s">
        <v>137</v>
      </c>
      <c r="I110" s="111">
        <v>0</v>
      </c>
      <c r="J110" s="186">
        <f>'[5]TS BYDem'!J21</f>
        <v>16.048370490489006</v>
      </c>
      <c r="K110" s="24">
        <f t="shared" si="45"/>
        <v>17.645895086824378</v>
      </c>
      <c r="L110" s="24">
        <f t="shared" si="45"/>
        <v>19.243419683159747</v>
      </c>
      <c r="M110" s="24">
        <f t="shared" si="45"/>
        <v>20.840944279495119</v>
      </c>
      <c r="N110" s="24">
        <f t="shared" si="45"/>
        <v>22.438468875830488</v>
      </c>
      <c r="O110" s="24">
        <f>'[5]TS BYDem'!O21</f>
        <v>24.03599347216586</v>
      </c>
      <c r="P110" s="24">
        <f t="shared" ref="P110:AP110" ca="1" si="59">OFFSET(P$33,$BB110,$J$96)/OFFSET(O$33,$BB110,$J$96)*O110</f>
        <v>24.68451854066841</v>
      </c>
      <c r="Q110" s="24">
        <f t="shared" ca="1" si="59"/>
        <v>25.35159957822934</v>
      </c>
      <c r="R110" s="24">
        <f t="shared" ca="1" si="59"/>
        <v>26.641342163460667</v>
      </c>
      <c r="S110" s="24">
        <f t="shared" ca="1" si="59"/>
        <v>25.486981670497457</v>
      </c>
      <c r="T110" s="24">
        <f t="shared" ca="1" si="59"/>
        <v>25.964081137341417</v>
      </c>
      <c r="U110" s="24">
        <f t="shared" ca="1" si="59"/>
        <v>26.402453714264393</v>
      </c>
      <c r="V110" s="24">
        <f t="shared" ca="1" si="59"/>
        <v>26.870782107968992</v>
      </c>
      <c r="W110" s="24">
        <f t="shared" ca="1" si="59"/>
        <v>27.369929730482021</v>
      </c>
      <c r="X110" s="24">
        <f t="shared" ca="1" si="59"/>
        <v>27.790964366370137</v>
      </c>
      <c r="Y110" s="24">
        <f t="shared" ca="1" si="59"/>
        <v>28.2922386312739</v>
      </c>
      <c r="Z110" s="24">
        <f t="shared" ca="1" si="59"/>
        <v>28.784111473530764</v>
      </c>
      <c r="AA110" s="24">
        <f t="shared" ca="1" si="59"/>
        <v>29.281286769365721</v>
      </c>
      <c r="AB110" s="24">
        <f t="shared" ca="1" si="59"/>
        <v>29.809610090796664</v>
      </c>
      <c r="AC110" s="24">
        <f t="shared" ca="1" si="59"/>
        <v>30.15083059222361</v>
      </c>
      <c r="AD110" s="24">
        <f t="shared" ca="1" si="59"/>
        <v>30.625380618371612</v>
      </c>
      <c r="AE110" s="24">
        <f t="shared" ca="1" si="59"/>
        <v>31.071462137653153</v>
      </c>
      <c r="AF110" s="24">
        <f t="shared" ca="1" si="59"/>
        <v>31.536408549861349</v>
      </c>
      <c r="AG110" s="24">
        <f t="shared" ca="1" si="59"/>
        <v>31.964121607036237</v>
      </c>
      <c r="AH110" s="24">
        <f t="shared" ca="1" si="59"/>
        <v>32.353282604340784</v>
      </c>
      <c r="AI110" s="24">
        <f t="shared" ca="1" si="59"/>
        <v>32.777153449466816</v>
      </c>
      <c r="AJ110" s="24">
        <f t="shared" ca="1" si="59"/>
        <v>33.203258644348054</v>
      </c>
      <c r="AK110" s="24">
        <f t="shared" ca="1" si="59"/>
        <v>33.602415857919006</v>
      </c>
      <c r="AL110" s="24">
        <f t="shared" ca="1" si="59"/>
        <v>33.988679679818532</v>
      </c>
      <c r="AM110" s="24">
        <f t="shared" ca="1" si="59"/>
        <v>35.851053343386347</v>
      </c>
      <c r="AN110" s="24">
        <f t="shared" ca="1" si="59"/>
        <v>37.498422086320915</v>
      </c>
      <c r="AO110" s="24">
        <f t="shared" ca="1" si="59"/>
        <v>37.498422086320915</v>
      </c>
      <c r="AP110" s="24">
        <f t="shared" ca="1" si="59"/>
        <v>37.498422086320915</v>
      </c>
      <c r="AQ110" s="186"/>
      <c r="AR110" s="186"/>
      <c r="AS110" s="186"/>
      <c r="AT110" s="186"/>
      <c r="AU110" s="186"/>
      <c r="AV110" s="186"/>
      <c r="BB110" s="313">
        <f t="shared" si="49"/>
        <v>2</v>
      </c>
    </row>
    <row r="111" spans="1:54" s="315" customFormat="1">
      <c r="A111" s="319" t="str">
        <f>'[5]TS BYDem'!A22</f>
        <v/>
      </c>
      <c r="B111" s="319" t="str">
        <f>'[5]TS BYDem'!B22</f>
        <v>COM_PROJ</v>
      </c>
      <c r="C111" s="319" t="str">
        <f>'[5]TS BYDem'!C22</f>
        <v>-</v>
      </c>
      <c r="D111" s="319" t="str">
        <f>'[5]TS BYDem'!D22</f>
        <v>RMNL</v>
      </c>
      <c r="E111" s="318" t="s">
        <v>137</v>
      </c>
      <c r="F111" s="318" t="s">
        <v>137</v>
      </c>
      <c r="G111" s="318" t="s">
        <v>137</v>
      </c>
      <c r="H111" s="318" t="s">
        <v>137</v>
      </c>
      <c r="I111" s="318">
        <v>0</v>
      </c>
      <c r="J111" s="316">
        <f>'[5]TS BYDem'!J22</f>
        <v>3.3422499241462768E-2</v>
      </c>
      <c r="K111" s="317">
        <f t="shared" si="45"/>
        <v>4.0907833293435877E-2</v>
      </c>
      <c r="L111" s="317">
        <f t="shared" si="45"/>
        <v>4.8393167345408994E-2</v>
      </c>
      <c r="M111" s="317">
        <f t="shared" si="45"/>
        <v>5.5878501397382103E-2</v>
      </c>
      <c r="N111" s="317">
        <f t="shared" si="45"/>
        <v>6.3363835449355213E-2</v>
      </c>
      <c r="O111" s="317">
        <f>'[5]TS BYDem'!O22</f>
        <v>7.084916950132833E-2</v>
      </c>
      <c r="P111" s="24">
        <f t="shared" ref="P111:AP111" ca="1" si="60">OFFSET(P$33,$BB111,$J$96)/OFFSET(O$33,$BB111,$J$96)*O111</f>
        <v>7.276078020955247E-2</v>
      </c>
      <c r="Q111" s="24">
        <f t="shared" ca="1" si="60"/>
        <v>7.4727087013388427E-2</v>
      </c>
      <c r="R111" s="24">
        <f t="shared" ca="1" si="60"/>
        <v>7.8528768484967801E-2</v>
      </c>
      <c r="S111" s="24">
        <f t="shared" ca="1" si="60"/>
        <v>7.5126143071281598E-2</v>
      </c>
      <c r="T111" s="24">
        <f t="shared" ca="1" si="60"/>
        <v>7.6532454860913451E-2</v>
      </c>
      <c r="U111" s="24">
        <f t="shared" ca="1" si="60"/>
        <v>7.782461418202144E-2</v>
      </c>
      <c r="V111" s="24">
        <f t="shared" ca="1" si="60"/>
        <v>7.9205072110098584E-2</v>
      </c>
      <c r="W111" s="24">
        <f t="shared" ca="1" si="60"/>
        <v>8.0676373662687331E-2</v>
      </c>
      <c r="X111" s="24">
        <f t="shared" ca="1" si="60"/>
        <v>8.1917427181798619E-2</v>
      </c>
      <c r="Y111" s="24">
        <f t="shared" ca="1" si="60"/>
        <v>8.3394997285233183E-2</v>
      </c>
      <c r="Z111" s="24">
        <f t="shared" ca="1" si="60"/>
        <v>8.4844855491198842E-2</v>
      </c>
      <c r="AA111" s="24">
        <f t="shared" ca="1" si="60"/>
        <v>8.631034335827098E-2</v>
      </c>
      <c r="AB111" s="24">
        <f t="shared" ca="1" si="60"/>
        <v>8.786764402050122E-2</v>
      </c>
      <c r="AC111" s="24">
        <f t="shared" ca="1" si="60"/>
        <v>8.8873435154989633E-2</v>
      </c>
      <c r="AD111" s="24">
        <f t="shared" ca="1" si="60"/>
        <v>9.0272232141615283E-2</v>
      </c>
      <c r="AE111" s="24">
        <f t="shared" ca="1" si="60"/>
        <v>9.1587114557754506E-2</v>
      </c>
      <c r="AF111" s="24">
        <f t="shared" ca="1" si="60"/>
        <v>9.295760366217698E-2</v>
      </c>
      <c r="AG111" s="24">
        <f t="shared" ca="1" si="60"/>
        <v>9.4218342683462145E-2</v>
      </c>
      <c r="AH111" s="24">
        <f t="shared" ca="1" si="60"/>
        <v>9.5365444570191485E-2</v>
      </c>
      <c r="AI111" s="24">
        <f t="shared" ca="1" si="60"/>
        <v>9.6614858179318225E-2</v>
      </c>
      <c r="AJ111" s="24">
        <f t="shared" ca="1" si="60"/>
        <v>9.7870857820543666E-2</v>
      </c>
      <c r="AK111" s="24">
        <f t="shared" ca="1" si="60"/>
        <v>9.9047424835121828E-2</v>
      </c>
      <c r="AL111" s="24">
        <f t="shared" ca="1" si="60"/>
        <v>0.1001859869262491</v>
      </c>
      <c r="AM111" s="24">
        <f t="shared" ca="1" si="60"/>
        <v>0.10567557184886625</v>
      </c>
      <c r="AN111" s="24">
        <f t="shared" ca="1" si="60"/>
        <v>0.11053140222818962</v>
      </c>
      <c r="AO111" s="24">
        <f t="shared" ca="1" si="60"/>
        <v>0.11053140222818962</v>
      </c>
      <c r="AP111" s="24">
        <f t="shared" ca="1" si="60"/>
        <v>0.11053140222818962</v>
      </c>
      <c r="AQ111" s="316"/>
      <c r="AR111" s="316"/>
      <c r="AS111" s="316"/>
      <c r="AT111" s="316"/>
      <c r="AU111" s="316"/>
      <c r="AV111" s="316"/>
      <c r="BB111" s="320">
        <v>2</v>
      </c>
    </row>
    <row r="112" spans="1:54">
      <c r="A112" s="22" t="str">
        <f>'[5]TS BYDem'!A23</f>
        <v/>
      </c>
      <c r="B112" s="22" t="str">
        <f>'[5]TS BYDem'!B23</f>
        <v>COM_PROJ</v>
      </c>
      <c r="C112" s="22" t="str">
        <f>'[5]TS BYDem'!C23</f>
        <v>-</v>
      </c>
      <c r="D112" s="22" t="str">
        <f>'[5]TS BYDem'!D23</f>
        <v>RMEK</v>
      </c>
      <c r="E112" s="111" t="s">
        <v>137</v>
      </c>
      <c r="F112" s="111" t="s">
        <v>137</v>
      </c>
      <c r="G112" s="111" t="s">
        <v>137</v>
      </c>
      <c r="H112" s="111" t="s">
        <v>137</v>
      </c>
      <c r="I112" s="111">
        <v>0</v>
      </c>
      <c r="J112" s="186">
        <f>'[5]TS BYDem'!J23</f>
        <v>9.0463558635584818</v>
      </c>
      <c r="K112" s="24">
        <f t="shared" si="45"/>
        <v>8.9672336009921683</v>
      </c>
      <c r="L112" s="24">
        <f t="shared" si="45"/>
        <v>8.8881113384258565</v>
      </c>
      <c r="M112" s="24">
        <f t="shared" si="45"/>
        <v>8.808989075859543</v>
      </c>
      <c r="N112" s="24">
        <f t="shared" si="45"/>
        <v>8.7298668132932313</v>
      </c>
      <c r="O112" s="24">
        <f>'[5]TS BYDem'!O23</f>
        <v>8.6507445507269178</v>
      </c>
      <c r="P112" s="24">
        <f t="shared" ref="P112:AP112" ca="1" si="61">OFFSET(P$33,$BB112,$J$96)/OFFSET(O$33,$BB112,$J$96)*O112</f>
        <v>8.8841538628427248</v>
      </c>
      <c r="Q112" s="24">
        <f t="shared" ca="1" si="61"/>
        <v>9.124241615290158</v>
      </c>
      <c r="R112" s="24">
        <f t="shared" ca="1" si="61"/>
        <v>9.5884301937215266</v>
      </c>
      <c r="S112" s="24">
        <f t="shared" ca="1" si="61"/>
        <v>9.1729667032841551</v>
      </c>
      <c r="T112" s="24">
        <f t="shared" ca="1" si="61"/>
        <v>9.3446785827092569</v>
      </c>
      <c r="U112" s="24">
        <f t="shared" ca="1" si="61"/>
        <v>9.5024523475172753</v>
      </c>
      <c r="V112" s="24">
        <f t="shared" ca="1" si="61"/>
        <v>9.6710074482033495</v>
      </c>
      <c r="W112" s="24">
        <f t="shared" ca="1" si="61"/>
        <v>9.8506546335990031</v>
      </c>
      <c r="X112" s="24">
        <f t="shared" ca="1" si="61"/>
        <v>10.002188336014683</v>
      </c>
      <c r="Y112" s="24">
        <f t="shared" ca="1" si="61"/>
        <v>10.182600916861716</v>
      </c>
      <c r="Z112" s="24">
        <f t="shared" ca="1" si="61"/>
        <v>10.359629851186048</v>
      </c>
      <c r="AA112" s="24">
        <f t="shared" ca="1" si="61"/>
        <v>10.538567180578356</v>
      </c>
      <c r="AB112" s="24">
        <f t="shared" ca="1" si="61"/>
        <v>10.728714931250002</v>
      </c>
      <c r="AC112" s="24">
        <f t="shared" ca="1" si="61"/>
        <v>10.851522894096792</v>
      </c>
      <c r="AD112" s="24">
        <f t="shared" ca="1" si="61"/>
        <v>11.022317209609527</v>
      </c>
      <c r="AE112" s="24">
        <f t="shared" ca="1" si="61"/>
        <v>11.182865483870522</v>
      </c>
      <c r="AF112" s="24">
        <f t="shared" ca="1" si="61"/>
        <v>11.350203382611749</v>
      </c>
      <c r="AG112" s="24">
        <f t="shared" ca="1" si="61"/>
        <v>11.504140701779152</v>
      </c>
      <c r="AH112" s="24">
        <f t="shared" ca="1" si="61"/>
        <v>11.644202829050331</v>
      </c>
      <c r="AI112" s="24">
        <f t="shared" ca="1" si="61"/>
        <v>11.796757305649447</v>
      </c>
      <c r="AJ112" s="24">
        <f t="shared" ca="1" si="61"/>
        <v>11.950115942434063</v>
      </c>
      <c r="AK112" s="24">
        <f t="shared" ca="1" si="61"/>
        <v>12.093775787165713</v>
      </c>
      <c r="AL112" s="24">
        <f t="shared" ca="1" si="61"/>
        <v>12.232795198046722</v>
      </c>
      <c r="AM112" s="24">
        <f t="shared" ca="1" si="61"/>
        <v>12.903078240026383</v>
      </c>
      <c r="AN112" s="24">
        <f t="shared" ca="1" si="61"/>
        <v>13.49597930702334</v>
      </c>
      <c r="AO112" s="24">
        <f t="shared" ca="1" si="61"/>
        <v>13.49597930702334</v>
      </c>
      <c r="AP112" s="24">
        <f t="shared" ca="1" si="61"/>
        <v>13.49597930702334</v>
      </c>
      <c r="AQ112" s="186"/>
      <c r="AR112" s="186"/>
      <c r="AS112" s="186"/>
      <c r="AT112" s="186"/>
      <c r="AU112" s="186"/>
      <c r="AV112" s="186"/>
      <c r="BB112" s="313">
        <f t="shared" ref="BB112:BB128" si="62">MATCH(MID(D112,2,2),$B$34:$B$38,0)</f>
        <v>2</v>
      </c>
    </row>
    <row r="113" spans="1:54">
      <c r="A113" s="22" t="str">
        <f>'[5]TS BYDem'!A24</f>
        <v/>
      </c>
      <c r="B113" s="22" t="str">
        <f>'[5]TS BYDem'!B24</f>
        <v>COM_PROJ</v>
      </c>
      <c r="C113" s="22" t="str">
        <f>'[5]TS BYDem'!C24</f>
        <v>-</v>
      </c>
      <c r="D113" s="22" t="str">
        <f>'[5]TS BYDem'!D24</f>
        <v>RMEH</v>
      </c>
      <c r="E113" s="111" t="s">
        <v>137</v>
      </c>
      <c r="F113" s="111" t="s">
        <v>137</v>
      </c>
      <c r="G113" s="111" t="s">
        <v>137</v>
      </c>
      <c r="H113" s="111" t="s">
        <v>137</v>
      </c>
      <c r="I113" s="111">
        <v>0</v>
      </c>
      <c r="J113" s="186">
        <f>'[5]TS BYDem'!J24</f>
        <v>13.162661948752438</v>
      </c>
      <c r="K113" s="24">
        <f t="shared" si="45"/>
        <v>13.134665662024011</v>
      </c>
      <c r="L113" s="24">
        <f t="shared" si="45"/>
        <v>13.106669375295583</v>
      </c>
      <c r="M113" s="24">
        <f t="shared" si="45"/>
        <v>13.078673088567156</v>
      </c>
      <c r="N113" s="24">
        <f t="shared" si="45"/>
        <v>13.050676801838728</v>
      </c>
      <c r="O113" s="24">
        <f>'[5]TS BYDem'!O24</f>
        <v>13.0226805151103</v>
      </c>
      <c r="P113" s="24">
        <f ca="1">IF(OR($E$78=1,$E$78=2,$E$78=3), P90,P82)</f>
        <v>13.374050837411678</v>
      </c>
      <c r="Q113" s="24">
        <f t="shared" ref="Q113:AN113" ca="1" si="63">IF(OR($E$78=1,$E$78=2,$E$78=3), Q90,Q82)</f>
        <v>13.735474767731189</v>
      </c>
      <c r="R113" s="24">
        <f t="shared" ca="1" si="63"/>
        <v>14.434256187090865</v>
      </c>
      <c r="S113" s="24">
        <f t="shared" ca="1" si="63"/>
        <v>13.808824668458882</v>
      </c>
      <c r="T113" s="24">
        <f t="shared" ca="1" si="63"/>
        <v>14.067316747757923</v>
      </c>
      <c r="U113" s="24">
        <f t="shared" ca="1" si="63"/>
        <v>14.304826631527213</v>
      </c>
      <c r="V113" s="24">
        <f t="shared" ca="1" si="63"/>
        <v>14.558566550970626</v>
      </c>
      <c r="W113" s="24">
        <f t="shared" ca="1" si="63"/>
        <v>14.829004301978982</v>
      </c>
      <c r="X113" s="24">
        <f t="shared" ca="1" si="63"/>
        <v>15.057120504261869</v>
      </c>
      <c r="Y113" s="24">
        <f t="shared" ca="1" si="63"/>
        <v>15.328710468281786</v>
      </c>
      <c r="Z113" s="24">
        <f t="shared" ca="1" si="63"/>
        <v>15.595206749627014</v>
      </c>
      <c r="AA113" s="24">
        <f t="shared" ca="1" si="63"/>
        <v>15.864575895743723</v>
      </c>
      <c r="AB113" s="24">
        <f t="shared" ca="1" si="63"/>
        <v>16.15082101524105</v>
      </c>
      <c r="AC113" s="24">
        <f t="shared" ca="1" si="63"/>
        <v>16.335693988369229</v>
      </c>
      <c r="AD113" s="24">
        <f t="shared" ca="1" si="63"/>
        <v>16.592804782899904</v>
      </c>
      <c r="AE113" s="24">
        <f t="shared" ca="1" si="63"/>
        <v>16.834491364984629</v>
      </c>
      <c r="AF113" s="24">
        <f t="shared" ca="1" si="63"/>
        <v>17.086398929772653</v>
      </c>
      <c r="AG113" s="24">
        <f t="shared" ca="1" si="63"/>
        <v>17.318133494943833</v>
      </c>
      <c r="AH113" s="24">
        <f t="shared" ca="1" si="63"/>
        <v>17.528980587355782</v>
      </c>
      <c r="AI113" s="24">
        <f t="shared" ca="1" si="63"/>
        <v>17.758633445355528</v>
      </c>
      <c r="AJ113" s="24">
        <f t="shared" ca="1" si="63"/>
        <v>17.989496872123929</v>
      </c>
      <c r="AK113" s="24">
        <f t="shared" ca="1" si="63"/>
        <v>18.205759905880186</v>
      </c>
      <c r="AL113" s="24">
        <f t="shared" ca="1" si="63"/>
        <v>18.415037311158567</v>
      </c>
      <c r="AM113" s="24">
        <f t="shared" ca="1" si="63"/>
        <v>19.424069754460099</v>
      </c>
      <c r="AN113" s="24">
        <f t="shared" ca="1" si="63"/>
        <v>20.316612717356925</v>
      </c>
      <c r="AO113" s="24">
        <f t="shared" ref="AO113:AP113" ca="1" si="64">IF($E$78=1, AO90,AO82)</f>
        <v>20.316612717356925</v>
      </c>
      <c r="AP113" s="24">
        <f t="shared" ca="1" si="64"/>
        <v>20.316612717356925</v>
      </c>
      <c r="AQ113" s="186"/>
      <c r="AR113" s="186"/>
      <c r="AS113" s="186"/>
      <c r="AT113" s="186"/>
      <c r="AU113" s="186"/>
      <c r="AV113" s="186"/>
      <c r="BB113" s="313">
        <f t="shared" si="62"/>
        <v>2</v>
      </c>
    </row>
    <row r="114" spans="1:54">
      <c r="A114" s="22" t="str">
        <f>'[5]TS BYDem'!A25</f>
        <v/>
      </c>
      <c r="B114" s="22" t="str">
        <f>'[5]TS BYDem'!B25</f>
        <v>COM_PROJ</v>
      </c>
      <c r="C114" s="22" t="str">
        <f>'[5]TS BYDem'!C25</f>
        <v>-</v>
      </c>
      <c r="D114" s="22" t="str">
        <f>'[5]TS BYDem'!D25</f>
        <v>RMEWG</v>
      </c>
      <c r="E114" s="111" t="s">
        <v>137</v>
      </c>
      <c r="F114" s="111" t="s">
        <v>137</v>
      </c>
      <c r="G114" s="111" t="s">
        <v>137</v>
      </c>
      <c r="H114" s="111" t="s">
        <v>137</v>
      </c>
      <c r="I114" s="111">
        <v>0</v>
      </c>
      <c r="J114" s="186">
        <f>'[5]TS BYDem'!J25</f>
        <v>8.7188816642673164</v>
      </c>
      <c r="K114" s="24">
        <f t="shared" si="45"/>
        <v>9.2321217736813583</v>
      </c>
      <c r="L114" s="24">
        <f t="shared" si="45"/>
        <v>9.7453618830953985</v>
      </c>
      <c r="M114" s="24">
        <f t="shared" si="45"/>
        <v>10.25860199250944</v>
      </c>
      <c r="N114" s="24">
        <f t="shared" si="45"/>
        <v>10.771842101923482</v>
      </c>
      <c r="O114" s="24">
        <f>'[5]TS BYDem'!O25</f>
        <v>11.285082211337523</v>
      </c>
      <c r="P114" s="24">
        <f t="shared" ref="P114:AP114" ca="1" si="65">OFFSET(P$33,$BB114,$J$96)/OFFSET(O$33,$BB114,$J$96)*O114</f>
        <v>11.589569676049132</v>
      </c>
      <c r="Q114" s="24">
        <f t="shared" ca="1" si="65"/>
        <v>11.902769309724233</v>
      </c>
      <c r="R114" s="24">
        <f t="shared" ca="1" si="65"/>
        <v>12.508313287869065</v>
      </c>
      <c r="S114" s="24">
        <f t="shared" ca="1" si="65"/>
        <v>11.966332234342174</v>
      </c>
      <c r="T114" s="24">
        <f t="shared" ca="1" si="65"/>
        <v>12.190334071942699</v>
      </c>
      <c r="U114" s="24">
        <f t="shared" ca="1" si="65"/>
        <v>12.39615333943004</v>
      </c>
      <c r="V114" s="24">
        <f t="shared" ca="1" si="65"/>
        <v>12.616037091311579</v>
      </c>
      <c r="W114" s="24">
        <f t="shared" ca="1" si="65"/>
        <v>12.850390706117484</v>
      </c>
      <c r="X114" s="24">
        <f t="shared" ca="1" si="65"/>
        <v>13.048069678085927</v>
      </c>
      <c r="Y114" s="24">
        <f t="shared" ca="1" si="65"/>
        <v>13.283421767710081</v>
      </c>
      <c r="Z114" s="24">
        <f t="shared" ca="1" si="65"/>
        <v>13.514359817715</v>
      </c>
      <c r="AA114" s="24">
        <f t="shared" ca="1" si="65"/>
        <v>13.747787410106421</v>
      </c>
      <c r="AB114" s="24">
        <f t="shared" ca="1" si="65"/>
        <v>13.995839238021061</v>
      </c>
      <c r="AC114" s="24">
        <f t="shared" ca="1" si="65"/>
        <v>14.156044865271545</v>
      </c>
      <c r="AD114" s="24">
        <f t="shared" ca="1" si="65"/>
        <v>14.378849721025652</v>
      </c>
      <c r="AE114" s="24">
        <f t="shared" ca="1" si="65"/>
        <v>14.588288395731571</v>
      </c>
      <c r="AF114" s="24">
        <f t="shared" ca="1" si="65"/>
        <v>14.806584281512702</v>
      </c>
      <c r="AG114" s="24">
        <f t="shared" ca="1" si="65"/>
        <v>15.00739882319872</v>
      </c>
      <c r="AH114" s="24">
        <f t="shared" ca="1" si="65"/>
        <v>15.190112878813419</v>
      </c>
      <c r="AI114" s="24">
        <f t="shared" ca="1" si="65"/>
        <v>15.389123472645361</v>
      </c>
      <c r="AJ114" s="24">
        <f t="shared" ca="1" si="65"/>
        <v>15.589183110724447</v>
      </c>
      <c r="AK114" s="24">
        <f t="shared" ca="1" si="65"/>
        <v>15.776590466098085</v>
      </c>
      <c r="AL114" s="24">
        <f t="shared" ca="1" si="65"/>
        <v>15.957944275768961</v>
      </c>
      <c r="AM114" s="24">
        <f t="shared" ca="1" si="65"/>
        <v>16.832342911545378</v>
      </c>
      <c r="AN114" s="24">
        <f t="shared" ca="1" si="65"/>
        <v>17.605795097656706</v>
      </c>
      <c r="AO114" s="24">
        <f t="shared" ca="1" si="65"/>
        <v>17.605795097656706</v>
      </c>
      <c r="AP114" s="24">
        <f t="shared" ca="1" si="65"/>
        <v>17.605795097656706</v>
      </c>
      <c r="AQ114" s="186"/>
      <c r="AR114" s="186"/>
      <c r="AS114" s="186"/>
      <c r="AT114" s="186"/>
      <c r="AU114" s="186"/>
      <c r="AV114" s="186"/>
      <c r="BB114" s="313">
        <f t="shared" si="62"/>
        <v>2</v>
      </c>
    </row>
    <row r="115" spans="1:54">
      <c r="A115" s="22" t="str">
        <f>'[5]TS BYDem'!A26</f>
        <v/>
      </c>
      <c r="B115" s="22" t="str">
        <f>'[5]TS BYDem'!B26</f>
        <v>COM_PROJ</v>
      </c>
      <c r="C115" s="22" t="str">
        <f>'[5]TS BYDem'!C26</f>
        <v>-</v>
      </c>
      <c r="D115" s="22" t="str">
        <f>'[5]TS BYDem'!D26</f>
        <v>RMEW</v>
      </c>
      <c r="E115" s="111" t="s">
        <v>137</v>
      </c>
      <c r="F115" s="111" t="s">
        <v>137</v>
      </c>
      <c r="G115" s="111" t="s">
        <v>137</v>
      </c>
      <c r="H115" s="111" t="s">
        <v>137</v>
      </c>
      <c r="I115" s="111">
        <v>0</v>
      </c>
      <c r="J115" s="186">
        <f>'[5]TS BYDem'!J26</f>
        <v>6.0852856077195092</v>
      </c>
      <c r="K115" s="24">
        <f t="shared" si="45"/>
        <v>5.9145223019360724</v>
      </c>
      <c r="L115" s="24">
        <f t="shared" si="45"/>
        <v>5.7437589961526347</v>
      </c>
      <c r="M115" s="24">
        <f t="shared" si="45"/>
        <v>5.572995690369198</v>
      </c>
      <c r="N115" s="24">
        <f t="shared" si="45"/>
        <v>5.4022323845857603</v>
      </c>
      <c r="O115" s="24">
        <f>'[5]TS BYDem'!O26</f>
        <v>5.2314690788023235</v>
      </c>
      <c r="P115" s="24">
        <f t="shared" ref="P115:AP115" ca="1" si="66">OFFSET(P$33,$BB115,$J$96)/OFFSET(O$33,$BB115,$J$96)*O115</f>
        <v>5.3726215069983168</v>
      </c>
      <c r="Q115" s="24">
        <f t="shared" ca="1" si="66"/>
        <v>5.5178126689570126</v>
      </c>
      <c r="R115" s="24">
        <f t="shared" ca="1" si="66"/>
        <v>5.7985270260342725</v>
      </c>
      <c r="S115" s="24">
        <f t="shared" ca="1" si="66"/>
        <v>5.5472787790366471</v>
      </c>
      <c r="T115" s="24">
        <f t="shared" ca="1" si="66"/>
        <v>5.6511201747000959</v>
      </c>
      <c r="U115" s="24">
        <f t="shared" ca="1" si="66"/>
        <v>5.7465326062196489</v>
      </c>
      <c r="V115" s="24">
        <f t="shared" ca="1" si="66"/>
        <v>5.8484649650059817</v>
      </c>
      <c r="W115" s="24">
        <f t="shared" ca="1" si="66"/>
        <v>5.9571051739475642</v>
      </c>
      <c r="X115" s="24">
        <f t="shared" ca="1" si="66"/>
        <v>6.0487439772824114</v>
      </c>
      <c r="Y115" s="24">
        <f t="shared" ca="1" si="66"/>
        <v>6.1578470530458578</v>
      </c>
      <c r="Z115" s="24">
        <f t="shared" ca="1" si="66"/>
        <v>6.2649038954413774</v>
      </c>
      <c r="AA115" s="24">
        <f t="shared" ca="1" si="66"/>
        <v>6.373114824601303</v>
      </c>
      <c r="AB115" s="24">
        <f t="shared" ca="1" si="66"/>
        <v>6.4881051670174292</v>
      </c>
      <c r="AC115" s="24">
        <f t="shared" ca="1" si="66"/>
        <v>6.5623723074348055</v>
      </c>
      <c r="AD115" s="24">
        <f t="shared" ca="1" si="66"/>
        <v>6.6656588136078492</v>
      </c>
      <c r="AE115" s="24">
        <f t="shared" ca="1" si="66"/>
        <v>6.7627491076890554</v>
      </c>
      <c r="AF115" s="24">
        <f t="shared" ca="1" si="66"/>
        <v>6.8639453732640137</v>
      </c>
      <c r="AG115" s="24">
        <f t="shared" ca="1" si="66"/>
        <v>6.957037744744377</v>
      </c>
      <c r="AH115" s="24">
        <f t="shared" ca="1" si="66"/>
        <v>7.0417392040966682</v>
      </c>
      <c r="AI115" s="24">
        <f t="shared" ca="1" si="66"/>
        <v>7.1339953125138438</v>
      </c>
      <c r="AJ115" s="24">
        <f t="shared" ca="1" si="66"/>
        <v>7.2267377304180442</v>
      </c>
      <c r="AK115" s="24">
        <f t="shared" ca="1" si="66"/>
        <v>7.3136148808381218</v>
      </c>
      <c r="AL115" s="24">
        <f t="shared" ca="1" si="66"/>
        <v>7.3976857657327875</v>
      </c>
      <c r="AM115" s="24">
        <f t="shared" ca="1" si="66"/>
        <v>7.8030341132189589</v>
      </c>
      <c r="AN115" s="24">
        <f t="shared" ca="1" si="66"/>
        <v>8.1615863257591901</v>
      </c>
      <c r="AO115" s="24">
        <f t="shared" ca="1" si="66"/>
        <v>8.1615863257591901</v>
      </c>
      <c r="AP115" s="24">
        <f t="shared" ca="1" si="66"/>
        <v>8.1615863257591901</v>
      </c>
      <c r="AQ115" s="186"/>
      <c r="AR115" s="186"/>
      <c r="AS115" s="186"/>
      <c r="AT115" s="186"/>
      <c r="AU115" s="186"/>
      <c r="AV115" s="186"/>
      <c r="BB115" s="313">
        <f t="shared" si="62"/>
        <v>2</v>
      </c>
    </row>
    <row r="116" spans="1:54">
      <c r="A116" s="22" t="str">
        <f>'[5]TS BYDem'!A27</f>
        <v/>
      </c>
      <c r="B116" s="22" t="str">
        <f>'[5]TS BYDem'!B27</f>
        <v>COM_PROJ</v>
      </c>
      <c r="C116" s="22" t="str">
        <f>'[5]TS BYDem'!C27</f>
        <v>-</v>
      </c>
      <c r="D116" s="22" t="str">
        <f>'[5]TS BYDem'!D27</f>
        <v>RMER</v>
      </c>
      <c r="E116" s="111" t="s">
        <v>137</v>
      </c>
      <c r="F116" s="111" t="s">
        <v>137</v>
      </c>
      <c r="G116" s="111" t="s">
        <v>137</v>
      </c>
      <c r="H116" s="111" t="s">
        <v>137</v>
      </c>
      <c r="I116" s="111">
        <v>0</v>
      </c>
      <c r="J116" s="186">
        <f>'[5]TS BYDem'!J27</f>
        <v>3.2555704876676663</v>
      </c>
      <c r="K116" s="24">
        <f t="shared" si="45"/>
        <v>3.548419543253142</v>
      </c>
      <c r="L116" s="24">
        <f t="shared" si="45"/>
        <v>3.8412685988386182</v>
      </c>
      <c r="M116" s="24">
        <f t="shared" si="45"/>
        <v>4.1341176544240943</v>
      </c>
      <c r="N116" s="24">
        <f t="shared" si="45"/>
        <v>4.4269667100095695</v>
      </c>
      <c r="O116" s="24">
        <f>'[5]TS BYDem'!O27</f>
        <v>4.7198157655950457</v>
      </c>
      <c r="P116" s="24">
        <f t="shared" ref="P116:AP116" ca="1" si="67">OFFSET(P$33,$BB116,$J$96)/OFFSET(O$33,$BB116,$J$96)*O116</f>
        <v>4.8471630643970087</v>
      </c>
      <c r="Q116" s="24">
        <f t="shared" ca="1" si="67"/>
        <v>4.9781540967275681</v>
      </c>
      <c r="R116" s="24">
        <f t="shared" ca="1" si="67"/>
        <v>5.2314137506038847</v>
      </c>
      <c r="S116" s="24">
        <f t="shared" ca="1" si="67"/>
        <v>5.0047383331647373</v>
      </c>
      <c r="T116" s="24">
        <f t="shared" ca="1" si="67"/>
        <v>5.0984237299416488</v>
      </c>
      <c r="U116" s="24">
        <f t="shared" ca="1" si="67"/>
        <v>5.1845045404628189</v>
      </c>
      <c r="V116" s="24">
        <f t="shared" ca="1" si="67"/>
        <v>5.2764676098754677</v>
      </c>
      <c r="W116" s="24">
        <f t="shared" ca="1" si="67"/>
        <v>5.3744824816478554</v>
      </c>
      <c r="X116" s="24">
        <f t="shared" ca="1" si="67"/>
        <v>5.4571587361004754</v>
      </c>
      <c r="Y116" s="24">
        <f t="shared" ca="1" si="67"/>
        <v>5.5555912049360003</v>
      </c>
      <c r="Z116" s="24">
        <f t="shared" ca="1" si="67"/>
        <v>5.6521775681433457</v>
      </c>
      <c r="AA116" s="24">
        <f t="shared" ca="1" si="67"/>
        <v>5.7498051449798764</v>
      </c>
      <c r="AB116" s="24">
        <f t="shared" ca="1" si="67"/>
        <v>5.8535490881919152</v>
      </c>
      <c r="AC116" s="24">
        <f t="shared" ca="1" si="67"/>
        <v>5.9205526802857529</v>
      </c>
      <c r="AD116" s="24">
        <f t="shared" ca="1" si="67"/>
        <v>6.0137374574230327</v>
      </c>
      <c r="AE116" s="24">
        <f t="shared" ca="1" si="67"/>
        <v>6.1013320305320544</v>
      </c>
      <c r="AF116" s="24">
        <f t="shared" ca="1" si="67"/>
        <v>6.192630998849646</v>
      </c>
      <c r="AG116" s="24">
        <f t="shared" ca="1" si="67"/>
        <v>6.2766186581383128</v>
      </c>
      <c r="AH116" s="24">
        <f t="shared" ca="1" si="67"/>
        <v>6.3530360615861747</v>
      </c>
      <c r="AI116" s="24">
        <f t="shared" ca="1" si="67"/>
        <v>6.4362692468388945</v>
      </c>
      <c r="AJ116" s="24">
        <f t="shared" ca="1" si="67"/>
        <v>6.519941179057188</v>
      </c>
      <c r="AK116" s="24">
        <f t="shared" ca="1" si="67"/>
        <v>6.5983214844830833</v>
      </c>
      <c r="AL116" s="24">
        <f t="shared" ca="1" si="67"/>
        <v>6.6741699855401153</v>
      </c>
      <c r="AM116" s="24">
        <f t="shared" ca="1" si="67"/>
        <v>7.0398740530218875</v>
      </c>
      <c r="AN116" s="24">
        <f t="shared" ca="1" si="67"/>
        <v>7.3633587874330102</v>
      </c>
      <c r="AO116" s="24">
        <f t="shared" ca="1" si="67"/>
        <v>7.3633587874330102</v>
      </c>
      <c r="AP116" s="24">
        <f t="shared" ca="1" si="67"/>
        <v>7.3633587874330102</v>
      </c>
      <c r="AQ116" s="186"/>
      <c r="AR116" s="186"/>
      <c r="AS116" s="186"/>
      <c r="AT116" s="186"/>
      <c r="AU116" s="186"/>
      <c r="AV116" s="186"/>
      <c r="BB116" s="313">
        <f t="shared" si="62"/>
        <v>2</v>
      </c>
    </row>
    <row r="117" spans="1:54">
      <c r="A117" s="22" t="str">
        <f>'[5]TS BYDem'!A28</f>
        <v/>
      </c>
      <c r="B117" s="22" t="str">
        <f>'[5]TS BYDem'!B28</f>
        <v>COM_PROJ</v>
      </c>
      <c r="C117" s="22" t="str">
        <f>'[5]TS BYDem'!C28</f>
        <v>-</v>
      </c>
      <c r="D117" s="22" t="str">
        <f>'[5]TS BYDem'!D28</f>
        <v>RMEO</v>
      </c>
      <c r="E117" s="111" t="s">
        <v>137</v>
      </c>
      <c r="F117" s="111" t="s">
        <v>137</v>
      </c>
      <c r="G117" s="111" t="s">
        <v>137</v>
      </c>
      <c r="H117" s="111" t="s">
        <v>137</v>
      </c>
      <c r="I117" s="111">
        <v>0</v>
      </c>
      <c r="J117" s="186">
        <f>'[5]TS BYDem'!J28</f>
        <v>5.817816552719238</v>
      </c>
      <c r="K117" s="24">
        <f t="shared" si="45"/>
        <v>6.4300655380120677</v>
      </c>
      <c r="L117" s="24">
        <f t="shared" si="45"/>
        <v>7.0423145233048983</v>
      </c>
      <c r="M117" s="24">
        <f t="shared" si="45"/>
        <v>7.6545635085977279</v>
      </c>
      <c r="N117" s="24">
        <f t="shared" si="45"/>
        <v>8.2668124938905585</v>
      </c>
      <c r="O117" s="24">
        <f>'[5]TS BYDem'!O28</f>
        <v>8.8790614791833882</v>
      </c>
      <c r="P117" s="24">
        <f ca="1">IF(OR($E$78=1,$E$78=2,$E$78=3), P92,P84)</f>
        <v>9.118631104657533</v>
      </c>
      <c r="Q117" s="24">
        <f t="shared" ref="Q117:AN117" ca="1" si="68">IF(OR($E$78=1,$E$78=2,$E$78=3), Q92,Q84)</f>
        <v>9.3650554328618139</v>
      </c>
      <c r="R117" s="24">
        <f t="shared" ca="1" si="68"/>
        <v>9.8414952238715401</v>
      </c>
      <c r="S117" s="24">
        <f t="shared" ca="1" si="68"/>
        <v>9.4150665098668522</v>
      </c>
      <c r="T117" s="24">
        <f t="shared" ca="1" si="68"/>
        <v>9.5913103378034315</v>
      </c>
      <c r="U117" s="24">
        <f t="shared" ca="1" si="68"/>
        <v>9.7532481859641305</v>
      </c>
      <c r="V117" s="24">
        <f t="shared" ca="1" si="68"/>
        <v>9.9262519190931862</v>
      </c>
      <c r="W117" s="24">
        <f t="shared" ca="1" si="68"/>
        <v>10.110640487537994</v>
      </c>
      <c r="X117" s="24">
        <f t="shared" ca="1" si="68"/>
        <v>10.266173580906708</v>
      </c>
      <c r="Y117" s="24">
        <f t="shared" ca="1" si="68"/>
        <v>10.451347745692829</v>
      </c>
      <c r="Z117" s="24">
        <f t="shared" ca="1" si="68"/>
        <v>10.633048960223315</v>
      </c>
      <c r="AA117" s="24">
        <f t="shared" ca="1" si="68"/>
        <v>10.816708937613548</v>
      </c>
      <c r="AB117" s="24">
        <f t="shared" ca="1" si="68"/>
        <v>11.011875210116658</v>
      </c>
      <c r="AC117" s="24">
        <f t="shared" ca="1" si="68"/>
        <v>11.137924412685967</v>
      </c>
      <c r="AD117" s="24">
        <f t="shared" ca="1" si="68"/>
        <v>11.313226459676269</v>
      </c>
      <c r="AE117" s="24">
        <f t="shared" ca="1" si="68"/>
        <v>11.478012044221172</v>
      </c>
      <c r="AF117" s="24">
        <f t="shared" ca="1" si="68"/>
        <v>11.649766450100129</v>
      </c>
      <c r="AG117" s="24">
        <f t="shared" ca="1" si="68"/>
        <v>11.807766598273872</v>
      </c>
      <c r="AH117" s="24">
        <f t="shared" ca="1" si="68"/>
        <v>11.951525350096166</v>
      </c>
      <c r="AI117" s="24">
        <f t="shared" ca="1" si="68"/>
        <v>12.108106158684992</v>
      </c>
      <c r="AJ117" s="24">
        <f t="shared" ca="1" si="68"/>
        <v>12.265512351457144</v>
      </c>
      <c r="AK117" s="24">
        <f t="shared" ca="1" si="68"/>
        <v>12.412963774393342</v>
      </c>
      <c r="AL117" s="24">
        <f t="shared" ca="1" si="68"/>
        <v>12.555652289673638</v>
      </c>
      <c r="AM117" s="24">
        <f t="shared" ca="1" si="68"/>
        <v>13.243625943651361</v>
      </c>
      <c r="AN117" s="24">
        <f t="shared" ca="1" si="68"/>
        <v>13.85217529961368</v>
      </c>
      <c r="AO117" s="24">
        <f t="shared" ref="AO117:AP117" ca="1" si="69">IF($E$78=1, AO92,AO84)</f>
        <v>13.85217529961368</v>
      </c>
      <c r="AP117" s="24">
        <f t="shared" ca="1" si="69"/>
        <v>13.85217529961368</v>
      </c>
      <c r="AQ117" s="186"/>
      <c r="AR117" s="186"/>
      <c r="AS117" s="186"/>
      <c r="AT117" s="186"/>
      <c r="AU117" s="186"/>
      <c r="AV117" s="186"/>
      <c r="BB117" s="313">
        <f t="shared" si="62"/>
        <v>2</v>
      </c>
    </row>
    <row r="118" spans="1:54">
      <c r="A118" s="22" t="str">
        <f>'[5]TS BYDem'!A29</f>
        <v>*</v>
      </c>
      <c r="B118" s="22" t="str">
        <f>'[5]TS BYDem'!B29</f>
        <v>COM_PROJ</v>
      </c>
      <c r="C118" s="22" t="str">
        <f>'[5]TS BYDem'!C29</f>
        <v>-</v>
      </c>
      <c r="D118" s="22">
        <f>'[5]TS BYDem'!D29</f>
        <v>0</v>
      </c>
      <c r="E118" s="111" t="s">
        <v>137</v>
      </c>
      <c r="F118" s="111" t="s">
        <v>137</v>
      </c>
      <c r="G118" s="111" t="s">
        <v>137</v>
      </c>
      <c r="H118" s="111" t="s">
        <v>137</v>
      </c>
      <c r="I118" s="111">
        <v>0</v>
      </c>
      <c r="J118" s="186">
        <f>'[5]TS BYDem'!J29</f>
        <v>0</v>
      </c>
      <c r="K118" s="24">
        <f t="shared" si="45"/>
        <v>0</v>
      </c>
      <c r="L118" s="24">
        <f t="shared" si="45"/>
        <v>0</v>
      </c>
      <c r="M118" s="24">
        <f t="shared" si="45"/>
        <v>0</v>
      </c>
      <c r="N118" s="24">
        <f t="shared" si="45"/>
        <v>0</v>
      </c>
      <c r="O118" s="24">
        <f>'[5]TS BYDem'!O29</f>
        <v>0</v>
      </c>
      <c r="P118" s="24" t="e">
        <f t="shared" ref="P118:AP118" ca="1" si="70">OFFSET(P$33,$BB118,$J$96)/OFFSET(O$33,$BB118,$J$96)*O118</f>
        <v>#N/A</v>
      </c>
      <c r="Q118" s="24" t="e">
        <f t="shared" ca="1" si="70"/>
        <v>#N/A</v>
      </c>
      <c r="R118" s="24" t="e">
        <f t="shared" ca="1" si="70"/>
        <v>#N/A</v>
      </c>
      <c r="S118" s="24" t="e">
        <f t="shared" ca="1" si="70"/>
        <v>#N/A</v>
      </c>
      <c r="T118" s="24" t="e">
        <f t="shared" ca="1" si="70"/>
        <v>#N/A</v>
      </c>
      <c r="U118" s="24" t="e">
        <f t="shared" ca="1" si="70"/>
        <v>#N/A</v>
      </c>
      <c r="V118" s="24" t="e">
        <f t="shared" ca="1" si="70"/>
        <v>#N/A</v>
      </c>
      <c r="W118" s="24" t="e">
        <f t="shared" ca="1" si="70"/>
        <v>#N/A</v>
      </c>
      <c r="X118" s="24" t="e">
        <f t="shared" ca="1" si="70"/>
        <v>#N/A</v>
      </c>
      <c r="Y118" s="24" t="e">
        <f t="shared" ca="1" si="70"/>
        <v>#N/A</v>
      </c>
      <c r="Z118" s="24" t="e">
        <f t="shared" ca="1" si="70"/>
        <v>#N/A</v>
      </c>
      <c r="AA118" s="24" t="e">
        <f t="shared" ca="1" si="70"/>
        <v>#N/A</v>
      </c>
      <c r="AB118" s="24" t="e">
        <f t="shared" ca="1" si="70"/>
        <v>#N/A</v>
      </c>
      <c r="AC118" s="24" t="e">
        <f t="shared" ca="1" si="70"/>
        <v>#N/A</v>
      </c>
      <c r="AD118" s="24" t="e">
        <f t="shared" ca="1" si="70"/>
        <v>#N/A</v>
      </c>
      <c r="AE118" s="24" t="e">
        <f t="shared" ca="1" si="70"/>
        <v>#N/A</v>
      </c>
      <c r="AF118" s="24" t="e">
        <f t="shared" ca="1" si="70"/>
        <v>#N/A</v>
      </c>
      <c r="AG118" s="24" t="e">
        <f t="shared" ca="1" si="70"/>
        <v>#N/A</v>
      </c>
      <c r="AH118" s="24" t="e">
        <f t="shared" ca="1" si="70"/>
        <v>#N/A</v>
      </c>
      <c r="AI118" s="24" t="e">
        <f t="shared" ca="1" si="70"/>
        <v>#N/A</v>
      </c>
      <c r="AJ118" s="24" t="e">
        <f t="shared" ca="1" si="70"/>
        <v>#N/A</v>
      </c>
      <c r="AK118" s="24" t="e">
        <f t="shared" ca="1" si="70"/>
        <v>#N/A</v>
      </c>
      <c r="AL118" s="24" t="e">
        <f t="shared" ca="1" si="70"/>
        <v>#N/A</v>
      </c>
      <c r="AM118" s="24" t="e">
        <f t="shared" ca="1" si="70"/>
        <v>#N/A</v>
      </c>
      <c r="AN118" s="24" t="e">
        <f t="shared" ca="1" si="70"/>
        <v>#N/A</v>
      </c>
      <c r="AO118" s="24" t="e">
        <f t="shared" ca="1" si="70"/>
        <v>#N/A</v>
      </c>
      <c r="AP118" s="24" t="e">
        <f t="shared" ca="1" si="70"/>
        <v>#N/A</v>
      </c>
      <c r="AQ118" s="186"/>
      <c r="AR118" s="186"/>
      <c r="AS118" s="186"/>
      <c r="AT118" s="186"/>
      <c r="AU118" s="186"/>
      <c r="AV118" s="186"/>
      <c r="BB118" s="313" t="e">
        <f t="shared" si="62"/>
        <v>#N/A</v>
      </c>
    </row>
    <row r="119" spans="1:54">
      <c r="A119" s="22" t="str">
        <f>'[5]TS BYDem'!A30</f>
        <v>*</v>
      </c>
      <c r="B119" s="22" t="str">
        <f>'[5]TS BYDem'!B30</f>
        <v>COM_PROJ</v>
      </c>
      <c r="C119" s="22" t="str">
        <f>'[5]TS BYDem'!C30</f>
        <v>-</v>
      </c>
      <c r="D119" s="22">
        <f>'[5]TS BYDem'!D30</f>
        <v>0</v>
      </c>
      <c r="E119" s="111" t="s">
        <v>137</v>
      </c>
      <c r="F119" s="111" t="s">
        <v>137</v>
      </c>
      <c r="G119" s="111" t="s">
        <v>137</v>
      </c>
      <c r="H119" s="111" t="s">
        <v>137</v>
      </c>
      <c r="I119" s="111">
        <v>0</v>
      </c>
      <c r="J119" s="186">
        <f>'[5]TS BYDem'!J30</f>
        <v>0</v>
      </c>
      <c r="K119" s="24">
        <f t="shared" si="45"/>
        <v>0</v>
      </c>
      <c r="L119" s="24">
        <f t="shared" si="45"/>
        <v>0</v>
      </c>
      <c r="M119" s="24">
        <f t="shared" si="45"/>
        <v>0</v>
      </c>
      <c r="N119" s="24">
        <f t="shared" si="45"/>
        <v>0</v>
      </c>
      <c r="O119" s="24">
        <f>'[5]TS BYDem'!O30</f>
        <v>0</v>
      </c>
      <c r="P119" s="24" t="e">
        <f t="shared" ref="P119:AP119" ca="1" si="71">OFFSET(P$33,$BB119,$J$96)/OFFSET(O$33,$BB119,$J$96)*O119</f>
        <v>#N/A</v>
      </c>
      <c r="Q119" s="24" t="e">
        <f t="shared" ca="1" si="71"/>
        <v>#N/A</v>
      </c>
      <c r="R119" s="24" t="e">
        <f t="shared" ca="1" si="71"/>
        <v>#N/A</v>
      </c>
      <c r="S119" s="24" t="e">
        <f t="shared" ca="1" si="71"/>
        <v>#N/A</v>
      </c>
      <c r="T119" s="24" t="e">
        <f t="shared" ca="1" si="71"/>
        <v>#N/A</v>
      </c>
      <c r="U119" s="24" t="e">
        <f t="shared" ca="1" si="71"/>
        <v>#N/A</v>
      </c>
      <c r="V119" s="24" t="e">
        <f t="shared" ca="1" si="71"/>
        <v>#N/A</v>
      </c>
      <c r="W119" s="24" t="e">
        <f t="shared" ca="1" si="71"/>
        <v>#N/A</v>
      </c>
      <c r="X119" s="24" t="e">
        <f t="shared" ca="1" si="71"/>
        <v>#N/A</v>
      </c>
      <c r="Y119" s="24" t="e">
        <f t="shared" ca="1" si="71"/>
        <v>#N/A</v>
      </c>
      <c r="Z119" s="24" t="e">
        <f t="shared" ca="1" si="71"/>
        <v>#N/A</v>
      </c>
      <c r="AA119" s="24" t="e">
        <f t="shared" ca="1" si="71"/>
        <v>#N/A</v>
      </c>
      <c r="AB119" s="24" t="e">
        <f t="shared" ca="1" si="71"/>
        <v>#N/A</v>
      </c>
      <c r="AC119" s="24" t="e">
        <f t="shared" ca="1" si="71"/>
        <v>#N/A</v>
      </c>
      <c r="AD119" s="24" t="e">
        <f t="shared" ca="1" si="71"/>
        <v>#N/A</v>
      </c>
      <c r="AE119" s="24" t="e">
        <f t="shared" ca="1" si="71"/>
        <v>#N/A</v>
      </c>
      <c r="AF119" s="24" t="e">
        <f t="shared" ca="1" si="71"/>
        <v>#N/A</v>
      </c>
      <c r="AG119" s="24" t="e">
        <f t="shared" ca="1" si="71"/>
        <v>#N/A</v>
      </c>
      <c r="AH119" s="24" t="e">
        <f t="shared" ca="1" si="71"/>
        <v>#N/A</v>
      </c>
      <c r="AI119" s="24" t="e">
        <f t="shared" ca="1" si="71"/>
        <v>#N/A</v>
      </c>
      <c r="AJ119" s="24" t="e">
        <f t="shared" ca="1" si="71"/>
        <v>#N/A</v>
      </c>
      <c r="AK119" s="24" t="e">
        <f t="shared" ca="1" si="71"/>
        <v>#N/A</v>
      </c>
      <c r="AL119" s="24" t="e">
        <f t="shared" ca="1" si="71"/>
        <v>#N/A</v>
      </c>
      <c r="AM119" s="24" t="e">
        <f t="shared" ca="1" si="71"/>
        <v>#N/A</v>
      </c>
      <c r="AN119" s="24" t="e">
        <f t="shared" ca="1" si="71"/>
        <v>#N/A</v>
      </c>
      <c r="AO119" s="24" t="e">
        <f t="shared" ca="1" si="71"/>
        <v>#N/A</v>
      </c>
      <c r="AP119" s="24" t="e">
        <f t="shared" ca="1" si="71"/>
        <v>#N/A</v>
      </c>
      <c r="AQ119" s="186"/>
      <c r="AR119" s="186"/>
      <c r="AS119" s="186"/>
      <c r="AT119" s="186"/>
      <c r="AU119" s="186"/>
      <c r="AV119" s="186"/>
      <c r="BB119" s="313" t="e">
        <f t="shared" si="62"/>
        <v>#N/A</v>
      </c>
    </row>
    <row r="120" spans="1:54">
      <c r="A120" s="22" t="str">
        <f>'[5]TS BYDem'!A31</f>
        <v>*</v>
      </c>
      <c r="B120" s="22" t="str">
        <f>'[5]TS BYDem'!B31</f>
        <v>COM_PROJ</v>
      </c>
      <c r="C120" s="22" t="str">
        <f>'[5]TS BYDem'!C31</f>
        <v>-</v>
      </c>
      <c r="D120" s="22">
        <f>'[5]TS BYDem'!D31</f>
        <v>0</v>
      </c>
      <c r="E120" s="111" t="s">
        <v>137</v>
      </c>
      <c r="F120" s="111" t="s">
        <v>137</v>
      </c>
      <c r="G120" s="111" t="s">
        <v>137</v>
      </c>
      <c r="H120" s="111" t="s">
        <v>137</v>
      </c>
      <c r="I120" s="111">
        <v>0</v>
      </c>
      <c r="J120" s="186">
        <f>'[5]TS BYDem'!J31</f>
        <v>0</v>
      </c>
      <c r="K120" s="24">
        <f t="shared" si="45"/>
        <v>0</v>
      </c>
      <c r="L120" s="24">
        <f t="shared" si="45"/>
        <v>0</v>
      </c>
      <c r="M120" s="24">
        <f t="shared" si="45"/>
        <v>0</v>
      </c>
      <c r="N120" s="24">
        <f t="shared" si="45"/>
        <v>0</v>
      </c>
      <c r="O120" s="24">
        <f>'[5]TS BYDem'!O31</f>
        <v>0</v>
      </c>
      <c r="P120" s="24" t="e">
        <f t="shared" ref="P120:AP120" ca="1" si="72">OFFSET(P$33,$BB120,$J$96)/OFFSET(O$33,$BB120,$J$96)*O120</f>
        <v>#N/A</v>
      </c>
      <c r="Q120" s="24" t="e">
        <f t="shared" ca="1" si="72"/>
        <v>#N/A</v>
      </c>
      <c r="R120" s="24" t="e">
        <f t="shared" ca="1" si="72"/>
        <v>#N/A</v>
      </c>
      <c r="S120" s="24" t="e">
        <f t="shared" ca="1" si="72"/>
        <v>#N/A</v>
      </c>
      <c r="T120" s="24" t="e">
        <f t="shared" ca="1" si="72"/>
        <v>#N/A</v>
      </c>
      <c r="U120" s="24" t="e">
        <f t="shared" ca="1" si="72"/>
        <v>#N/A</v>
      </c>
      <c r="V120" s="24" t="e">
        <f t="shared" ca="1" si="72"/>
        <v>#N/A</v>
      </c>
      <c r="W120" s="24" t="e">
        <f t="shared" ca="1" si="72"/>
        <v>#N/A</v>
      </c>
      <c r="X120" s="24" t="e">
        <f t="shared" ca="1" si="72"/>
        <v>#N/A</v>
      </c>
      <c r="Y120" s="24" t="e">
        <f t="shared" ca="1" si="72"/>
        <v>#N/A</v>
      </c>
      <c r="Z120" s="24" t="e">
        <f t="shared" ca="1" si="72"/>
        <v>#N/A</v>
      </c>
      <c r="AA120" s="24" t="e">
        <f t="shared" ca="1" si="72"/>
        <v>#N/A</v>
      </c>
      <c r="AB120" s="24" t="e">
        <f t="shared" ca="1" si="72"/>
        <v>#N/A</v>
      </c>
      <c r="AC120" s="24" t="e">
        <f t="shared" ca="1" si="72"/>
        <v>#N/A</v>
      </c>
      <c r="AD120" s="24" t="e">
        <f t="shared" ca="1" si="72"/>
        <v>#N/A</v>
      </c>
      <c r="AE120" s="24" t="e">
        <f t="shared" ca="1" si="72"/>
        <v>#N/A</v>
      </c>
      <c r="AF120" s="24" t="e">
        <f t="shared" ca="1" si="72"/>
        <v>#N/A</v>
      </c>
      <c r="AG120" s="24" t="e">
        <f t="shared" ca="1" si="72"/>
        <v>#N/A</v>
      </c>
      <c r="AH120" s="24" t="e">
        <f t="shared" ca="1" si="72"/>
        <v>#N/A</v>
      </c>
      <c r="AI120" s="24" t="e">
        <f t="shared" ca="1" si="72"/>
        <v>#N/A</v>
      </c>
      <c r="AJ120" s="24" t="e">
        <f t="shared" ca="1" si="72"/>
        <v>#N/A</v>
      </c>
      <c r="AK120" s="24" t="e">
        <f t="shared" ca="1" si="72"/>
        <v>#N/A</v>
      </c>
      <c r="AL120" s="24" t="e">
        <f t="shared" ca="1" si="72"/>
        <v>#N/A</v>
      </c>
      <c r="AM120" s="24" t="e">
        <f t="shared" ca="1" si="72"/>
        <v>#N/A</v>
      </c>
      <c r="AN120" s="24" t="e">
        <f t="shared" ca="1" si="72"/>
        <v>#N/A</v>
      </c>
      <c r="AO120" s="24" t="e">
        <f t="shared" ca="1" si="72"/>
        <v>#N/A</v>
      </c>
      <c r="AP120" s="24" t="e">
        <f t="shared" ca="1" si="72"/>
        <v>#N/A</v>
      </c>
      <c r="AQ120" s="186"/>
      <c r="AR120" s="186"/>
      <c r="AS120" s="186"/>
      <c r="AT120" s="186"/>
      <c r="AU120" s="186"/>
      <c r="AV120" s="186"/>
      <c r="BB120" s="313" t="e">
        <f t="shared" si="62"/>
        <v>#N/A</v>
      </c>
    </row>
    <row r="121" spans="1:54" s="315" customFormat="1">
      <c r="A121" s="319" t="str">
        <f>'[5]TS BYDem'!A32</f>
        <v/>
      </c>
      <c r="B121" s="319" t="str">
        <f>'[5]TS BYDem'!B32</f>
        <v>COM_PROJ</v>
      </c>
      <c r="C121" s="319" t="str">
        <f>'[5]TS BYDem'!C32</f>
        <v>-</v>
      </c>
      <c r="D121" s="319" t="str">
        <f>'[5]TS BYDem'!D32</f>
        <v>RHEL</v>
      </c>
      <c r="E121" s="318" t="s">
        <v>137</v>
      </c>
      <c r="F121" s="318" t="s">
        <v>137</v>
      </c>
      <c r="G121" s="318" t="s">
        <v>137</v>
      </c>
      <c r="H121" s="318" t="s">
        <v>137</v>
      </c>
      <c r="I121" s="318">
        <v>0</v>
      </c>
      <c r="J121" s="316">
        <f>'[5]TS BYDem'!J32</f>
        <v>29.155130644409116</v>
      </c>
      <c r="K121" s="317">
        <f t="shared" si="45"/>
        <v>29.929626969295743</v>
      </c>
      <c r="L121" s="317">
        <f t="shared" si="45"/>
        <v>30.70412329418237</v>
      </c>
      <c r="M121" s="317">
        <f t="shared" si="45"/>
        <v>31.478619619069001</v>
      </c>
      <c r="N121" s="317">
        <f t="shared" si="45"/>
        <v>32.253115943955628</v>
      </c>
      <c r="O121" s="317">
        <f>'[5]TS BYDem'!O32</f>
        <v>33.027612268842255</v>
      </c>
      <c r="P121" s="24">
        <f t="shared" ref="P121:AP121" ca="1" si="73">OFFSET(P$33,$BB121,$J$96)/OFFSET(O$33,$BB121,$J$96)*O121</f>
        <v>34.248550627720562</v>
      </c>
      <c r="Q121" s="24">
        <f t="shared" ca="1" si="73"/>
        <v>34.755017633641756</v>
      </c>
      <c r="R121" s="24">
        <f t="shared" ca="1" si="73"/>
        <v>29.75433118927532</v>
      </c>
      <c r="S121" s="24">
        <f t="shared" ca="1" si="73"/>
        <v>30.533666323137812</v>
      </c>
      <c r="T121" s="24">
        <f t="shared" ca="1" si="73"/>
        <v>31.628891726790076</v>
      </c>
      <c r="U121" s="24">
        <f t="shared" ca="1" si="73"/>
        <v>32.869090764580896</v>
      </c>
      <c r="V121" s="24">
        <f t="shared" ca="1" si="73"/>
        <v>34.2284790907147</v>
      </c>
      <c r="W121" s="24">
        <f t="shared" ca="1" si="73"/>
        <v>35.515502779635646</v>
      </c>
      <c r="X121" s="24">
        <f t="shared" ca="1" si="73"/>
        <v>37.055998726024185</v>
      </c>
      <c r="Y121" s="24">
        <f t="shared" ca="1" si="73"/>
        <v>38.587372811824963</v>
      </c>
      <c r="Z121" s="24">
        <f t="shared" ca="1" si="73"/>
        <v>40.104882018378504</v>
      </c>
      <c r="AA121" s="24">
        <f t="shared" ca="1" si="73"/>
        <v>41.494344149702997</v>
      </c>
      <c r="AB121" s="24">
        <f t="shared" ca="1" si="73"/>
        <v>42.484943932587022</v>
      </c>
      <c r="AC121" s="24">
        <f t="shared" ca="1" si="73"/>
        <v>43.878602994299335</v>
      </c>
      <c r="AD121" s="24">
        <f t="shared" ca="1" si="73"/>
        <v>45.236612632682125</v>
      </c>
      <c r="AE121" s="24">
        <f t="shared" ca="1" si="73"/>
        <v>46.597708155405165</v>
      </c>
      <c r="AF121" s="24">
        <f t="shared" ca="1" si="73"/>
        <v>47.81050566865305</v>
      </c>
      <c r="AG121" s="24">
        <f t="shared" ca="1" si="73"/>
        <v>49.005340733269705</v>
      </c>
      <c r="AH121" s="24">
        <f t="shared" ca="1" si="73"/>
        <v>50.35398991833803</v>
      </c>
      <c r="AI121" s="24">
        <f t="shared" ca="1" si="73"/>
        <v>51.699033106894966</v>
      </c>
      <c r="AJ121" s="24">
        <f t="shared" ca="1" si="73"/>
        <v>52.958769744021531</v>
      </c>
      <c r="AK121" s="24">
        <f t="shared" ca="1" si="73"/>
        <v>54.215872221150157</v>
      </c>
      <c r="AL121" s="24">
        <f t="shared" ca="1" si="73"/>
        <v>55.504359649602314</v>
      </c>
      <c r="AM121" s="24">
        <f t="shared" ca="1" si="73"/>
        <v>62.341678512425815</v>
      </c>
      <c r="AN121" s="24">
        <f t="shared" ca="1" si="73"/>
        <v>68.376855078374234</v>
      </c>
      <c r="AO121" s="24">
        <f t="shared" ca="1" si="73"/>
        <v>68.376855078374234</v>
      </c>
      <c r="AP121" s="24">
        <f t="shared" ca="1" si="73"/>
        <v>68.376855078374234</v>
      </c>
      <c r="AQ121" s="316"/>
      <c r="AR121" s="316"/>
      <c r="AS121" s="316"/>
      <c r="AU121" s="316"/>
      <c r="AV121" s="316"/>
      <c r="BB121" s="315">
        <f t="shared" si="62"/>
        <v>3</v>
      </c>
    </row>
    <row r="122" spans="1:54">
      <c r="A122" s="22" t="str">
        <f>'[5]TS BYDem'!A33</f>
        <v/>
      </c>
      <c r="B122" s="22" t="str">
        <f>'[5]TS BYDem'!B33</f>
        <v>COM_PROJ</v>
      </c>
      <c r="C122" s="22" t="str">
        <f>'[5]TS BYDem'!C33</f>
        <v>-</v>
      </c>
      <c r="D122" s="22" t="str">
        <f>'[5]TS BYDem'!D33</f>
        <v>RHEK</v>
      </c>
      <c r="E122" s="111" t="s">
        <v>137</v>
      </c>
      <c r="F122" s="111" t="s">
        <v>137</v>
      </c>
      <c r="G122" s="111" t="s">
        <v>137</v>
      </c>
      <c r="H122" s="111" t="s">
        <v>137</v>
      </c>
      <c r="I122" s="111">
        <v>0</v>
      </c>
      <c r="J122" s="186">
        <f>'[5]TS BYDem'!J33</f>
        <v>3.8919384966800701</v>
      </c>
      <c r="K122" s="24">
        <f t="shared" si="45"/>
        <v>4.2255463871795502</v>
      </c>
      <c r="L122" s="24">
        <f t="shared" si="45"/>
        <v>4.5591542776790295</v>
      </c>
      <c r="M122" s="24">
        <f t="shared" si="45"/>
        <v>4.8927621681785096</v>
      </c>
      <c r="N122" s="24">
        <f t="shared" si="45"/>
        <v>5.2263700586779898</v>
      </c>
      <c r="O122" s="24">
        <f>'[5]TS BYDem'!O33</f>
        <v>5.559977949177469</v>
      </c>
      <c r="P122" s="24">
        <f t="shared" ref="P122:AP122" ca="1" si="74">OFFSET(P$33,$BB122,$J$96)/OFFSET(O$33,$BB122,$J$96)*O122</f>
        <v>5.7655147678070247</v>
      </c>
      <c r="Q122" s="24">
        <f t="shared" ca="1" si="74"/>
        <v>5.8507751057928949</v>
      </c>
      <c r="R122" s="24">
        <f t="shared" ca="1" si="74"/>
        <v>5.0089429401761976</v>
      </c>
      <c r="S122" s="24">
        <f t="shared" ca="1" si="74"/>
        <v>5.1401388051398449</v>
      </c>
      <c r="T122" s="24">
        <f t="shared" ca="1" si="74"/>
        <v>5.3245126873362958</v>
      </c>
      <c r="U122" s="24">
        <f t="shared" ca="1" si="74"/>
        <v>5.5332919126275275</v>
      </c>
      <c r="V122" s="24">
        <f t="shared" ca="1" si="74"/>
        <v>5.762135858600681</v>
      </c>
      <c r="W122" s="24">
        <f t="shared" ca="1" si="74"/>
        <v>5.9787977011892899</v>
      </c>
      <c r="X122" s="24">
        <f t="shared" ca="1" si="74"/>
        <v>6.2381299054975541</v>
      </c>
      <c r="Y122" s="24">
        <f t="shared" ca="1" si="74"/>
        <v>6.4959265054965947</v>
      </c>
      <c r="Z122" s="24">
        <f t="shared" ca="1" si="74"/>
        <v>6.7513890456715355</v>
      </c>
      <c r="AA122" s="24">
        <f t="shared" ca="1" si="74"/>
        <v>6.985295715899384</v>
      </c>
      <c r="AB122" s="24">
        <f t="shared" ca="1" si="74"/>
        <v>7.1520565735860613</v>
      </c>
      <c r="AC122" s="24">
        <f t="shared" ca="1" si="74"/>
        <v>7.3866697690153238</v>
      </c>
      <c r="AD122" s="24">
        <f t="shared" ca="1" si="74"/>
        <v>7.6152816221132174</v>
      </c>
      <c r="AE122" s="24">
        <f t="shared" ca="1" si="74"/>
        <v>7.8444129632305861</v>
      </c>
      <c r="AF122" s="24">
        <f t="shared" ca="1" si="74"/>
        <v>8.0485793248672373</v>
      </c>
      <c r="AG122" s="24">
        <f t="shared" ca="1" si="74"/>
        <v>8.24972182823978</v>
      </c>
      <c r="AH122" s="24">
        <f t="shared" ca="1" si="74"/>
        <v>8.476757911536362</v>
      </c>
      <c r="AI122" s="24">
        <f t="shared" ca="1" si="74"/>
        <v>8.7031869494030492</v>
      </c>
      <c r="AJ122" s="24">
        <f t="shared" ca="1" si="74"/>
        <v>8.9152551990597839</v>
      </c>
      <c r="AK122" s="24">
        <f t="shared" ca="1" si="74"/>
        <v>9.1268800054732129</v>
      </c>
      <c r="AL122" s="24">
        <f t="shared" ca="1" si="74"/>
        <v>9.3437882588362555</v>
      </c>
      <c r="AM122" s="24">
        <f t="shared" ca="1" si="74"/>
        <v>10.49480522607421</v>
      </c>
      <c r="AN122" s="24">
        <f t="shared" ca="1" si="74"/>
        <v>11.510786894773934</v>
      </c>
      <c r="AO122" s="24">
        <f t="shared" ca="1" si="74"/>
        <v>11.510786894773934</v>
      </c>
      <c r="AP122" s="24">
        <f t="shared" ca="1" si="74"/>
        <v>11.510786894773934</v>
      </c>
      <c r="AQ122" s="186"/>
      <c r="AR122" s="186"/>
      <c r="AS122" s="186"/>
      <c r="AU122" s="186"/>
      <c r="AV122" s="186"/>
      <c r="BB122" s="313">
        <f t="shared" si="62"/>
        <v>3</v>
      </c>
    </row>
    <row r="123" spans="1:54">
      <c r="A123" s="22" t="str">
        <f>'[5]TS BYDem'!A34</f>
        <v/>
      </c>
      <c r="B123" s="22" t="str">
        <f>'[5]TS BYDem'!B34</f>
        <v>COM_PROJ</v>
      </c>
      <c r="C123" s="22" t="str">
        <f>'[5]TS BYDem'!C34</f>
        <v>-</v>
      </c>
      <c r="D123" s="22" t="str">
        <f>'[5]TS BYDem'!D34</f>
        <v>RHEH</v>
      </c>
      <c r="E123" s="111" t="s">
        <v>137</v>
      </c>
      <c r="F123" s="111" t="s">
        <v>137</v>
      </c>
      <c r="G123" s="111" t="s">
        <v>137</v>
      </c>
      <c r="H123" s="111" t="s">
        <v>137</v>
      </c>
      <c r="I123" s="111">
        <v>0</v>
      </c>
      <c r="J123" s="186">
        <f>'[5]TS BYDem'!J34</f>
        <v>7.0843020492948998</v>
      </c>
      <c r="K123" s="24">
        <f t="shared" si="45"/>
        <v>7.2331507185231221</v>
      </c>
      <c r="L123" s="24">
        <f t="shared" si="45"/>
        <v>7.3819993877513435</v>
      </c>
      <c r="M123" s="24">
        <f t="shared" si="45"/>
        <v>7.5308480569795657</v>
      </c>
      <c r="N123" s="24">
        <f t="shared" si="45"/>
        <v>7.6796967262077871</v>
      </c>
      <c r="O123" s="24">
        <f>'[5]TS BYDem'!O34</f>
        <v>7.8285453954360094</v>
      </c>
      <c r="P123" s="24">
        <f ca="1">IF(OR($E$78=1,$E$78=2,$E$78=3), P91,P83)</f>
        <v>8.1179448012939073</v>
      </c>
      <c r="Q123" s="24">
        <f t="shared" ref="Q123:AP123" ca="1" si="75">IF(OR($E$78=1,$E$78=2,$E$78=3), Q91,Q83)</f>
        <v>8.2379928360979573</v>
      </c>
      <c r="R123" s="24">
        <f t="shared" ca="1" si="75"/>
        <v>7.0526785445469491</v>
      </c>
      <c r="S123" s="24">
        <f t="shared" ca="1" si="75"/>
        <v>7.2374045981301922</v>
      </c>
      <c r="T123" s="24">
        <f t="shared" ca="1" si="75"/>
        <v>7.4970062223994436</v>
      </c>
      <c r="U123" s="24">
        <f t="shared" ca="1" si="75"/>
        <v>7.7909709930795437</v>
      </c>
      <c r="V123" s="24">
        <f t="shared" ca="1" si="75"/>
        <v>8.1131872385210517</v>
      </c>
      <c r="W123" s="24">
        <f t="shared" ca="1" si="75"/>
        <v>8.4182508710871939</v>
      </c>
      <c r="X123" s="24">
        <f t="shared" ca="1" si="75"/>
        <v>8.783395113111764</v>
      </c>
      <c r="Y123" s="24">
        <f t="shared" ca="1" si="75"/>
        <v>9.1463771976324608</v>
      </c>
      <c r="Z123" s="24">
        <f t="shared" ca="1" si="75"/>
        <v>9.506072885434385</v>
      </c>
      <c r="AA123" s="24">
        <f t="shared" ca="1" si="75"/>
        <v>9.8354175344441686</v>
      </c>
      <c r="AB123" s="24">
        <f t="shared" ca="1" si="75"/>
        <v>10.070219714689349</v>
      </c>
      <c r="AC123" s="24">
        <f t="shared" ca="1" si="75"/>
        <v>10.400559163438063</v>
      </c>
      <c r="AD123" s="24">
        <f t="shared" ca="1" si="75"/>
        <v>10.722448618085338</v>
      </c>
      <c r="AE123" s="24">
        <f t="shared" ca="1" si="75"/>
        <v>11.045069520875037</v>
      </c>
      <c r="AF123" s="24">
        <f t="shared" ca="1" si="75"/>
        <v>11.332539299515073</v>
      </c>
      <c r="AG123" s="24">
        <f t="shared" ca="1" si="75"/>
        <v>11.615751433267608</v>
      </c>
      <c r="AH123" s="24">
        <f t="shared" ca="1" si="75"/>
        <v>11.93542217670144</v>
      </c>
      <c r="AI123" s="24">
        <f t="shared" ca="1" si="75"/>
        <v>12.254238189640212</v>
      </c>
      <c r="AJ123" s="24">
        <f t="shared" ca="1" si="75"/>
        <v>12.552833963678131</v>
      </c>
      <c r="AK123" s="24">
        <f t="shared" ca="1" si="75"/>
        <v>12.850805361937539</v>
      </c>
      <c r="AL123" s="24">
        <f t="shared" ca="1" si="75"/>
        <v>13.156215945148309</v>
      </c>
      <c r="AM123" s="24">
        <f t="shared" ca="1" si="75"/>
        <v>14.776867800480296</v>
      </c>
      <c r="AN123" s="24">
        <f t="shared" ca="1" si="75"/>
        <v>16.207387613157479</v>
      </c>
      <c r="AO123" s="24">
        <f t="shared" ca="1" si="75"/>
        <v>16.207387613157479</v>
      </c>
      <c r="AP123" s="24">
        <f t="shared" ca="1" si="75"/>
        <v>16.207387613157479</v>
      </c>
      <c r="AQ123" s="186"/>
      <c r="AR123" s="186"/>
      <c r="AS123" s="186"/>
      <c r="AU123" s="186"/>
      <c r="AV123" s="186"/>
      <c r="BB123" s="313">
        <f t="shared" si="62"/>
        <v>3</v>
      </c>
    </row>
    <row r="124" spans="1:54">
      <c r="A124" s="22" t="str">
        <f>'[5]TS BYDem'!A35</f>
        <v/>
      </c>
      <c r="B124" s="22" t="str">
        <f>'[5]TS BYDem'!B35</f>
        <v>COM_PROJ</v>
      </c>
      <c r="C124" s="22" t="str">
        <f>'[5]TS BYDem'!C35</f>
        <v>-</v>
      </c>
      <c r="D124" s="22" t="str">
        <f>'[5]TS BYDem'!D35</f>
        <v>RHEWG</v>
      </c>
      <c r="E124" s="111" t="s">
        <v>137</v>
      </c>
      <c r="F124" s="111" t="s">
        <v>137</v>
      </c>
      <c r="G124" s="111" t="s">
        <v>137</v>
      </c>
      <c r="H124" s="111" t="s">
        <v>137</v>
      </c>
      <c r="I124" s="111">
        <v>0</v>
      </c>
      <c r="J124" s="186">
        <f>'[5]TS BYDem'!J35</f>
        <v>31.741961474336566</v>
      </c>
      <c r="K124" s="24">
        <f t="shared" si="45"/>
        <v>32.218961379660456</v>
      </c>
      <c r="L124" s="24">
        <f t="shared" si="45"/>
        <v>32.695961284984342</v>
      </c>
      <c r="M124" s="24">
        <f t="shared" si="45"/>
        <v>33.172961190308229</v>
      </c>
      <c r="N124" s="24">
        <f t="shared" si="45"/>
        <v>33.649961095632122</v>
      </c>
      <c r="O124" s="24">
        <f>'[5]TS BYDem'!O35</f>
        <v>34.126961000956008</v>
      </c>
      <c r="P124" s="24">
        <f t="shared" ref="P124:AP124" ca="1" si="76">OFFSET(P$33,$BB124,$J$96)/OFFSET(O$33,$BB124,$J$96)*O124</f>
        <v>35.388539204637389</v>
      </c>
      <c r="Q124" s="24">
        <f t="shared" ca="1" si="76"/>
        <v>35.911864342968663</v>
      </c>
      <c r="R124" s="24">
        <f t="shared" ca="1" si="76"/>
        <v>30.744726316890429</v>
      </c>
      <c r="S124" s="352">
        <f ca="1">S132-S125</f>
        <v>31.711653395032034</v>
      </c>
      <c r="T124" s="352">
        <f t="shared" ref="T124:AN124" ca="1" si="77">T132-T125</f>
        <v>33.016582060783271</v>
      </c>
      <c r="U124" s="352">
        <f t="shared" ca="1" si="77"/>
        <v>34.485209146866559</v>
      </c>
      <c r="V124" s="352">
        <f t="shared" ca="1" si="77"/>
        <v>36.092648583032144</v>
      </c>
      <c r="W124" s="352">
        <f t="shared" ca="1" si="77"/>
        <v>37.637792842954831</v>
      </c>
      <c r="X124" s="352">
        <f t="shared" ca="1" si="77"/>
        <v>39.732347823418209</v>
      </c>
      <c r="Y124" s="352">
        <f t="shared" ca="1" si="77"/>
        <v>41.855421356277539</v>
      </c>
      <c r="Z124" s="352">
        <f t="shared" ca="1" si="77"/>
        <v>44.001468405068103</v>
      </c>
      <c r="AA124" s="352">
        <f t="shared" ca="1" si="77"/>
        <v>46.043270659989204</v>
      </c>
      <c r="AB124" s="352">
        <f t="shared" ca="1" si="77"/>
        <v>47.672158193623467</v>
      </c>
      <c r="AC124" s="352">
        <f t="shared" ca="1" si="77"/>
        <v>49.673629676468515</v>
      </c>
      <c r="AD124" s="352">
        <f t="shared" ca="1" si="77"/>
        <v>51.662189174685643</v>
      </c>
      <c r="AE124" s="352">
        <f t="shared" ca="1" si="77"/>
        <v>53.681393734545672</v>
      </c>
      <c r="AF124" s="352">
        <f t="shared" ca="1" si="77"/>
        <v>55.555428808280006</v>
      </c>
      <c r="AG124" s="352">
        <f t="shared" ca="1" si="77"/>
        <v>57.432605821939468</v>
      </c>
      <c r="AH124" s="352">
        <f t="shared" ca="1" si="77"/>
        <v>59.515416966917918</v>
      </c>
      <c r="AI124" s="352">
        <f t="shared" ca="1" si="77"/>
        <v>61.620833413880192</v>
      </c>
      <c r="AJ124" s="352">
        <f t="shared" ca="1" si="77"/>
        <v>63.650552280233178</v>
      </c>
      <c r="AK124" s="352">
        <f t="shared" ca="1" si="77"/>
        <v>65.70220858786314</v>
      </c>
      <c r="AL124" s="352">
        <f t="shared" ca="1" si="77"/>
        <v>67.817289330470942</v>
      </c>
      <c r="AM124" s="352">
        <f t="shared" ca="1" si="77"/>
        <v>76.948638588243313</v>
      </c>
      <c r="AN124" s="352">
        <f t="shared" ca="1" si="77"/>
        <v>85.250390435073456</v>
      </c>
      <c r="AO124" s="24">
        <f t="shared" ca="1" si="76"/>
        <v>85.250390435073456</v>
      </c>
      <c r="AP124" s="24">
        <f t="shared" ca="1" si="76"/>
        <v>85.250390435073456</v>
      </c>
      <c r="AQ124" s="186"/>
      <c r="AR124" s="186"/>
      <c r="AS124" s="186"/>
      <c r="AU124" s="186"/>
      <c r="AV124" s="186"/>
      <c r="BB124" s="313">
        <f t="shared" si="62"/>
        <v>3</v>
      </c>
    </row>
    <row r="125" spans="1:54">
      <c r="A125" s="22"/>
      <c r="B125" s="22" t="str">
        <f>'[5]TS BYDem'!B36</f>
        <v>COM_PROJ</v>
      </c>
      <c r="C125" s="22" t="str">
        <f>'[5]TS BYDem'!C36</f>
        <v>-</v>
      </c>
      <c r="D125" s="22" t="str">
        <f>'[5]TS BYDem'!D36</f>
        <v>RHEW</v>
      </c>
      <c r="E125" s="111" t="s">
        <v>137</v>
      </c>
      <c r="F125" s="111" t="s">
        <v>137</v>
      </c>
      <c r="G125" s="111" t="s">
        <v>137</v>
      </c>
      <c r="H125" s="111" t="s">
        <v>137</v>
      </c>
      <c r="I125" s="111">
        <v>0</v>
      </c>
      <c r="J125" s="186">
        <f>'[5]TS BYDem'!J36</f>
        <v>0.56043977372187515</v>
      </c>
      <c r="K125" s="24">
        <f t="shared" si="45"/>
        <v>1.8585441241857823</v>
      </c>
      <c r="L125" s="24">
        <f t="shared" si="45"/>
        <v>3.1566484746496895</v>
      </c>
      <c r="M125" s="24">
        <f t="shared" si="45"/>
        <v>4.4547528251135962</v>
      </c>
      <c r="N125" s="24">
        <f t="shared" si="45"/>
        <v>5.7528571755775033</v>
      </c>
      <c r="O125" s="24">
        <f>'[5]TS BYDem'!O36</f>
        <v>7.0509615260414105</v>
      </c>
      <c r="P125" s="24">
        <f t="shared" ref="P125:AP125" ca="1" si="78">OFFSET(P$33,$BB125,$J$96)/OFFSET(O$33,$BB125,$J$96)*O125</f>
        <v>7.3116158332327439</v>
      </c>
      <c r="Q125" s="24">
        <f t="shared" ca="1" si="78"/>
        <v>7.4197398884593655</v>
      </c>
      <c r="R125" s="24">
        <f t="shared" ca="1" si="78"/>
        <v>6.3521589977787523</v>
      </c>
      <c r="S125" s="352">
        <f ca="1">S133*S132</f>
        <v>6.3568856227124781</v>
      </c>
      <c r="T125" s="352">
        <f t="shared" ref="T125:AN125" ca="1" si="79">T133*T132</f>
        <v>6.4174539978641532</v>
      </c>
      <c r="U125" s="352">
        <f t="shared" ca="1" si="79"/>
        <v>6.4950731096746361</v>
      </c>
      <c r="V125" s="352">
        <f t="shared" ca="1" si="79"/>
        <v>6.582481812151217</v>
      </c>
      <c r="W125" s="352">
        <f t="shared" ca="1" si="79"/>
        <v>6.6419634428743821</v>
      </c>
      <c r="X125" s="352">
        <f t="shared" ca="1" si="79"/>
        <v>6.4680566224169169</v>
      </c>
      <c r="Y125" s="352">
        <f t="shared" ca="1" si="79"/>
        <v>6.2542583635817</v>
      </c>
      <c r="Z125" s="352">
        <f t="shared" ca="1" si="79"/>
        <v>6.0002002370547407</v>
      </c>
      <c r="AA125" s="352">
        <f t="shared" ca="1" si="79"/>
        <v>5.6907413175267552</v>
      </c>
      <c r="AB125" s="352">
        <f t="shared" ca="1" si="79"/>
        <v>5.2969064659581635</v>
      </c>
      <c r="AC125" s="352">
        <f t="shared" ca="1" si="79"/>
        <v>5.033010936382273</v>
      </c>
      <c r="AD125" s="352">
        <f t="shared" ca="1" si="79"/>
        <v>4.7375806666742282</v>
      </c>
      <c r="AE125" s="352">
        <f t="shared" ca="1" si="79"/>
        <v>4.4153527314128462</v>
      </c>
      <c r="AF125" s="352">
        <f t="shared" ca="1" si="79"/>
        <v>4.0534003851534752</v>
      </c>
      <c r="AG125" s="352">
        <f t="shared" ca="1" si="79"/>
        <v>3.6659110099110284</v>
      </c>
      <c r="AH125" s="352">
        <f t="shared" ca="1" si="79"/>
        <v>3.2645587365819941</v>
      </c>
      <c r="AI125" s="352">
        <f t="shared" ca="1" si="79"/>
        <v>2.836105303567706</v>
      </c>
      <c r="AJ125" s="352">
        <f t="shared" ca="1" si="79"/>
        <v>2.3769915789298679</v>
      </c>
      <c r="AK125" s="352">
        <f t="shared" ca="1" si="79"/>
        <v>1.8926562144651917</v>
      </c>
      <c r="AL125" s="352">
        <f t="shared" ca="1" si="79"/>
        <v>1.3840263128667538</v>
      </c>
      <c r="AM125" s="352">
        <f t="shared" ca="1" si="79"/>
        <v>0.77725897563882129</v>
      </c>
      <c r="AN125" s="352">
        <f t="shared" ca="1" si="79"/>
        <v>0</v>
      </c>
      <c r="AO125" s="24">
        <f t="shared" ca="1" si="78"/>
        <v>0</v>
      </c>
      <c r="AP125" s="24">
        <f t="shared" ca="1" si="78"/>
        <v>0</v>
      </c>
      <c r="AQ125" s="186"/>
      <c r="AR125" s="186"/>
      <c r="AS125" s="186"/>
      <c r="AU125" s="186"/>
      <c r="AV125" s="186"/>
      <c r="BB125" s="313">
        <f t="shared" si="62"/>
        <v>3</v>
      </c>
    </row>
    <row r="126" spans="1:54">
      <c r="A126" s="22" t="str">
        <f>'[5]TS BYDem'!A37</f>
        <v/>
      </c>
      <c r="B126" s="22" t="str">
        <f>'[5]TS BYDem'!B37</f>
        <v>COM_PROJ</v>
      </c>
      <c r="C126" s="22" t="str">
        <f>'[5]TS BYDem'!C37</f>
        <v>-</v>
      </c>
      <c r="D126" s="22" t="str">
        <f>'[5]TS BYDem'!D37</f>
        <v>RHER</v>
      </c>
      <c r="E126" s="111" t="s">
        <v>137</v>
      </c>
      <c r="F126" s="111" t="s">
        <v>137</v>
      </c>
      <c r="G126" s="111" t="s">
        <v>137</v>
      </c>
      <c r="H126" s="111" t="s">
        <v>137</v>
      </c>
      <c r="I126" s="111">
        <v>0</v>
      </c>
      <c r="J126" s="186">
        <f>'[5]TS BYDem'!J37</f>
        <v>5.2230494700907748</v>
      </c>
      <c r="K126" s="24">
        <f t="shared" si="45"/>
        <v>5.3632755096927909</v>
      </c>
      <c r="L126" s="24">
        <f t="shared" si="45"/>
        <v>5.5035015492948061</v>
      </c>
      <c r="M126" s="24">
        <f t="shared" si="45"/>
        <v>5.6437275888968221</v>
      </c>
      <c r="N126" s="24">
        <f t="shared" si="45"/>
        <v>5.7839536284988373</v>
      </c>
      <c r="O126" s="24">
        <f>'[5]TS BYDem'!O37</f>
        <v>5.9241796681008534</v>
      </c>
      <c r="P126" s="24">
        <f t="shared" ref="P126:AP126" ca="1" si="80">OFFSET(P$33,$BB126,$J$96)/OFFSET(O$33,$BB126,$J$96)*O126</f>
        <v>6.1431800046312306</v>
      </c>
      <c r="Q126" s="24">
        <f t="shared" ca="1" si="80"/>
        <v>6.2340252499556339</v>
      </c>
      <c r="R126" s="24">
        <f t="shared" ca="1" si="80"/>
        <v>5.3370495703600813</v>
      </c>
      <c r="S126" s="24">
        <f t="shared" ca="1" si="80"/>
        <v>5.4768393110498854</v>
      </c>
      <c r="T126" s="24">
        <f t="shared" ca="1" si="80"/>
        <v>5.6732904506445356</v>
      </c>
      <c r="U126" s="24">
        <f t="shared" ca="1" si="80"/>
        <v>5.8957455849810199</v>
      </c>
      <c r="V126" s="24">
        <f t="shared" ca="1" si="80"/>
        <v>6.1395797627951048</v>
      </c>
      <c r="W126" s="24">
        <f t="shared" ca="1" si="80"/>
        <v>6.3704338587014719</v>
      </c>
      <c r="X126" s="24">
        <f t="shared" ca="1" si="80"/>
        <v>6.646753402787807</v>
      </c>
      <c r="Y126" s="24">
        <f t="shared" ca="1" si="80"/>
        <v>6.9214367540852306</v>
      </c>
      <c r="Z126" s="24">
        <f t="shared" ca="1" si="80"/>
        <v>7.1936331549162222</v>
      </c>
      <c r="AA126" s="24">
        <f t="shared" ca="1" si="80"/>
        <v>7.442861686515343</v>
      </c>
      <c r="AB126" s="24">
        <f t="shared" ca="1" si="80"/>
        <v>7.6205460751177521</v>
      </c>
      <c r="AC126" s="24">
        <f t="shared" ca="1" si="80"/>
        <v>7.8705274122624127</v>
      </c>
      <c r="AD126" s="24">
        <f t="shared" ca="1" si="80"/>
        <v>8.1141142941509923</v>
      </c>
      <c r="AE126" s="24">
        <f t="shared" ca="1" si="80"/>
        <v>8.3582546926885453</v>
      </c>
      <c r="AF126" s="24">
        <f t="shared" ca="1" si="80"/>
        <v>8.5757948015835641</v>
      </c>
      <c r="AG126" s="24">
        <f t="shared" ca="1" si="80"/>
        <v>8.7901129769005735</v>
      </c>
      <c r="AH126" s="24">
        <f t="shared" ca="1" si="80"/>
        <v>9.0320208695010891</v>
      </c>
      <c r="AI126" s="24">
        <f t="shared" ca="1" si="80"/>
        <v>9.2732819526670589</v>
      </c>
      <c r="AJ126" s="24">
        <f t="shared" ca="1" si="80"/>
        <v>9.4992415561672896</v>
      </c>
      <c r="AK126" s="24">
        <f t="shared" ca="1" si="80"/>
        <v>9.724728669044362</v>
      </c>
      <c r="AL126" s="24">
        <f t="shared" ca="1" si="80"/>
        <v>9.9558453166574523</v>
      </c>
      <c r="AM126" s="24">
        <f t="shared" ca="1" si="80"/>
        <v>11.182258690465698</v>
      </c>
      <c r="AN126" s="24">
        <f t="shared" ca="1" si="80"/>
        <v>12.264791391115077</v>
      </c>
      <c r="AO126" s="24">
        <f t="shared" ca="1" si="80"/>
        <v>12.264791391115077</v>
      </c>
      <c r="AP126" s="24">
        <f t="shared" ca="1" si="80"/>
        <v>12.264791391115077</v>
      </c>
      <c r="AQ126" s="186"/>
      <c r="AR126" s="186"/>
      <c r="AS126" s="186"/>
      <c r="AU126" s="186"/>
      <c r="AV126" s="186"/>
      <c r="BB126" s="313">
        <f t="shared" si="62"/>
        <v>3</v>
      </c>
    </row>
    <row r="127" spans="1:54">
      <c r="A127" s="22" t="str">
        <f>'[5]TS BYDem'!A38</f>
        <v/>
      </c>
      <c r="B127" s="22" t="str">
        <f>'[5]TS BYDem'!B38</f>
        <v>COM_PROJ</v>
      </c>
      <c r="C127" s="22" t="str">
        <f>'[5]TS BYDem'!C38</f>
        <v>-</v>
      </c>
      <c r="D127" s="22" t="str">
        <f>'[5]TS BYDem'!D38</f>
        <v>RHEO</v>
      </c>
      <c r="E127" s="111" t="s">
        <v>137</v>
      </c>
      <c r="F127" s="111" t="s">
        <v>137</v>
      </c>
      <c r="G127" s="111" t="s">
        <v>137</v>
      </c>
      <c r="H127" s="111" t="s">
        <v>137</v>
      </c>
      <c r="I127" s="111">
        <v>0</v>
      </c>
      <c r="J127" s="186">
        <f>'[5]TS BYDem'!J38</f>
        <v>11.690422995158354</v>
      </c>
      <c r="K127" s="24">
        <f t="shared" si="45"/>
        <v>12.004282116591277</v>
      </c>
      <c r="L127" s="24">
        <f t="shared" si="45"/>
        <v>12.3181412380242</v>
      </c>
      <c r="M127" s="24">
        <f t="shared" si="45"/>
        <v>12.632000359457125</v>
      </c>
      <c r="N127" s="24">
        <f t="shared" si="45"/>
        <v>12.945859480890048</v>
      </c>
      <c r="O127" s="24">
        <f>'[5]TS BYDem'!O38</f>
        <v>13.259718602322971</v>
      </c>
      <c r="P127" s="24">
        <f ca="1">IF(OR($E$78=1,$E$78=2,$E$78=3), P93,P85)</f>
        <v>13.749893276099831</v>
      </c>
      <c r="Q127" s="24">
        <f t="shared" ref="Q127:AP127" ca="1" si="81">IF(OR($E$78=1,$E$78=2,$E$78=3), Q93,Q85)</f>
        <v>13.953226472735771</v>
      </c>
      <c r="R127" s="24">
        <f t="shared" ca="1" si="81"/>
        <v>11.945582246716331</v>
      </c>
      <c r="S127" s="24">
        <f t="shared" ca="1" si="81"/>
        <v>12.258464827745934</v>
      </c>
      <c r="T127" s="24">
        <f t="shared" ca="1" si="81"/>
        <v>12.698169052814752</v>
      </c>
      <c r="U127" s="24">
        <f t="shared" ca="1" si="81"/>
        <v>13.19607638314549</v>
      </c>
      <c r="V127" s="24">
        <f t="shared" ca="1" si="81"/>
        <v>13.741835081324881</v>
      </c>
      <c r="W127" s="24">
        <f t="shared" ca="1" si="81"/>
        <v>14.258541278875674</v>
      </c>
      <c r="X127" s="24">
        <f t="shared" ca="1" si="81"/>
        <v>14.877009928406276</v>
      </c>
      <c r="Y127" s="24">
        <f t="shared" ca="1" si="81"/>
        <v>15.491816390566541</v>
      </c>
      <c r="Z127" s="24">
        <f t="shared" ca="1" si="81"/>
        <v>16.101056467976463</v>
      </c>
      <c r="AA127" s="24">
        <f t="shared" ca="1" si="81"/>
        <v>16.658889008820704</v>
      </c>
      <c r="AB127" s="24">
        <f t="shared" ca="1" si="81"/>
        <v>17.056588795945668</v>
      </c>
      <c r="AC127" s="24">
        <f t="shared" ca="1" si="81"/>
        <v>17.616106294076044</v>
      </c>
      <c r="AD127" s="24">
        <f t="shared" ca="1" si="81"/>
        <v>18.161311485345212</v>
      </c>
      <c r="AE127" s="24">
        <f t="shared" ca="1" si="81"/>
        <v>18.707755578102567</v>
      </c>
      <c r="AF127" s="24">
        <f t="shared" ca="1" si="81"/>
        <v>19.19466191624058</v>
      </c>
      <c r="AG127" s="24">
        <f t="shared" ca="1" si="81"/>
        <v>19.674356803174671</v>
      </c>
      <c r="AH127" s="24">
        <f t="shared" ca="1" si="81"/>
        <v>20.215804018362203</v>
      </c>
      <c r="AI127" s="24">
        <f t="shared" ca="1" si="81"/>
        <v>20.755803520689575</v>
      </c>
      <c r="AJ127" s="24">
        <f t="shared" ca="1" si="81"/>
        <v>21.261554683848679</v>
      </c>
      <c r="AK127" s="24">
        <f t="shared" ca="1" si="81"/>
        <v>21.766248300975032</v>
      </c>
      <c r="AL127" s="24">
        <f t="shared" ca="1" si="81"/>
        <v>22.283542151491257</v>
      </c>
      <c r="AM127" s="24">
        <f t="shared" ca="1" si="81"/>
        <v>25.028546040280478</v>
      </c>
      <c r="AN127" s="24">
        <f t="shared" ca="1" si="81"/>
        <v>27.45151087129565</v>
      </c>
      <c r="AO127" s="24">
        <f t="shared" ca="1" si="81"/>
        <v>27.45151087129565</v>
      </c>
      <c r="AP127" s="24">
        <f t="shared" ca="1" si="81"/>
        <v>27.45151087129565</v>
      </c>
      <c r="AQ127" s="186"/>
      <c r="AR127" s="186"/>
      <c r="AS127" s="186"/>
      <c r="AU127" s="186"/>
      <c r="AV127" s="186"/>
      <c r="BB127" s="313">
        <f t="shared" si="62"/>
        <v>3</v>
      </c>
    </row>
    <row r="128" spans="1:54">
      <c r="A128" s="22" t="str">
        <f>'[5]TS BYDem'!A39</f>
        <v>*</v>
      </c>
      <c r="B128" s="22" t="str">
        <f>'[5]TS BYDem'!B39</f>
        <v>COM_PROJ</v>
      </c>
      <c r="C128" s="22" t="str">
        <f>'[5]TS BYDem'!C39</f>
        <v>-</v>
      </c>
      <c r="D128" s="22">
        <f>'[5]TS BYDem'!D39</f>
        <v>0</v>
      </c>
      <c r="E128" s="111" t="s">
        <v>137</v>
      </c>
      <c r="F128" s="111" t="s">
        <v>137</v>
      </c>
      <c r="G128" s="111" t="s">
        <v>137</v>
      </c>
      <c r="H128" s="111" t="s">
        <v>137</v>
      </c>
      <c r="I128" s="111">
        <v>0</v>
      </c>
      <c r="J128" s="186">
        <f>'[5]TS BYDem'!J39</f>
        <v>0</v>
      </c>
      <c r="K128" s="24">
        <f t="shared" si="45"/>
        <v>0</v>
      </c>
      <c r="L128" s="24">
        <f t="shared" si="45"/>
        <v>0</v>
      </c>
      <c r="M128" s="24">
        <f t="shared" si="45"/>
        <v>0</v>
      </c>
      <c r="N128" s="24">
        <f t="shared" si="45"/>
        <v>0</v>
      </c>
      <c r="O128" s="24">
        <f>'[5]TS BYDem'!O39</f>
        <v>0</v>
      </c>
      <c r="P128" s="24" t="e">
        <f t="shared" ref="P128:AP128" ca="1" si="82">OFFSET(P$33,$BB128,$J$96)/OFFSET(O$33,$BB128,$J$96)*O128</f>
        <v>#N/A</v>
      </c>
      <c r="Q128" s="24" t="e">
        <f t="shared" ca="1" si="82"/>
        <v>#N/A</v>
      </c>
      <c r="R128" s="24" t="e">
        <f t="shared" ca="1" si="82"/>
        <v>#N/A</v>
      </c>
      <c r="S128" s="24" t="e">
        <f t="shared" ca="1" si="82"/>
        <v>#N/A</v>
      </c>
      <c r="T128" s="24" t="e">
        <f t="shared" ca="1" si="82"/>
        <v>#N/A</v>
      </c>
      <c r="U128" s="24" t="e">
        <f t="shared" ca="1" si="82"/>
        <v>#N/A</v>
      </c>
      <c r="V128" s="24" t="e">
        <f t="shared" ca="1" si="82"/>
        <v>#N/A</v>
      </c>
      <c r="W128" s="24" t="e">
        <f t="shared" ca="1" si="82"/>
        <v>#N/A</v>
      </c>
      <c r="X128" s="24" t="e">
        <f t="shared" ca="1" si="82"/>
        <v>#N/A</v>
      </c>
      <c r="Y128" s="24" t="e">
        <f t="shared" ca="1" si="82"/>
        <v>#N/A</v>
      </c>
      <c r="Z128" s="24" t="e">
        <f t="shared" ca="1" si="82"/>
        <v>#N/A</v>
      </c>
      <c r="AA128" s="24" t="e">
        <f t="shared" ca="1" si="82"/>
        <v>#N/A</v>
      </c>
      <c r="AB128" s="24" t="e">
        <f t="shared" ca="1" si="82"/>
        <v>#N/A</v>
      </c>
      <c r="AC128" s="24" t="e">
        <f t="shared" ca="1" si="82"/>
        <v>#N/A</v>
      </c>
      <c r="AD128" s="24" t="e">
        <f t="shared" ca="1" si="82"/>
        <v>#N/A</v>
      </c>
      <c r="AE128" s="24" t="e">
        <f t="shared" ca="1" si="82"/>
        <v>#N/A</v>
      </c>
      <c r="AF128" s="24" t="e">
        <f t="shared" ca="1" si="82"/>
        <v>#N/A</v>
      </c>
      <c r="AG128" s="24" t="e">
        <f t="shared" ca="1" si="82"/>
        <v>#N/A</v>
      </c>
      <c r="AH128" s="24" t="e">
        <f t="shared" ca="1" si="82"/>
        <v>#N/A</v>
      </c>
      <c r="AI128" s="24" t="e">
        <f t="shared" ca="1" si="82"/>
        <v>#N/A</v>
      </c>
      <c r="AJ128" s="24" t="e">
        <f t="shared" ca="1" si="82"/>
        <v>#N/A</v>
      </c>
      <c r="AK128" s="24" t="e">
        <f t="shared" ca="1" si="82"/>
        <v>#N/A</v>
      </c>
      <c r="AL128" s="24" t="e">
        <f t="shared" ca="1" si="82"/>
        <v>#N/A</v>
      </c>
      <c r="AM128" s="24" t="e">
        <f t="shared" ca="1" si="82"/>
        <v>#N/A</v>
      </c>
      <c r="AN128" s="24" t="e">
        <f t="shared" ca="1" si="82"/>
        <v>#N/A</v>
      </c>
      <c r="AO128" s="24" t="e">
        <f t="shared" ca="1" si="82"/>
        <v>#N/A</v>
      </c>
      <c r="AP128" s="24" t="e">
        <f t="shared" ca="1" si="82"/>
        <v>#N/A</v>
      </c>
      <c r="AQ128" s="186"/>
      <c r="AR128" s="186"/>
      <c r="AS128" s="186"/>
      <c r="AT128" s="186"/>
      <c r="AU128" s="186"/>
      <c r="AV128" s="186"/>
      <c r="BB128" s="313" t="e">
        <f t="shared" si="62"/>
        <v>#N/A</v>
      </c>
    </row>
    <row r="129" spans="1:48">
      <c r="A129" s="22" t="s">
        <v>16</v>
      </c>
      <c r="B129" s="22"/>
      <c r="C129" s="22"/>
      <c r="D129" s="22"/>
      <c r="E129" s="111"/>
      <c r="F129" s="111"/>
      <c r="G129" s="111"/>
      <c r="H129" s="111"/>
      <c r="I129" s="111"/>
      <c r="J129" s="186"/>
      <c r="K129" s="24"/>
      <c r="L129" s="24"/>
      <c r="M129" s="24"/>
      <c r="N129" s="24"/>
      <c r="O129" s="24"/>
      <c r="P129" s="24"/>
      <c r="Q129" s="24"/>
      <c r="R129" s="24"/>
      <c r="S129" s="24"/>
      <c r="T129" s="24"/>
      <c r="U129" s="24"/>
      <c r="V129" s="24"/>
      <c r="W129" s="24"/>
      <c r="X129" s="24"/>
      <c r="Y129" s="24"/>
      <c r="Z129" s="24"/>
      <c r="AA129" s="24"/>
      <c r="AB129" s="24"/>
      <c r="AC129" s="24"/>
      <c r="AD129" s="24"/>
      <c r="AE129" s="24"/>
      <c r="AF129" s="24"/>
      <c r="AG129" s="24"/>
      <c r="AH129" s="24"/>
      <c r="AI129" s="24"/>
      <c r="AJ129" s="24"/>
      <c r="AK129" s="24"/>
      <c r="AL129" s="24"/>
      <c r="AM129" s="24"/>
      <c r="AN129" s="24"/>
      <c r="AO129" s="24"/>
      <c r="AP129" s="24"/>
      <c r="AQ129" s="186"/>
      <c r="AR129" s="186"/>
      <c r="AS129" s="186"/>
      <c r="AT129" s="186"/>
      <c r="AU129" s="186"/>
      <c r="AV129" s="186"/>
    </row>
    <row r="130" spans="1:48">
      <c r="A130" s="22" t="s">
        <v>16</v>
      </c>
      <c r="B130" s="22"/>
      <c r="C130" s="22" t="s">
        <v>692</v>
      </c>
      <c r="D130" s="22" t="s">
        <v>521</v>
      </c>
      <c r="E130" s="111"/>
      <c r="F130" s="111"/>
      <c r="G130" s="111"/>
      <c r="H130" s="111"/>
      <c r="I130" s="111"/>
      <c r="J130" s="186"/>
      <c r="K130" s="24"/>
      <c r="L130" s="24"/>
      <c r="M130" s="24"/>
      <c r="N130" s="24"/>
      <c r="O130" s="24"/>
      <c r="P130" s="24"/>
      <c r="Q130" s="24"/>
      <c r="R130" s="24">
        <f ca="1">R124</f>
        <v>30.744726316890429</v>
      </c>
      <c r="S130" s="24">
        <f ca="1">OFFSET(S$33,$BB124,$J$96)/OFFSET(R$33,$BB124,$J$96)*R130</f>
        <v>31.550002202519337</v>
      </c>
      <c r="T130" s="24">
        <f t="shared" ref="T130:AN130" ca="1" si="83">OFFSET(T$33,$BB124,$J$96)/OFFSET(S$33,$BB124,$J$96)*S130</f>
        <v>32.68168300140524</v>
      </c>
      <c r="U130" s="24">
        <f t="shared" ca="1" si="83"/>
        <v>33.96316299007637</v>
      </c>
      <c r="V130" s="24">
        <f t="shared" ca="1" si="83"/>
        <v>35.367799571537283</v>
      </c>
      <c r="W130" s="24">
        <f t="shared" ca="1" si="83"/>
        <v>36.697662804809738</v>
      </c>
      <c r="X130" s="24">
        <f t="shared" ca="1" si="83"/>
        <v>38.28943530887684</v>
      </c>
      <c r="Y130" s="24">
        <f t="shared" ca="1" si="83"/>
        <v>39.871782324416323</v>
      </c>
      <c r="Z130" s="24">
        <f t="shared" ca="1" si="83"/>
        <v>41.43980295785159</v>
      </c>
      <c r="AA130" s="24">
        <f t="shared" ca="1" si="83"/>
        <v>42.875514373561465</v>
      </c>
      <c r="AB130" s="24">
        <f t="shared" ca="1" si="83"/>
        <v>43.899087009780487</v>
      </c>
      <c r="AC130" s="24">
        <f t="shared" ca="1" si="83"/>
        <v>45.339135053839478</v>
      </c>
      <c r="AD130" s="24">
        <f t="shared" ca="1" si="83"/>
        <v>46.742347056898282</v>
      </c>
      <c r="AE130" s="24">
        <f t="shared" ca="1" si="83"/>
        <v>48.148747660261471</v>
      </c>
      <c r="AF130" s="24">
        <f t="shared" ca="1" si="83"/>
        <v>49.401914044187833</v>
      </c>
      <c r="AG130" s="24">
        <f t="shared" ca="1" si="83"/>
        <v>50.636520085969877</v>
      </c>
      <c r="AH130" s="24">
        <f t="shared" ca="1" si="83"/>
        <v>52.030060066037329</v>
      </c>
      <c r="AI130" s="24">
        <f t="shared" ca="1" si="83"/>
        <v>53.419874021307344</v>
      </c>
      <c r="AJ130" s="24">
        <f t="shared" ca="1" si="83"/>
        <v>54.721541932894489</v>
      </c>
      <c r="AK130" s="24">
        <f t="shared" ca="1" si="83"/>
        <v>56.020488004501551</v>
      </c>
      <c r="AL130" s="24">
        <f t="shared" ca="1" si="83"/>
        <v>57.351863698968309</v>
      </c>
      <c r="AM130" s="24">
        <f t="shared" ca="1" si="83"/>
        <v>64.416767824744454</v>
      </c>
      <c r="AN130" s="24">
        <f t="shared" ca="1" si="83"/>
        <v>70.652829748430875</v>
      </c>
      <c r="AO130" s="24"/>
      <c r="AP130" s="24"/>
      <c r="AQ130" s="186"/>
      <c r="AR130" s="186"/>
      <c r="AS130" s="186"/>
      <c r="AT130" s="186"/>
      <c r="AU130" s="186"/>
      <c r="AV130" s="186"/>
    </row>
    <row r="131" spans="1:48">
      <c r="A131" s="22" t="s">
        <v>16</v>
      </c>
      <c r="B131" s="22"/>
      <c r="C131" s="22"/>
      <c r="D131" s="22" t="s">
        <v>691</v>
      </c>
      <c r="E131" s="111"/>
      <c r="F131" s="111"/>
      <c r="G131" s="111"/>
      <c r="H131" s="111"/>
      <c r="I131" s="111"/>
      <c r="J131" s="186"/>
      <c r="K131" s="24"/>
      <c r="L131" s="24"/>
      <c r="M131" s="24"/>
      <c r="N131" s="24"/>
      <c r="O131" s="24"/>
      <c r="P131" s="24"/>
      <c r="Q131" s="24"/>
      <c r="R131" s="24">
        <f ca="1">R125</f>
        <v>6.3521589977787523</v>
      </c>
      <c r="S131" s="24">
        <f ca="1">OFFSET(S$33,$BB125,$J$96)/OFFSET(R$33,$BB125,$J$96)*R131</f>
        <v>6.5185368152251781</v>
      </c>
      <c r="T131" s="24">
        <f t="shared" ref="T131:AN131" ca="1" si="84">OFFSET(T$33,$BB125,$J$96)/OFFSET(S$33,$BB125,$J$96)*S131</f>
        <v>6.7523530572421793</v>
      </c>
      <c r="U131" s="24">
        <f t="shared" ca="1" si="84"/>
        <v>7.0171192664648228</v>
      </c>
      <c r="V131" s="24">
        <f t="shared" ca="1" si="84"/>
        <v>7.3073308236460726</v>
      </c>
      <c r="W131" s="24">
        <f t="shared" ca="1" si="84"/>
        <v>7.5820934810194744</v>
      </c>
      <c r="X131" s="24">
        <f t="shared" ca="1" si="84"/>
        <v>7.9109691369582888</v>
      </c>
      <c r="Y131" s="24">
        <f t="shared" ca="1" si="84"/>
        <v>8.237897395442916</v>
      </c>
      <c r="Z131" s="24">
        <f t="shared" ca="1" si="84"/>
        <v>8.5618656842712539</v>
      </c>
      <c r="AA131" s="24">
        <f t="shared" ca="1" si="84"/>
        <v>8.8584976039544969</v>
      </c>
      <c r="AB131" s="24">
        <f t="shared" ca="1" si="84"/>
        <v>9.0699776498011495</v>
      </c>
      <c r="AC131" s="24">
        <f t="shared" ca="1" si="84"/>
        <v>9.3675055590113097</v>
      </c>
      <c r="AD131" s="24">
        <f t="shared" ca="1" si="84"/>
        <v>9.6574227844615912</v>
      </c>
      <c r="AE131" s="24">
        <f t="shared" ca="1" si="84"/>
        <v>9.9479988056970434</v>
      </c>
      <c r="AF131" s="24">
        <f t="shared" ca="1" si="84"/>
        <v>10.206915149245644</v>
      </c>
      <c r="AG131" s="24">
        <f t="shared" ca="1" si="84"/>
        <v>10.46199674588062</v>
      </c>
      <c r="AH131" s="24">
        <f t="shared" ca="1" si="84"/>
        <v>10.749915637462582</v>
      </c>
      <c r="AI131" s="24">
        <f t="shared" ca="1" si="84"/>
        <v>11.037064696140552</v>
      </c>
      <c r="AJ131" s="24">
        <f t="shared" ca="1" si="84"/>
        <v>11.306001926268559</v>
      </c>
      <c r="AK131" s="24">
        <f t="shared" ca="1" si="84"/>
        <v>11.574376797826782</v>
      </c>
      <c r="AL131" s="24">
        <f t="shared" ca="1" si="84"/>
        <v>11.849451944369388</v>
      </c>
      <c r="AM131" s="24">
        <f t="shared" ca="1" si="84"/>
        <v>13.309129739137676</v>
      </c>
      <c r="AN131" s="24">
        <f t="shared" ca="1" si="84"/>
        <v>14.597560686642581</v>
      </c>
      <c r="AO131" s="24"/>
      <c r="AP131" s="24"/>
      <c r="AQ131" s="186"/>
      <c r="AR131" s="186"/>
      <c r="AS131" s="186"/>
      <c r="AT131" s="186"/>
      <c r="AU131" s="186"/>
      <c r="AV131" s="186"/>
    </row>
    <row r="132" spans="1:48">
      <c r="A132" s="22" t="s">
        <v>16</v>
      </c>
      <c r="B132" s="22"/>
      <c r="C132" s="22" t="s">
        <v>5</v>
      </c>
      <c r="D132" s="22"/>
      <c r="E132" s="111"/>
      <c r="F132" s="111"/>
      <c r="G132" s="111"/>
      <c r="H132" s="111"/>
      <c r="I132" s="111"/>
      <c r="J132" s="186"/>
      <c r="K132" s="24"/>
      <c r="L132" s="24"/>
      <c r="M132" s="24"/>
      <c r="N132" s="24"/>
      <c r="O132" s="24"/>
      <c r="P132" s="24"/>
      <c r="Q132" s="24"/>
      <c r="R132" s="24">
        <f ca="1">R130+R131</f>
        <v>37.09688531466918</v>
      </c>
      <c r="S132" s="24">
        <f t="shared" ref="S132:AN132" ca="1" si="85">S130+S131</f>
        <v>38.068539017744513</v>
      </c>
      <c r="T132" s="24">
        <f t="shared" ca="1" si="85"/>
        <v>39.434036058647422</v>
      </c>
      <c r="U132" s="24">
        <f t="shared" ca="1" si="85"/>
        <v>40.980282256541194</v>
      </c>
      <c r="V132" s="24">
        <f t="shared" ca="1" si="85"/>
        <v>42.675130395183359</v>
      </c>
      <c r="W132" s="24">
        <f t="shared" ca="1" si="85"/>
        <v>44.279756285829215</v>
      </c>
      <c r="X132" s="24">
        <f t="shared" ca="1" si="85"/>
        <v>46.200404445835126</v>
      </c>
      <c r="Y132" s="24">
        <f t="shared" ca="1" si="85"/>
        <v>48.109679719859237</v>
      </c>
      <c r="Z132" s="24">
        <f t="shared" ca="1" si="85"/>
        <v>50.001668642122844</v>
      </c>
      <c r="AA132" s="24">
        <f t="shared" ca="1" si="85"/>
        <v>51.734011977515962</v>
      </c>
      <c r="AB132" s="24">
        <f t="shared" ca="1" si="85"/>
        <v>52.969064659581633</v>
      </c>
      <c r="AC132" s="24">
        <f t="shared" ca="1" si="85"/>
        <v>54.706640612850791</v>
      </c>
      <c r="AD132" s="24">
        <f t="shared" ca="1" si="85"/>
        <v>56.39976984135987</v>
      </c>
      <c r="AE132" s="24">
        <f t="shared" ca="1" si="85"/>
        <v>58.096746465958518</v>
      </c>
      <c r="AF132" s="24">
        <f t="shared" ca="1" si="85"/>
        <v>59.608829193433479</v>
      </c>
      <c r="AG132" s="24">
        <f t="shared" ca="1" si="85"/>
        <v>61.098516831850496</v>
      </c>
      <c r="AH132" s="24">
        <f t="shared" ca="1" si="85"/>
        <v>62.779975703499915</v>
      </c>
      <c r="AI132" s="24">
        <f t="shared" ca="1" si="85"/>
        <v>64.456938717447898</v>
      </c>
      <c r="AJ132" s="24">
        <f t="shared" ca="1" si="85"/>
        <v>66.027543859163046</v>
      </c>
      <c r="AK132" s="24">
        <f t="shared" ca="1" si="85"/>
        <v>67.594864802328331</v>
      </c>
      <c r="AL132" s="24">
        <f t="shared" ca="1" si="85"/>
        <v>69.201315643337693</v>
      </c>
      <c r="AM132" s="24">
        <f t="shared" ca="1" si="85"/>
        <v>77.725897563882128</v>
      </c>
      <c r="AN132" s="24">
        <f t="shared" ca="1" si="85"/>
        <v>85.250390435073456</v>
      </c>
      <c r="AO132" s="24"/>
      <c r="AP132" s="24"/>
      <c r="AQ132" s="186"/>
      <c r="AR132" s="186"/>
      <c r="AS132" s="186"/>
      <c r="AT132" s="186"/>
      <c r="AU132" s="186"/>
      <c r="AV132" s="186"/>
    </row>
    <row r="133" spans="1:48">
      <c r="A133" s="22" t="s">
        <v>16</v>
      </c>
      <c r="B133" s="22"/>
      <c r="C133" s="22" t="s">
        <v>693</v>
      </c>
      <c r="D133" s="22"/>
      <c r="E133" s="111"/>
      <c r="F133" s="111"/>
      <c r="G133" s="111"/>
      <c r="H133" s="111"/>
      <c r="I133" s="111"/>
      <c r="J133" s="186"/>
      <c r="K133" s="24"/>
      <c r="L133" s="24"/>
      <c r="M133" s="24"/>
      <c r="N133" s="24"/>
      <c r="O133" s="24"/>
      <c r="P133" s="24"/>
      <c r="Q133" s="24"/>
      <c r="R133" s="109">
        <f ca="1">R131/R132</f>
        <v>0.17123159920024136</v>
      </c>
      <c r="S133" s="109">
        <f ca="1">($W$133-$R$133)/5+R133</f>
        <v>0.16698527936019308</v>
      </c>
      <c r="T133" s="109">
        <f t="shared" ref="T133:V133" ca="1" si="86">($W$133-$R$133)/5+S133</f>
        <v>0.1627389595201448</v>
      </c>
      <c r="U133" s="109">
        <f t="shared" ca="1" si="86"/>
        <v>0.15849263968009653</v>
      </c>
      <c r="V133" s="109">
        <f t="shared" ca="1" si="86"/>
        <v>0.15424631984004825</v>
      </c>
      <c r="W133" s="353">
        <v>0.15</v>
      </c>
      <c r="X133" s="190">
        <f>($AB$133-$W$133)/5+W133</f>
        <v>0.13999999999999999</v>
      </c>
      <c r="Y133" s="190">
        <f t="shared" ref="Y133:AC133" si="87">($AB$133-$W$133)/5+X133</f>
        <v>0.12999999999999998</v>
      </c>
      <c r="Z133" s="190">
        <f t="shared" si="87"/>
        <v>0.11999999999999998</v>
      </c>
      <c r="AA133" s="190">
        <f t="shared" si="87"/>
        <v>0.10999999999999999</v>
      </c>
      <c r="AB133" s="353">
        <v>0.1</v>
      </c>
      <c r="AC133" s="109">
        <f>($AL$133-$AB$133)/10+AB133</f>
        <v>9.1999999999999998E-2</v>
      </c>
      <c r="AD133" s="109">
        <f t="shared" ref="AD133:AK133" si="88">($AL$133-$AB$133)/10+AC133</f>
        <v>8.3999999999999991E-2</v>
      </c>
      <c r="AE133" s="109">
        <f t="shared" si="88"/>
        <v>7.5999999999999984E-2</v>
      </c>
      <c r="AF133" s="109">
        <f t="shared" si="88"/>
        <v>6.7999999999999977E-2</v>
      </c>
      <c r="AG133" s="109">
        <f t="shared" si="88"/>
        <v>5.9999999999999977E-2</v>
      </c>
      <c r="AH133" s="109">
        <f t="shared" si="88"/>
        <v>5.1999999999999977E-2</v>
      </c>
      <c r="AI133" s="109">
        <f t="shared" si="88"/>
        <v>4.3999999999999977E-2</v>
      </c>
      <c r="AJ133" s="109">
        <f t="shared" si="88"/>
        <v>3.5999999999999976E-2</v>
      </c>
      <c r="AK133" s="109">
        <f t="shared" si="88"/>
        <v>2.7999999999999976E-2</v>
      </c>
      <c r="AL133" s="353">
        <v>0.02</v>
      </c>
      <c r="AM133" s="353">
        <v>0.01</v>
      </c>
      <c r="AN133" s="353">
        <v>0</v>
      </c>
      <c r="AO133" s="24"/>
      <c r="AP133" s="24"/>
      <c r="AQ133" s="186"/>
      <c r="AR133" s="186"/>
      <c r="AS133" s="186"/>
      <c r="AT133" s="186"/>
      <c r="AU133" s="186"/>
      <c r="AV133" s="186"/>
    </row>
    <row r="134" spans="1:48">
      <c r="A134" s="22"/>
      <c r="B134" s="22"/>
      <c r="C134" s="22"/>
      <c r="D134" s="22"/>
      <c r="E134" s="111"/>
      <c r="F134" s="111"/>
      <c r="G134" s="111"/>
      <c r="H134" s="111"/>
      <c r="I134" s="111"/>
      <c r="J134" s="186"/>
      <c r="K134" s="24"/>
      <c r="L134" s="24"/>
      <c r="M134" s="24"/>
      <c r="N134" s="24"/>
      <c r="O134" s="24"/>
      <c r="P134" s="24"/>
      <c r="Q134" s="24"/>
      <c r="R134" s="24"/>
      <c r="S134" s="24"/>
      <c r="T134" s="24"/>
      <c r="U134" s="24"/>
      <c r="V134" s="24"/>
      <c r="W134" s="24"/>
      <c r="X134" s="24"/>
      <c r="Y134" s="24"/>
      <c r="Z134" s="24"/>
      <c r="AA134" s="24"/>
      <c r="AB134" s="24"/>
      <c r="AC134" s="24"/>
      <c r="AD134" s="24"/>
      <c r="AE134" s="24"/>
      <c r="AF134" s="24"/>
      <c r="AG134" s="24"/>
      <c r="AH134" s="24"/>
      <c r="AI134" s="24"/>
      <c r="AJ134" s="24"/>
      <c r="AK134" s="24"/>
      <c r="AL134" s="24"/>
      <c r="AM134" s="24"/>
      <c r="AN134" s="24"/>
      <c r="AO134" s="24"/>
      <c r="AP134" s="24"/>
      <c r="AQ134" s="186"/>
      <c r="AR134" s="186"/>
      <c r="AS134" s="186"/>
      <c r="AT134" s="186"/>
      <c r="AU134" s="186"/>
      <c r="AV134" s="186"/>
    </row>
    <row r="135" spans="1:48">
      <c r="A135" s="22"/>
      <c r="B135" s="22"/>
      <c r="C135" s="22"/>
      <c r="D135" s="22"/>
      <c r="E135" s="111"/>
      <c r="F135" s="111"/>
      <c r="G135" s="111"/>
      <c r="H135" s="111"/>
      <c r="I135" s="111"/>
      <c r="J135" s="186"/>
      <c r="K135" s="24"/>
      <c r="L135" s="24"/>
      <c r="M135" s="24"/>
      <c r="N135" s="24"/>
      <c r="O135" s="24"/>
      <c r="P135" s="24"/>
      <c r="Q135" s="24"/>
      <c r="R135" s="24"/>
      <c r="S135" s="24"/>
      <c r="T135" s="24"/>
      <c r="U135" s="24"/>
      <c r="V135" s="24"/>
      <c r="W135" s="24"/>
      <c r="X135" s="24"/>
      <c r="Y135" s="24"/>
      <c r="Z135" s="24"/>
      <c r="AA135" s="24"/>
      <c r="AB135" s="24"/>
      <c r="AC135" s="24"/>
      <c r="AD135" s="24"/>
      <c r="AE135" s="24"/>
      <c r="AF135" s="24"/>
      <c r="AG135" s="24"/>
      <c r="AH135" s="24"/>
      <c r="AI135" s="24"/>
      <c r="AJ135" s="24"/>
      <c r="AK135" s="24"/>
      <c r="AL135" s="24"/>
      <c r="AM135" s="24"/>
      <c r="AN135" s="24"/>
      <c r="AO135" s="24"/>
      <c r="AP135" s="24"/>
      <c r="AQ135" s="186"/>
      <c r="AR135" s="186"/>
      <c r="AS135" s="186"/>
      <c r="AT135" s="186"/>
      <c r="AU135" s="186"/>
      <c r="AV135" s="186"/>
    </row>
    <row r="136" spans="1:48">
      <c r="A136" s="22"/>
      <c r="B136" s="22"/>
      <c r="C136" s="22"/>
      <c r="D136" s="22"/>
      <c r="E136" s="111"/>
      <c r="F136" s="111"/>
      <c r="G136" s="111"/>
      <c r="H136" s="111"/>
      <c r="I136" s="111"/>
      <c r="J136" s="186"/>
      <c r="K136" s="24"/>
      <c r="L136" s="24"/>
      <c r="M136" s="24"/>
      <c r="N136" s="24"/>
      <c r="O136" s="24"/>
      <c r="P136" s="24"/>
      <c r="Q136" s="24"/>
      <c r="R136" s="24"/>
      <c r="S136" s="24"/>
      <c r="T136" s="24"/>
      <c r="U136" s="24"/>
      <c r="V136" s="24"/>
      <c r="W136" s="24"/>
      <c r="X136" s="24"/>
      <c r="Y136" s="24"/>
      <c r="Z136" s="24"/>
      <c r="AA136" s="24"/>
      <c r="AB136" s="24"/>
      <c r="AC136" s="24"/>
      <c r="AD136" s="24"/>
      <c r="AE136" s="24"/>
      <c r="AF136" s="24"/>
      <c r="AG136" s="24"/>
      <c r="AH136" s="24"/>
      <c r="AI136" s="24"/>
      <c r="AJ136" s="24"/>
      <c r="AK136" s="24"/>
      <c r="AL136" s="24"/>
      <c r="AM136" s="24"/>
      <c r="AN136" s="24"/>
      <c r="AO136" s="24"/>
      <c r="AP136" s="24"/>
      <c r="AQ136" s="186"/>
      <c r="AR136" s="186"/>
      <c r="AS136" s="186"/>
      <c r="AT136" s="186"/>
      <c r="AU136" s="186"/>
      <c r="AV136" s="186"/>
    </row>
    <row r="137" spans="1:48">
      <c r="A137" s="22"/>
      <c r="B137" s="22"/>
      <c r="C137" s="22"/>
      <c r="D137" s="22"/>
      <c r="E137" s="111"/>
      <c r="F137" s="111"/>
      <c r="G137" s="111"/>
      <c r="H137" s="111"/>
      <c r="I137" s="111"/>
      <c r="J137" s="186"/>
      <c r="K137" s="24"/>
      <c r="L137" s="24"/>
      <c r="M137" s="24"/>
      <c r="N137" s="24"/>
      <c r="O137" s="24"/>
      <c r="P137" s="24"/>
      <c r="Q137" s="24"/>
      <c r="R137" s="24"/>
      <c r="S137" s="24"/>
      <c r="T137" s="24"/>
      <c r="U137" s="24"/>
      <c r="V137" s="24"/>
      <c r="W137" s="24"/>
      <c r="X137" s="24"/>
      <c r="Y137" s="24"/>
      <c r="Z137" s="24"/>
      <c r="AA137" s="24"/>
      <c r="AB137" s="24"/>
      <c r="AC137" s="24"/>
      <c r="AD137" s="24"/>
      <c r="AE137" s="24"/>
      <c r="AF137" s="24"/>
      <c r="AG137" s="24"/>
      <c r="AH137" s="24"/>
      <c r="AI137" s="24"/>
      <c r="AJ137" s="24"/>
      <c r="AK137" s="24"/>
      <c r="AL137" s="24"/>
      <c r="AM137" s="24"/>
      <c r="AN137" s="24"/>
      <c r="AO137" s="24"/>
      <c r="AP137" s="24"/>
      <c r="AQ137" s="186"/>
      <c r="AR137" s="186"/>
      <c r="AS137" s="186"/>
      <c r="AT137" s="186"/>
      <c r="AU137" s="186"/>
      <c r="AV137" s="186"/>
    </row>
    <row r="138" spans="1:48">
      <c r="A138" s="22"/>
      <c r="B138" s="22"/>
      <c r="C138" s="22"/>
      <c r="D138" s="22"/>
      <c r="E138" s="111"/>
      <c r="F138" s="111"/>
      <c r="G138" s="111"/>
      <c r="H138" s="111"/>
      <c r="I138" s="111"/>
      <c r="J138" s="186"/>
      <c r="K138" s="24"/>
      <c r="L138" s="24"/>
      <c r="M138" s="24"/>
      <c r="N138" s="24"/>
      <c r="O138" s="24"/>
      <c r="P138" s="24"/>
      <c r="Q138" s="24"/>
      <c r="R138" s="24"/>
      <c r="S138" s="24"/>
      <c r="T138" s="24"/>
      <c r="U138" s="24"/>
      <c r="V138" s="24"/>
      <c r="W138" s="24"/>
      <c r="X138" s="24"/>
      <c r="Y138" s="24"/>
      <c r="Z138" s="24"/>
      <c r="AA138" s="24"/>
      <c r="AB138" s="24"/>
      <c r="AC138" s="24"/>
      <c r="AD138" s="24"/>
      <c r="AE138" s="24"/>
      <c r="AF138" s="24"/>
      <c r="AG138" s="24"/>
      <c r="AH138" s="24"/>
      <c r="AI138" s="24"/>
      <c r="AJ138" s="24"/>
      <c r="AK138" s="24"/>
      <c r="AL138" s="24"/>
      <c r="AM138" s="24"/>
      <c r="AN138" s="24"/>
      <c r="AO138" s="24"/>
      <c r="AP138" s="24"/>
      <c r="AQ138" s="186"/>
      <c r="AR138" s="186"/>
      <c r="AS138" s="186"/>
      <c r="AT138" s="186"/>
      <c r="AU138" s="186"/>
      <c r="AV138" s="186"/>
    </row>
    <row r="139" spans="1:48">
      <c r="A139" s="22"/>
      <c r="B139" s="22"/>
      <c r="C139" s="22"/>
      <c r="D139" s="22"/>
      <c r="E139" s="111"/>
      <c r="F139" s="111"/>
      <c r="G139" s="111"/>
      <c r="H139" s="111"/>
      <c r="I139" s="111"/>
      <c r="J139" s="186"/>
      <c r="K139" s="24"/>
      <c r="L139" s="24"/>
      <c r="M139" s="24"/>
      <c r="N139" s="24"/>
      <c r="O139" s="24"/>
      <c r="P139" s="24"/>
      <c r="Q139" s="24"/>
      <c r="R139" s="24"/>
      <c r="S139" s="24"/>
      <c r="T139" s="24"/>
      <c r="U139" s="24"/>
      <c r="V139" s="24"/>
      <c r="W139" s="24"/>
      <c r="X139" s="24"/>
      <c r="Y139" s="24"/>
      <c r="Z139" s="24"/>
      <c r="AA139" s="24"/>
      <c r="AB139" s="24"/>
      <c r="AC139" s="24"/>
      <c r="AD139" s="24"/>
      <c r="AE139" s="24"/>
      <c r="AF139" s="24"/>
      <c r="AG139" s="24"/>
      <c r="AH139" s="24"/>
      <c r="AI139" s="24"/>
      <c r="AJ139" s="24"/>
      <c r="AK139" s="24"/>
      <c r="AL139" s="24"/>
      <c r="AM139" s="24"/>
      <c r="AN139" s="24"/>
      <c r="AO139" s="24"/>
      <c r="AP139" s="24"/>
      <c r="AQ139" s="186"/>
      <c r="AR139" s="186"/>
      <c r="AS139" s="186"/>
      <c r="AT139" s="186"/>
      <c r="AU139" s="186"/>
      <c r="AV139" s="186"/>
    </row>
  </sheetData>
  <mergeCells count="1">
    <mergeCell ref="B2:C2"/>
  </mergeCells>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6"/>
  <dimension ref="A1:G27"/>
  <sheetViews>
    <sheetView workbookViewId="0"/>
    <sheetView workbookViewId="1"/>
  </sheetViews>
  <sheetFormatPr defaultColWidth="9.140625" defaultRowHeight="11.25"/>
  <cols>
    <col min="1" max="1" width="12.42578125" style="18" customWidth="1"/>
    <col min="2" max="2" width="26.42578125" style="18" customWidth="1"/>
    <col min="3" max="3" width="11" style="18" customWidth="1"/>
    <col min="4" max="4" width="27.42578125" style="18" customWidth="1"/>
    <col min="5" max="5" width="10.140625" style="18" customWidth="1"/>
    <col min="6" max="6" width="28.85546875" style="18" customWidth="1"/>
    <col min="7" max="16384" width="9.140625" style="18"/>
  </cols>
  <sheetData>
    <row r="1" spans="1:7">
      <c r="A1" s="16" t="s">
        <v>28</v>
      </c>
      <c r="B1" s="18" t="s">
        <v>17</v>
      </c>
    </row>
    <row r="2" spans="1:7">
      <c r="A2" s="18" t="s">
        <v>16</v>
      </c>
    </row>
    <row r="3" spans="1:7" ht="18.75" customHeight="1">
      <c r="A3" s="18" t="s">
        <v>16</v>
      </c>
    </row>
    <row r="4" spans="1:7">
      <c r="A4" s="18" t="s">
        <v>16</v>
      </c>
    </row>
    <row r="5" spans="1:7">
      <c r="A5" s="18" t="s">
        <v>16</v>
      </c>
    </row>
    <row r="6" spans="1:7">
      <c r="A6" s="18" t="s">
        <v>16</v>
      </c>
    </row>
    <row r="7" spans="1:7">
      <c r="A7" s="18" t="s">
        <v>16</v>
      </c>
      <c r="B7" s="16" t="s">
        <v>30</v>
      </c>
      <c r="C7" s="26" t="s">
        <v>31</v>
      </c>
      <c r="D7" s="16" t="s">
        <v>32</v>
      </c>
      <c r="E7" s="16" t="s">
        <v>33</v>
      </c>
      <c r="F7" s="16" t="s">
        <v>34</v>
      </c>
      <c r="G7" s="16" t="s">
        <v>35</v>
      </c>
    </row>
    <row r="8" spans="1:7">
      <c r="A8" s="18" t="s">
        <v>16</v>
      </c>
      <c r="B8" s="16" t="s">
        <v>36</v>
      </c>
      <c r="C8" s="26"/>
      <c r="D8" s="16"/>
      <c r="E8" s="16"/>
      <c r="F8" s="16"/>
      <c r="G8" s="16"/>
    </row>
    <row r="9" spans="1:7">
      <c r="B9" s="19" t="s">
        <v>37</v>
      </c>
      <c r="C9" s="18" t="str">
        <f>COM!B70</f>
        <v>CEC</v>
      </c>
      <c r="D9" s="18" t="str">
        <f>COM!C70</f>
        <v>Commercial - Cooling</v>
      </c>
      <c r="E9" s="19" t="s">
        <v>38</v>
      </c>
      <c r="F9" s="19" t="s">
        <v>39</v>
      </c>
    </row>
    <row r="10" spans="1:7">
      <c r="B10" s="19" t="s">
        <v>37</v>
      </c>
      <c r="C10" s="18" t="str">
        <f>COM!B71</f>
        <v>CEH</v>
      </c>
      <c r="D10" s="18" t="str">
        <f>COM!C71</f>
        <v>Commercial - Space Heating</v>
      </c>
      <c r="E10" s="19" t="s">
        <v>38</v>
      </c>
      <c r="F10" s="19" t="s">
        <v>39</v>
      </c>
    </row>
    <row r="11" spans="1:7">
      <c r="B11" s="19" t="s">
        <v>37</v>
      </c>
      <c r="C11" s="18" t="str">
        <f>COM!B72</f>
        <v>CEK</v>
      </c>
      <c r="D11" s="18" t="str">
        <f>COM!C72</f>
        <v>Commercial - Cooking</v>
      </c>
      <c r="E11" s="19" t="s">
        <v>38</v>
      </c>
      <c r="F11" s="19" t="s">
        <v>39</v>
      </c>
    </row>
    <row r="12" spans="1:7">
      <c r="B12" s="19" t="s">
        <v>37</v>
      </c>
      <c r="C12" s="18" t="str">
        <f>COM!B73</f>
        <v>CEL</v>
      </c>
      <c r="D12" s="18" t="str">
        <f>COM!C73</f>
        <v>Commercial - Lighting</v>
      </c>
      <c r="E12" s="19" t="s">
        <v>38</v>
      </c>
      <c r="F12" s="19" t="s">
        <v>39</v>
      </c>
    </row>
    <row r="13" spans="1:7">
      <c r="B13" s="19" t="s">
        <v>37</v>
      </c>
      <c r="C13" s="18" t="str">
        <f>COM!B74</f>
        <v>CER</v>
      </c>
      <c r="D13" s="18" t="str">
        <f>COM!C74</f>
        <v>Commercial - Refrigeration</v>
      </c>
      <c r="E13" s="19" t="s">
        <v>38</v>
      </c>
      <c r="F13" s="19" t="s">
        <v>39</v>
      </c>
    </row>
    <row r="14" spans="1:7">
      <c r="B14" s="19" t="s">
        <v>37</v>
      </c>
      <c r="C14" s="18" t="str">
        <f>COM!B75</f>
        <v>CEW</v>
      </c>
      <c r="D14" s="18" t="str">
        <f>COM!C75</f>
        <v>Commercial - Water Heating</v>
      </c>
      <c r="E14" s="19" t="s">
        <v>38</v>
      </c>
      <c r="F14" s="19" t="s">
        <v>39</v>
      </c>
    </row>
    <row r="15" spans="1:7">
      <c r="B15" s="19" t="s">
        <v>37</v>
      </c>
      <c r="C15" s="18" t="str">
        <f>COM!B76</f>
        <v>CEG</v>
      </c>
      <c r="D15" s="18" t="str">
        <f>COM!C76</f>
        <v>Commercial - Public lights</v>
      </c>
      <c r="E15" s="19" t="s">
        <v>38</v>
      </c>
      <c r="F15" s="19" t="s">
        <v>39</v>
      </c>
    </row>
    <row r="16" spans="1:7">
      <c r="B16" s="19" t="s">
        <v>37</v>
      </c>
      <c r="C16" s="18" t="str">
        <f>COM!B77</f>
        <v>CET</v>
      </c>
      <c r="D16" s="18" t="str">
        <f>COM!C77</f>
        <v>Commercial - Public Water</v>
      </c>
      <c r="E16" s="19" t="s">
        <v>38</v>
      </c>
      <c r="F16" s="19" t="s">
        <v>39</v>
      </c>
    </row>
    <row r="17" spans="1:6">
      <c r="B17" s="19" t="s">
        <v>37</v>
      </c>
      <c r="C17" s="18" t="str">
        <f>COM!B78</f>
        <v>CEO</v>
      </c>
      <c r="D17" s="18" t="str">
        <f>COM!C78</f>
        <v>Commercial - Other</v>
      </c>
      <c r="E17" s="19" t="s">
        <v>38</v>
      </c>
      <c r="F17" s="19" t="s">
        <v>39</v>
      </c>
    </row>
    <row r="18" spans="1:6">
      <c r="A18" s="18" t="s">
        <v>16</v>
      </c>
    </row>
    <row r="19" spans="1:6">
      <c r="B19" s="19" t="s">
        <v>37</v>
      </c>
      <c r="C19" s="18" t="str">
        <f>COM!B81</f>
        <v>CNC</v>
      </c>
      <c r="D19" s="18" t="str">
        <f>COM!C81</f>
        <v>Commercial - Cooling</v>
      </c>
      <c r="E19" s="19" t="s">
        <v>38</v>
      </c>
      <c r="F19" s="19" t="s">
        <v>39</v>
      </c>
    </row>
    <row r="20" spans="1:6">
      <c r="B20" s="19" t="s">
        <v>37</v>
      </c>
      <c r="C20" s="18" t="str">
        <f>COM!B82</f>
        <v>CNH</v>
      </c>
      <c r="D20" s="18" t="str">
        <f>COM!C82</f>
        <v>Commercial - Space Heating</v>
      </c>
      <c r="E20" s="19" t="s">
        <v>38</v>
      </c>
      <c r="F20" s="19" t="s">
        <v>39</v>
      </c>
    </row>
    <row r="21" spans="1:6">
      <c r="B21" s="19" t="s">
        <v>37</v>
      </c>
      <c r="C21" s="18" t="str">
        <f>COM!B83</f>
        <v>CNK</v>
      </c>
      <c r="D21" s="18" t="str">
        <f>COM!C83</f>
        <v>Commercial - Cooking</v>
      </c>
      <c r="E21" s="19" t="s">
        <v>38</v>
      </c>
      <c r="F21" s="19" t="s">
        <v>39</v>
      </c>
    </row>
    <row r="22" spans="1:6">
      <c r="B22" s="19" t="s">
        <v>37</v>
      </c>
      <c r="C22" s="18" t="str">
        <f>COM!B84</f>
        <v>CNL</v>
      </c>
      <c r="D22" s="18" t="str">
        <f>COM!C84</f>
        <v>Commercial - Lighting</v>
      </c>
      <c r="E22" s="19" t="s">
        <v>38</v>
      </c>
      <c r="F22" s="19" t="s">
        <v>39</v>
      </c>
    </row>
    <row r="23" spans="1:6">
      <c r="B23" s="19" t="s">
        <v>37</v>
      </c>
      <c r="C23" s="18" t="str">
        <f>COM!B85</f>
        <v>CNR</v>
      </c>
      <c r="D23" s="18" t="str">
        <f>COM!C85</f>
        <v>Commercial - Refrigeration</v>
      </c>
      <c r="E23" s="19" t="s">
        <v>38</v>
      </c>
      <c r="F23" s="19" t="s">
        <v>39</v>
      </c>
    </row>
    <row r="24" spans="1:6">
      <c r="B24" s="19" t="s">
        <v>37</v>
      </c>
      <c r="C24" s="18" t="str">
        <f>COM!B86</f>
        <v>CNW</v>
      </c>
      <c r="D24" s="18" t="str">
        <f>COM!C86</f>
        <v>Commercial - Water Heating</v>
      </c>
      <c r="E24" s="19" t="s">
        <v>38</v>
      </c>
      <c r="F24" s="19" t="s">
        <v>39</v>
      </c>
    </row>
    <row r="25" spans="1:6">
      <c r="B25" s="19" t="s">
        <v>37</v>
      </c>
      <c r="C25" s="18" t="str">
        <f>COM!B87</f>
        <v>CNG</v>
      </c>
      <c r="D25" s="18" t="str">
        <f>COM!C87</f>
        <v>Commercial - Public lights</v>
      </c>
      <c r="E25" s="19" t="s">
        <v>38</v>
      </c>
      <c r="F25" s="19" t="s">
        <v>39</v>
      </c>
    </row>
    <row r="26" spans="1:6">
      <c r="B26" s="19" t="s">
        <v>37</v>
      </c>
      <c r="C26" s="18" t="str">
        <f>COM!B88</f>
        <v>CNT</v>
      </c>
      <c r="D26" s="18" t="str">
        <f>COM!C88</f>
        <v>Commercial - Public Water</v>
      </c>
      <c r="E26" s="19" t="s">
        <v>38</v>
      </c>
      <c r="F26" s="19" t="s">
        <v>39</v>
      </c>
    </row>
    <row r="27" spans="1:6">
      <c r="B27" s="19" t="s">
        <v>37</v>
      </c>
      <c r="C27" s="18" t="str">
        <f>COM!B89</f>
        <v>CNO</v>
      </c>
      <c r="D27" s="18" t="str">
        <f>COM!C89</f>
        <v>Commercial - Other</v>
      </c>
      <c r="E27" s="19" t="s">
        <v>38</v>
      </c>
      <c r="F27" s="19" t="s">
        <v>39</v>
      </c>
    </row>
  </sheetData>
  <pageMargins left="0.75" right="0.75" top="1" bottom="1" header="0.5" footer="0.5"/>
  <pageSetup paperSize="9" orientation="portrait"/>
  <headerFooter alignWithMargins="0"/>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AF049A-957C-4E5A-8B56-C7001F47DFFC}">
  <sheetPr codeName="Sheet7">
    <tabColor rgb="FFFFC000"/>
  </sheetPr>
  <dimension ref="A1:AX269"/>
  <sheetViews>
    <sheetView topLeftCell="A221" zoomScale="60" zoomScaleNormal="60" workbookViewId="0">
      <selection activeCell="P23" sqref="P23:T23"/>
    </sheetView>
    <sheetView workbookViewId="1"/>
  </sheetViews>
  <sheetFormatPr defaultColWidth="9.140625" defaultRowHeight="15"/>
  <cols>
    <col min="1" max="1" width="9.140625" style="87"/>
    <col min="2" max="2" width="32.42578125" style="87" customWidth="1"/>
    <col min="3" max="3" width="31.85546875" style="87" customWidth="1"/>
    <col min="4" max="4" width="12" style="87" customWidth="1"/>
    <col min="5" max="5" width="13.42578125" style="87" customWidth="1"/>
    <col min="6" max="10" width="9.140625" style="87"/>
    <col min="11" max="11" width="6.85546875" style="86" customWidth="1"/>
    <col min="12" max="12" width="6.85546875" style="87" customWidth="1"/>
    <col min="13" max="13" width="8.42578125" style="87" customWidth="1"/>
    <col min="14" max="16" width="16.140625" style="87" customWidth="1"/>
    <col min="17" max="21" width="11.85546875" style="87" customWidth="1"/>
    <col min="22" max="40" width="6.85546875" style="87" customWidth="1"/>
    <col min="41" max="41" width="9.42578125" style="87" customWidth="1"/>
    <col min="42" max="47" width="6.85546875" style="87" customWidth="1"/>
    <col min="48" max="48" width="9.85546875" style="87" customWidth="1"/>
    <col min="49" max="49" width="17.85546875" style="87" bestFit="1" customWidth="1"/>
    <col min="50" max="16384" width="9.140625" style="87"/>
  </cols>
  <sheetData>
    <row r="1" spans="1:48" s="185" customFormat="1">
      <c r="A1" s="185" t="str">
        <f>IF(COM,"TS DATA","")</f>
        <v>TS DATA</v>
      </c>
      <c r="B1" s="185" t="s">
        <v>17</v>
      </c>
      <c r="J1" s="40"/>
    </row>
    <row r="2" spans="1:48" s="185" customFormat="1" ht="15.75" thickBot="1">
      <c r="A2" s="185" t="s">
        <v>16</v>
      </c>
      <c r="B2" s="349" t="s">
        <v>296</v>
      </c>
      <c r="C2" s="349"/>
      <c r="J2" s="40"/>
    </row>
    <row r="3" spans="1:48">
      <c r="A3" s="185" t="s">
        <v>16</v>
      </c>
      <c r="J3" s="86">
        <f>MATCH(J4,Drivers!$C$5:$AG$5,0)</f>
        <v>1</v>
      </c>
      <c r="K3" s="86">
        <f>MATCH(K4,Drivers!$C$5:$AG$5,0)</f>
        <v>2</v>
      </c>
      <c r="L3" s="86">
        <f>MATCH(L4,Drivers!$C$5:$AG$5,0)</f>
        <v>3</v>
      </c>
      <c r="M3" s="86">
        <f>MATCH(M4,Drivers!$C$5:$AG$5,0)</f>
        <v>4</v>
      </c>
      <c r="N3" s="86">
        <f>MATCH(N4,Drivers!$C$5:$AG$5,0)</f>
        <v>5</v>
      </c>
      <c r="O3" s="86">
        <f>MATCH(O4,Drivers!$C$5:$AG$5,0)</f>
        <v>6</v>
      </c>
      <c r="P3" s="86">
        <f>MATCH(P4,Drivers!$C$5:$AG$5,0)</f>
        <v>7</v>
      </c>
      <c r="Q3" s="86">
        <f>MATCH(Q4,Drivers!$C$5:$AG$5,0)</f>
        <v>8</v>
      </c>
      <c r="R3" s="86">
        <f>MATCH(R4,Drivers!$C$5:$AG$5,0)</f>
        <v>9</v>
      </c>
      <c r="S3" s="86">
        <f>MATCH(S4,Drivers!$C$5:$AG$5,0)</f>
        <v>10</v>
      </c>
      <c r="T3" s="86">
        <f>MATCH(T4,Drivers!$C$5:$AG$5,0)</f>
        <v>11</v>
      </c>
      <c r="U3" s="86">
        <f>MATCH(U4,Drivers!$C$5:$AG$5,0)</f>
        <v>12</v>
      </c>
      <c r="V3" s="86">
        <f>MATCH(V4,Drivers!$C$5:$AG$5,0)</f>
        <v>13</v>
      </c>
      <c r="W3" s="86">
        <f>MATCH(W4,Drivers!$C$5:$AG$5,0)</f>
        <v>14</v>
      </c>
      <c r="X3" s="86">
        <f>MATCH(X4,Drivers!$C$5:$AG$5,0)</f>
        <v>15</v>
      </c>
      <c r="Y3" s="86">
        <f>MATCH(Y4,Drivers!$C$5:$AG$5,0)</f>
        <v>16</v>
      </c>
      <c r="Z3" s="86">
        <f>MATCH(Z4,Drivers!$C$5:$AG$5,0)</f>
        <v>17</v>
      </c>
      <c r="AA3" s="86">
        <f>MATCH(AA4,Drivers!$C$5:$AG$5,0)</f>
        <v>18</v>
      </c>
      <c r="AB3" s="86">
        <f>MATCH(AB4,Drivers!$C$5:$AG$5,0)</f>
        <v>19</v>
      </c>
      <c r="AC3" s="86">
        <f>MATCH(AC4,Drivers!$C$5:$AG$5,0)</f>
        <v>20</v>
      </c>
      <c r="AD3" s="86">
        <f>MATCH(AD4,Drivers!$C$5:$AG$5,0)</f>
        <v>21</v>
      </c>
      <c r="AE3" s="86">
        <f>MATCH(AE4,Drivers!$C$5:$AG$5,0)</f>
        <v>22</v>
      </c>
      <c r="AF3" s="86">
        <f>MATCH(AF4,Drivers!$C$5:$AG$5,0)</f>
        <v>23</v>
      </c>
      <c r="AG3" s="86">
        <f>MATCH(AG4,Drivers!$C$5:$AG$5,0)</f>
        <v>24</v>
      </c>
      <c r="AH3" s="86">
        <f>MATCH(AH4,Drivers!$C$5:$AG$5,0)</f>
        <v>25</v>
      </c>
      <c r="AI3" s="86">
        <f>MATCH(AI4,Drivers!$C$5:$AG$5,0)</f>
        <v>26</v>
      </c>
      <c r="AJ3" s="86">
        <f>MATCH(AJ4,Drivers!$C$5:$AG$5,0)</f>
        <v>27</v>
      </c>
      <c r="AK3" s="86">
        <f>MATCH(AK4,Drivers!$C$5:$AG$5,0)</f>
        <v>28</v>
      </c>
      <c r="AL3" s="86">
        <f>MATCH(AL4,Drivers!$C$5:$AG$5,0)</f>
        <v>29</v>
      </c>
      <c r="AM3" s="86" t="e">
        <f>MATCH(AM4,Drivers!$C$5:$AG$5,0)</f>
        <v>#N/A</v>
      </c>
      <c r="AN3" s="86" t="e">
        <f>MATCH(AN4,Drivers!$C$5:$AG$5,0)</f>
        <v>#N/A</v>
      </c>
      <c r="AO3" s="86" t="e">
        <f>MATCH(AO4,Drivers!$C$5:$AG$5,0)</f>
        <v>#N/A</v>
      </c>
      <c r="AP3" s="86" t="e">
        <f>MATCH(AP4,Drivers!$C$5:$AG$5,0)</f>
        <v>#N/A</v>
      </c>
      <c r="AQ3" s="86">
        <f>MATCH(AQ4,Drivers!$C$5:$AG$5,0)</f>
        <v>30</v>
      </c>
      <c r="AR3" s="86" t="e">
        <f>MATCH(AR4,Drivers!$C$5:$AG$5,0)</f>
        <v>#N/A</v>
      </c>
      <c r="AS3" s="86" t="e">
        <f>MATCH(AS4,Drivers!$C$5:$AG$5,0)</f>
        <v>#N/A</v>
      </c>
      <c r="AT3" s="86" t="e">
        <f>MATCH(AT4,Drivers!$C$5:$AG$5,0)</f>
        <v>#N/A</v>
      </c>
      <c r="AU3" s="86" t="e">
        <f>MATCH(AU4,Drivers!$C$5:$AG$5,0)</f>
        <v>#N/A</v>
      </c>
      <c r="AV3" s="86">
        <f>MATCH(AV4,Drivers!$C$5:$AG$5,0)</f>
        <v>31</v>
      </c>
    </row>
    <row r="4" spans="1:48" ht="15.75" thickBot="1">
      <c r="A4" s="185" t="s">
        <v>16</v>
      </c>
      <c r="B4" s="84" t="s">
        <v>11</v>
      </c>
      <c r="C4" s="84"/>
      <c r="D4" s="84"/>
      <c r="E4" s="85"/>
      <c r="F4" s="85"/>
      <c r="G4" s="85"/>
      <c r="H4" s="85"/>
      <c r="I4" s="85"/>
      <c r="J4" s="86">
        <v>2012</v>
      </c>
      <c r="K4" s="87">
        <f>J4+1</f>
        <v>2013</v>
      </c>
      <c r="L4" s="87">
        <f>K4+1</f>
        <v>2014</v>
      </c>
      <c r="M4" s="87">
        <f t="shared" ref="M4:AR4" si="0">L4+1</f>
        <v>2015</v>
      </c>
      <c r="N4" s="87">
        <f t="shared" si="0"/>
        <v>2016</v>
      </c>
      <c r="O4" s="87">
        <f t="shared" si="0"/>
        <v>2017</v>
      </c>
      <c r="P4" s="87">
        <f t="shared" si="0"/>
        <v>2018</v>
      </c>
      <c r="Q4" s="87">
        <f t="shared" si="0"/>
        <v>2019</v>
      </c>
      <c r="R4" s="87">
        <f t="shared" si="0"/>
        <v>2020</v>
      </c>
      <c r="S4" s="87">
        <f t="shared" si="0"/>
        <v>2021</v>
      </c>
      <c r="T4" s="87">
        <f t="shared" si="0"/>
        <v>2022</v>
      </c>
      <c r="U4" s="87">
        <f t="shared" si="0"/>
        <v>2023</v>
      </c>
      <c r="V4" s="87">
        <f t="shared" si="0"/>
        <v>2024</v>
      </c>
      <c r="W4" s="87">
        <f t="shared" si="0"/>
        <v>2025</v>
      </c>
      <c r="X4" s="87">
        <f t="shared" si="0"/>
        <v>2026</v>
      </c>
      <c r="Y4" s="87">
        <f t="shared" si="0"/>
        <v>2027</v>
      </c>
      <c r="Z4" s="87">
        <f t="shared" si="0"/>
        <v>2028</v>
      </c>
      <c r="AA4" s="87">
        <f t="shared" si="0"/>
        <v>2029</v>
      </c>
      <c r="AB4" s="87">
        <f t="shared" si="0"/>
        <v>2030</v>
      </c>
      <c r="AC4" s="87">
        <f t="shared" si="0"/>
        <v>2031</v>
      </c>
      <c r="AD4" s="87">
        <f t="shared" si="0"/>
        <v>2032</v>
      </c>
      <c r="AE4" s="87">
        <f t="shared" si="0"/>
        <v>2033</v>
      </c>
      <c r="AF4" s="87">
        <f t="shared" si="0"/>
        <v>2034</v>
      </c>
      <c r="AG4" s="87">
        <f t="shared" si="0"/>
        <v>2035</v>
      </c>
      <c r="AH4" s="87">
        <f t="shared" si="0"/>
        <v>2036</v>
      </c>
      <c r="AI4" s="87">
        <f t="shared" si="0"/>
        <v>2037</v>
      </c>
      <c r="AJ4" s="87">
        <f t="shared" si="0"/>
        <v>2038</v>
      </c>
      <c r="AK4" s="87">
        <f t="shared" si="0"/>
        <v>2039</v>
      </c>
      <c r="AL4" s="87">
        <f t="shared" si="0"/>
        <v>2040</v>
      </c>
      <c r="AM4" s="87">
        <f t="shared" si="0"/>
        <v>2041</v>
      </c>
      <c r="AN4" s="87">
        <f t="shared" si="0"/>
        <v>2042</v>
      </c>
      <c r="AO4" s="87">
        <f t="shared" si="0"/>
        <v>2043</v>
      </c>
      <c r="AP4" s="87">
        <f t="shared" si="0"/>
        <v>2044</v>
      </c>
      <c r="AQ4" s="87">
        <f t="shared" si="0"/>
        <v>2045</v>
      </c>
      <c r="AR4" s="87">
        <f t="shared" si="0"/>
        <v>2046</v>
      </c>
      <c r="AS4" s="87">
        <f>AR4+1</f>
        <v>2047</v>
      </c>
      <c r="AT4" s="87">
        <f>AS4+1</f>
        <v>2048</v>
      </c>
      <c r="AU4" s="87">
        <f>AT4+1</f>
        <v>2049</v>
      </c>
      <c r="AV4" s="87">
        <f>AU4+1</f>
        <v>2050</v>
      </c>
    </row>
    <row r="5" spans="1:48" s="185" customFormat="1">
      <c r="A5" s="185" t="s">
        <v>16</v>
      </c>
      <c r="C5" s="185">
        <v>1</v>
      </c>
      <c r="D5" s="185">
        <v>2012</v>
      </c>
      <c r="E5" s="185">
        <v>2017</v>
      </c>
      <c r="F5" s="185">
        <v>2020</v>
      </c>
      <c r="G5" s="185">
        <v>2030</v>
      </c>
      <c r="H5" s="185">
        <v>2050</v>
      </c>
      <c r="I5" s="185" t="s">
        <v>392</v>
      </c>
      <c r="J5" s="185">
        <f>MATCH(J$4,$D$5:$H$5,$C5)</f>
        <v>1</v>
      </c>
      <c r="K5" s="185">
        <f t="shared" ref="K5:AV6" si="1">MATCH(K$4,$D$5:$H$5,$C5)</f>
        <v>1</v>
      </c>
      <c r="L5" s="185">
        <f t="shared" si="1"/>
        <v>1</v>
      </c>
      <c r="M5" s="185">
        <f t="shared" si="1"/>
        <v>1</v>
      </c>
      <c r="N5" s="185">
        <f t="shared" si="1"/>
        <v>1</v>
      </c>
      <c r="O5" s="185">
        <f t="shared" si="1"/>
        <v>2</v>
      </c>
      <c r="P5" s="185">
        <f t="shared" si="1"/>
        <v>2</v>
      </c>
      <c r="Q5" s="185">
        <f t="shared" si="1"/>
        <v>2</v>
      </c>
      <c r="R5" s="185">
        <f t="shared" si="1"/>
        <v>3</v>
      </c>
      <c r="S5" s="185">
        <f t="shared" si="1"/>
        <v>3</v>
      </c>
      <c r="T5" s="185">
        <f t="shared" si="1"/>
        <v>3</v>
      </c>
      <c r="U5" s="185">
        <f t="shared" si="1"/>
        <v>3</v>
      </c>
      <c r="V5" s="185">
        <f t="shared" si="1"/>
        <v>3</v>
      </c>
      <c r="W5" s="185">
        <f t="shared" si="1"/>
        <v>3</v>
      </c>
      <c r="X5" s="185">
        <f t="shared" si="1"/>
        <v>3</v>
      </c>
      <c r="Y5" s="185">
        <f t="shared" si="1"/>
        <v>3</v>
      </c>
      <c r="Z5" s="185">
        <f t="shared" si="1"/>
        <v>3</v>
      </c>
      <c r="AA5" s="185">
        <f t="shared" si="1"/>
        <v>3</v>
      </c>
      <c r="AB5" s="185">
        <f t="shared" si="1"/>
        <v>4</v>
      </c>
      <c r="AC5" s="185">
        <f t="shared" si="1"/>
        <v>4</v>
      </c>
      <c r="AD5" s="185">
        <f t="shared" si="1"/>
        <v>4</v>
      </c>
      <c r="AE5" s="185">
        <f t="shared" si="1"/>
        <v>4</v>
      </c>
      <c r="AF5" s="185">
        <f t="shared" si="1"/>
        <v>4</v>
      </c>
      <c r="AG5" s="185">
        <f t="shared" si="1"/>
        <v>4</v>
      </c>
      <c r="AH5" s="185">
        <f t="shared" si="1"/>
        <v>4</v>
      </c>
      <c r="AI5" s="185">
        <f t="shared" si="1"/>
        <v>4</v>
      </c>
      <c r="AJ5" s="185">
        <f t="shared" si="1"/>
        <v>4</v>
      </c>
      <c r="AK5" s="185">
        <f t="shared" si="1"/>
        <v>4</v>
      </c>
      <c r="AL5" s="185">
        <f t="shared" si="1"/>
        <v>4</v>
      </c>
      <c r="AM5" s="185">
        <f t="shared" si="1"/>
        <v>4</v>
      </c>
      <c r="AN5" s="185">
        <f t="shared" si="1"/>
        <v>4</v>
      </c>
      <c r="AO5" s="185">
        <f t="shared" si="1"/>
        <v>4</v>
      </c>
      <c r="AP5" s="185">
        <f t="shared" si="1"/>
        <v>4</v>
      </c>
      <c r="AQ5" s="185">
        <f t="shared" si="1"/>
        <v>4</v>
      </c>
      <c r="AR5" s="185">
        <f t="shared" si="1"/>
        <v>4</v>
      </c>
      <c r="AS5" s="185">
        <f t="shared" si="1"/>
        <v>4</v>
      </c>
      <c r="AT5" s="185">
        <f t="shared" si="1"/>
        <v>4</v>
      </c>
      <c r="AU5" s="185">
        <f t="shared" si="1"/>
        <v>4</v>
      </c>
      <c r="AV5" s="185">
        <f t="shared" si="1"/>
        <v>5</v>
      </c>
    </row>
    <row r="6" spans="1:48" s="185" customFormat="1">
      <c r="A6" s="185" t="s">
        <v>16</v>
      </c>
      <c r="C6" s="185">
        <v>0</v>
      </c>
      <c r="D6" s="185" cm="1">
        <f t="array" ref="D6">INDEX($D5:$H5,0,COUNT($D5:$H5)-D7)</f>
        <v>2050</v>
      </c>
      <c r="E6" s="185" cm="1">
        <f t="array" ref="E6">INDEX($D5:$H5,0,COUNT($D5:$H5)-E7)</f>
        <v>2030</v>
      </c>
      <c r="F6" s="185" cm="1">
        <f t="array" ref="F6">INDEX($D5:$H5,0,COUNT($D5:$H5)-F7)</f>
        <v>2020</v>
      </c>
      <c r="G6" s="185" cm="1">
        <f t="array" ref="G6">INDEX($D5:$H5,0,COUNT($D5:$H5)-G7)</f>
        <v>2017</v>
      </c>
      <c r="H6" s="185" cm="1">
        <f t="array" ref="H6">INDEX($D5:$H5,0,COUNT($D5:$H5)-H7)</f>
        <v>2012</v>
      </c>
      <c r="I6" s="185" t="s">
        <v>393</v>
      </c>
      <c r="J6" s="185">
        <f>MATCH(J$4,$D$5:$H$5,$C6)</f>
        <v>1</v>
      </c>
      <c r="K6" s="185" t="e">
        <f t="shared" si="1"/>
        <v>#N/A</v>
      </c>
      <c r="L6" s="185" t="e">
        <f t="shared" si="1"/>
        <v>#N/A</v>
      </c>
      <c r="M6" s="185" t="e">
        <f t="shared" si="1"/>
        <v>#N/A</v>
      </c>
      <c r="N6" s="185" t="e">
        <f t="shared" si="1"/>
        <v>#N/A</v>
      </c>
      <c r="O6" s="185">
        <f t="shared" si="1"/>
        <v>2</v>
      </c>
      <c r="P6" s="185" t="e">
        <f t="shared" si="1"/>
        <v>#N/A</v>
      </c>
      <c r="Q6" s="185" t="e">
        <f t="shared" si="1"/>
        <v>#N/A</v>
      </c>
      <c r="R6" s="185">
        <f t="shared" si="1"/>
        <v>3</v>
      </c>
      <c r="S6" s="185" t="e">
        <f t="shared" si="1"/>
        <v>#N/A</v>
      </c>
      <c r="T6" s="185" t="e">
        <f t="shared" si="1"/>
        <v>#N/A</v>
      </c>
      <c r="U6" s="185" t="e">
        <f t="shared" si="1"/>
        <v>#N/A</v>
      </c>
      <c r="V6" s="185" t="e">
        <f t="shared" si="1"/>
        <v>#N/A</v>
      </c>
      <c r="W6" s="185" t="e">
        <f t="shared" si="1"/>
        <v>#N/A</v>
      </c>
      <c r="X6" s="185" t="e">
        <f t="shared" si="1"/>
        <v>#N/A</v>
      </c>
      <c r="Y6" s="185" t="e">
        <f t="shared" si="1"/>
        <v>#N/A</v>
      </c>
      <c r="Z6" s="185" t="e">
        <f t="shared" si="1"/>
        <v>#N/A</v>
      </c>
      <c r="AA6" s="185" t="e">
        <f t="shared" si="1"/>
        <v>#N/A</v>
      </c>
      <c r="AB6" s="185">
        <f t="shared" si="1"/>
        <v>4</v>
      </c>
      <c r="AC6" s="185" t="e">
        <f t="shared" si="1"/>
        <v>#N/A</v>
      </c>
      <c r="AD6" s="185" t="e">
        <f t="shared" si="1"/>
        <v>#N/A</v>
      </c>
      <c r="AE6" s="185" t="e">
        <f t="shared" si="1"/>
        <v>#N/A</v>
      </c>
      <c r="AF6" s="185" t="e">
        <f t="shared" si="1"/>
        <v>#N/A</v>
      </c>
      <c r="AG6" s="185" t="e">
        <f t="shared" si="1"/>
        <v>#N/A</v>
      </c>
      <c r="AH6" s="185" t="e">
        <f t="shared" si="1"/>
        <v>#N/A</v>
      </c>
      <c r="AI6" s="185" t="e">
        <f t="shared" si="1"/>
        <v>#N/A</v>
      </c>
      <c r="AJ6" s="185" t="e">
        <f t="shared" si="1"/>
        <v>#N/A</v>
      </c>
      <c r="AK6" s="185" t="e">
        <f t="shared" si="1"/>
        <v>#N/A</v>
      </c>
      <c r="AL6" s="185" t="e">
        <f t="shared" si="1"/>
        <v>#N/A</v>
      </c>
      <c r="AM6" s="185" t="e">
        <f t="shared" si="1"/>
        <v>#N/A</v>
      </c>
      <c r="AN6" s="185" t="e">
        <f t="shared" si="1"/>
        <v>#N/A</v>
      </c>
      <c r="AO6" s="185" t="e">
        <f t="shared" si="1"/>
        <v>#N/A</v>
      </c>
      <c r="AP6" s="185" t="e">
        <f t="shared" si="1"/>
        <v>#N/A</v>
      </c>
      <c r="AQ6" s="185" t="e">
        <f t="shared" si="1"/>
        <v>#N/A</v>
      </c>
      <c r="AR6" s="185" t="e">
        <f t="shared" si="1"/>
        <v>#N/A</v>
      </c>
      <c r="AS6" s="185" t="e">
        <f t="shared" si="1"/>
        <v>#N/A</v>
      </c>
      <c r="AT6" s="185" t="e">
        <f t="shared" si="1"/>
        <v>#N/A</v>
      </c>
      <c r="AU6" s="185" t="e">
        <f t="shared" si="1"/>
        <v>#N/A</v>
      </c>
      <c r="AV6" s="185">
        <f t="shared" si="1"/>
        <v>5</v>
      </c>
    </row>
    <row r="7" spans="1:48" s="185" customFormat="1">
      <c r="A7" s="185" t="s">
        <v>16</v>
      </c>
      <c r="C7" s="185">
        <v>-1</v>
      </c>
      <c r="D7" s="185">
        <v>0</v>
      </c>
      <c r="E7" s="185">
        <v>1</v>
      </c>
      <c r="F7" s="185">
        <v>2</v>
      </c>
      <c r="G7" s="185">
        <v>3</v>
      </c>
      <c r="H7" s="185">
        <v>4</v>
      </c>
      <c r="I7" s="185" t="s">
        <v>391</v>
      </c>
      <c r="J7" s="185">
        <f>MATCH(J$4,$D$6:$H$6,$C7)</f>
        <v>5</v>
      </c>
      <c r="K7" s="185">
        <f t="shared" ref="K7:AV7" si="2">MATCH(K$4,$D$6:$H$6,$C7)</f>
        <v>4</v>
      </c>
      <c r="L7" s="185">
        <f t="shared" si="2"/>
        <v>4</v>
      </c>
      <c r="M7" s="185">
        <f t="shared" si="2"/>
        <v>4</v>
      </c>
      <c r="N7" s="185">
        <f t="shared" si="2"/>
        <v>4</v>
      </c>
      <c r="O7" s="185">
        <f t="shared" si="2"/>
        <v>4</v>
      </c>
      <c r="P7" s="185">
        <f t="shared" si="2"/>
        <v>3</v>
      </c>
      <c r="Q7" s="185">
        <f t="shared" si="2"/>
        <v>3</v>
      </c>
      <c r="R7" s="185">
        <f t="shared" si="2"/>
        <v>3</v>
      </c>
      <c r="S7" s="185">
        <f t="shared" si="2"/>
        <v>2</v>
      </c>
      <c r="T7" s="185">
        <f t="shared" si="2"/>
        <v>2</v>
      </c>
      <c r="U7" s="185">
        <f t="shared" si="2"/>
        <v>2</v>
      </c>
      <c r="V7" s="185">
        <f t="shared" si="2"/>
        <v>2</v>
      </c>
      <c r="W7" s="185">
        <f t="shared" si="2"/>
        <v>2</v>
      </c>
      <c r="X7" s="185">
        <f t="shared" si="2"/>
        <v>2</v>
      </c>
      <c r="Y7" s="185">
        <f t="shared" si="2"/>
        <v>2</v>
      </c>
      <c r="Z7" s="185">
        <f t="shared" si="2"/>
        <v>2</v>
      </c>
      <c r="AA7" s="185">
        <f t="shared" si="2"/>
        <v>2</v>
      </c>
      <c r="AB7" s="185">
        <f t="shared" si="2"/>
        <v>2</v>
      </c>
      <c r="AC7" s="185">
        <f t="shared" si="2"/>
        <v>1</v>
      </c>
      <c r="AD7" s="185">
        <f t="shared" si="2"/>
        <v>1</v>
      </c>
      <c r="AE7" s="185">
        <f t="shared" si="2"/>
        <v>1</v>
      </c>
      <c r="AF7" s="185">
        <f t="shared" si="2"/>
        <v>1</v>
      </c>
      <c r="AG7" s="185">
        <f t="shared" si="2"/>
        <v>1</v>
      </c>
      <c r="AH7" s="185">
        <f t="shared" si="2"/>
        <v>1</v>
      </c>
      <c r="AI7" s="185">
        <f t="shared" si="2"/>
        <v>1</v>
      </c>
      <c r="AJ7" s="185">
        <f t="shared" si="2"/>
        <v>1</v>
      </c>
      <c r="AK7" s="185">
        <f t="shared" si="2"/>
        <v>1</v>
      </c>
      <c r="AL7" s="185">
        <f t="shared" si="2"/>
        <v>1</v>
      </c>
      <c r="AM7" s="185">
        <f t="shared" si="2"/>
        <v>1</v>
      </c>
      <c r="AN7" s="185">
        <f t="shared" si="2"/>
        <v>1</v>
      </c>
      <c r="AO7" s="185">
        <f t="shared" si="2"/>
        <v>1</v>
      </c>
      <c r="AP7" s="185">
        <f t="shared" si="2"/>
        <v>1</v>
      </c>
      <c r="AQ7" s="185">
        <f t="shared" si="2"/>
        <v>1</v>
      </c>
      <c r="AR7" s="185">
        <f t="shared" si="2"/>
        <v>1</v>
      </c>
      <c r="AS7" s="185">
        <f t="shared" si="2"/>
        <v>1</v>
      </c>
      <c r="AT7" s="185">
        <f t="shared" si="2"/>
        <v>1</v>
      </c>
      <c r="AU7" s="185">
        <f t="shared" si="2"/>
        <v>1</v>
      </c>
      <c r="AV7" s="185">
        <f t="shared" si="2"/>
        <v>1</v>
      </c>
    </row>
    <row r="8" spans="1:48" s="185" customFormat="1">
      <c r="A8" s="185" t="s">
        <v>16</v>
      </c>
      <c r="I8" s="185" t="s">
        <v>394</v>
      </c>
      <c r="J8" s="5">
        <f>IF(ISNA(J5),-1,IF(ISNA(J7),99,IF(ISNA(J6),J5,0)))</f>
        <v>0</v>
      </c>
      <c r="K8" s="5">
        <f t="shared" ref="K8:AV8" si="3">IF(ISNA(K5),-1,IF(ISNA(K7),99,IF(ISNA(K6),K5,0)))</f>
        <v>1</v>
      </c>
      <c r="L8" s="5">
        <f t="shared" si="3"/>
        <v>1</v>
      </c>
      <c r="M8" s="5">
        <v>1</v>
      </c>
      <c r="N8" s="5">
        <v>1</v>
      </c>
      <c r="O8" s="5">
        <v>0</v>
      </c>
      <c r="P8" s="5">
        <f t="shared" si="3"/>
        <v>2</v>
      </c>
      <c r="Q8" s="5">
        <f t="shared" si="3"/>
        <v>2</v>
      </c>
      <c r="R8" s="5">
        <f t="shared" si="3"/>
        <v>0</v>
      </c>
      <c r="S8" s="5">
        <f t="shared" si="3"/>
        <v>3</v>
      </c>
      <c r="T8" s="5">
        <f t="shared" si="3"/>
        <v>3</v>
      </c>
      <c r="U8" s="5">
        <f t="shared" si="3"/>
        <v>3</v>
      </c>
      <c r="V8" s="5">
        <f t="shared" si="3"/>
        <v>3</v>
      </c>
      <c r="W8" s="5">
        <f t="shared" si="3"/>
        <v>3</v>
      </c>
      <c r="X8" s="5">
        <f t="shared" si="3"/>
        <v>3</v>
      </c>
      <c r="Y8" s="5">
        <f t="shared" si="3"/>
        <v>3</v>
      </c>
      <c r="Z8" s="5">
        <f t="shared" si="3"/>
        <v>3</v>
      </c>
      <c r="AA8" s="5">
        <f t="shared" si="3"/>
        <v>3</v>
      </c>
      <c r="AB8" s="5">
        <f t="shared" si="3"/>
        <v>0</v>
      </c>
      <c r="AC8" s="5">
        <f t="shared" si="3"/>
        <v>4</v>
      </c>
      <c r="AD8" s="5">
        <f t="shared" si="3"/>
        <v>4</v>
      </c>
      <c r="AE8" s="5">
        <f t="shared" si="3"/>
        <v>4</v>
      </c>
      <c r="AF8" s="5">
        <f t="shared" si="3"/>
        <v>4</v>
      </c>
      <c r="AG8" s="5">
        <f t="shared" si="3"/>
        <v>4</v>
      </c>
      <c r="AH8" s="5">
        <f t="shared" si="3"/>
        <v>4</v>
      </c>
      <c r="AI8" s="5">
        <f t="shared" si="3"/>
        <v>4</v>
      </c>
      <c r="AJ8" s="5">
        <f t="shared" si="3"/>
        <v>4</v>
      </c>
      <c r="AK8" s="5">
        <f t="shared" si="3"/>
        <v>4</v>
      </c>
      <c r="AL8" s="5">
        <f t="shared" si="3"/>
        <v>4</v>
      </c>
      <c r="AM8" s="5">
        <f t="shared" si="3"/>
        <v>4</v>
      </c>
      <c r="AN8" s="5">
        <f t="shared" si="3"/>
        <v>4</v>
      </c>
      <c r="AO8" s="5">
        <f t="shared" si="3"/>
        <v>4</v>
      </c>
      <c r="AP8" s="5">
        <f t="shared" si="3"/>
        <v>4</v>
      </c>
      <c r="AQ8" s="5">
        <f t="shared" si="3"/>
        <v>4</v>
      </c>
      <c r="AR8" s="5">
        <f t="shared" si="3"/>
        <v>4</v>
      </c>
      <c r="AS8" s="5">
        <f t="shared" si="3"/>
        <v>4</v>
      </c>
      <c r="AT8" s="5">
        <f t="shared" si="3"/>
        <v>4</v>
      </c>
      <c r="AU8" s="5">
        <f t="shared" si="3"/>
        <v>4</v>
      </c>
      <c r="AV8" s="5">
        <f t="shared" si="3"/>
        <v>0</v>
      </c>
    </row>
    <row r="9" spans="1:48">
      <c r="A9" s="185" t="s">
        <v>16</v>
      </c>
      <c r="B9" s="87" t="s">
        <v>9</v>
      </c>
      <c r="C9" s="87" t="s">
        <v>10</v>
      </c>
      <c r="J9" s="86"/>
      <c r="K9" s="87"/>
    </row>
    <row r="10" spans="1:48">
      <c r="A10" s="185" t="s">
        <v>16</v>
      </c>
      <c r="B10" s="263" t="s">
        <v>4</v>
      </c>
      <c r="C10" s="87" t="s">
        <v>3</v>
      </c>
      <c r="E10" s="87">
        <f>MATCH(B10,Drivers!A7:A22,0)</f>
        <v>2</v>
      </c>
      <c r="J10" s="186" cm="1">
        <f t="array" ref="J10">INDEX(Drivers!$C$7:$AG$22,$E$10,J3)</f>
        <v>1833.8485148656705</v>
      </c>
      <c r="K10" s="186" cm="1">
        <f t="array" ref="K10">INDEX(Drivers!$C$7:$AG$22,$E$10,K3)</f>
        <v>1885.8209999999999</v>
      </c>
      <c r="L10" s="186" cm="1">
        <f t="array" ref="L10">INDEX(Drivers!$C$7:$AG$22,$E$10,L3)</f>
        <v>1933.1679999999999</v>
      </c>
      <c r="M10" s="186" cm="1">
        <f t="array" ref="M10">INDEX(Drivers!$C$7:$AG$22,$E$10,M3)</f>
        <v>1966.174</v>
      </c>
      <c r="N10" s="186" cm="1">
        <f t="array" ref="N10">INDEX(Drivers!$C$7:$AG$22,$E$10,N3)</f>
        <v>1991.546</v>
      </c>
      <c r="O10" s="186" cm="1">
        <f t="array" ref="O10">INDEX(Drivers!$C$7:$AG$22,$E$10,O3)</f>
        <v>2020.6990000000001</v>
      </c>
      <c r="P10" s="186" cm="1">
        <f t="array" ref="P10">INDEX(Drivers!$C$7:$AG$22,$E$10,P3)</f>
        <v>2053.4989999999998</v>
      </c>
      <c r="Q10" s="186" cm="1">
        <f t="array" ref="Q10">INDEX(Drivers!$C$7:$AG$22,$E$10,Q3)</f>
        <v>2080.7860000000001</v>
      </c>
      <c r="R10" s="186" cm="1">
        <f t="array" ref="R10">INDEX(Drivers!$C$7:$AG$22,$E$10,R3)</f>
        <v>1927.731</v>
      </c>
      <c r="S10" s="186" cm="1">
        <f t="array" ref="S10">INDEX(Drivers!$C$7:$AG$22,$E$10,S3)</f>
        <v>1970.7408635447755</v>
      </c>
      <c r="T10" s="186" cm="1">
        <f t="array" ref="T10">INDEX(Drivers!$C$7:$AG$22,$E$10,T3)</f>
        <v>2016.0771684341241</v>
      </c>
      <c r="U10" s="186" cm="1">
        <f t="array" ref="U10">INDEX(Drivers!$C$7:$AG$22,$E$10,U3)</f>
        <v>2065.4042130665671</v>
      </c>
      <c r="V10" s="186" cm="1">
        <f t="array" ref="V10">INDEX(Drivers!$C$7:$AG$22,$E$10,V3)</f>
        <v>2118.5150626172972</v>
      </c>
      <c r="W10" s="186" cm="1">
        <f t="array" ref="W10">INDEX(Drivers!$C$7:$AG$22,$E$10,W3)</f>
        <v>2172.0568782717742</v>
      </c>
      <c r="X10" s="186" cm="1">
        <f t="array" ref="X10">INDEX(Drivers!$C$7:$AG$22,$E$10,X3)</f>
        <v>2231.5020739293468</v>
      </c>
      <c r="Y10" s="186" cm="1">
        <f t="array" ref="Y10">INDEX(Drivers!$C$7:$AG$22,$E$10,Y3)</f>
        <v>2292.7690980654993</v>
      </c>
      <c r="Z10" s="186" cm="1">
        <f t="array" ref="Z10">INDEX(Drivers!$C$7:$AG$22,$E$10,Z3)</f>
        <v>2358.2377885147248</v>
      </c>
      <c r="AA10" s="186" cm="1">
        <f t="array" ref="AA10">INDEX(Drivers!$C$7:$AG$22,$E$10,AA3)</f>
        <v>2425.5863981499592</v>
      </c>
      <c r="AB10" s="186" cm="1">
        <f t="array" ref="AB10">INDEX(Drivers!$C$7:$AG$22,$E$10,AB3)</f>
        <v>2485.4888082606526</v>
      </c>
      <c r="AC10" s="186" cm="1">
        <f t="array" ref="AC10">INDEX(Drivers!$C$7:$AG$22,$E$10,AC3)</f>
        <v>2556.5297526178038</v>
      </c>
      <c r="AD10" s="186" cm="1">
        <f t="array" ref="AD10">INDEX(Drivers!$C$7:$AG$22,$E$10,AD3)</f>
        <v>2629.6045354150306</v>
      </c>
      <c r="AE10" s="186" cm="1">
        <f t="array" ref="AE10">INDEX(Drivers!$C$7:$AG$22,$E$10,AE3)</f>
        <v>2704.8656031316436</v>
      </c>
      <c r="AF10" s="186" cm="1">
        <f t="array" ref="AF10">INDEX(Drivers!$C$7:$AG$22,$E$10,AF3)</f>
        <v>2778.0912171382747</v>
      </c>
      <c r="AG10" s="186" cm="1">
        <f t="array" ref="AG10">INDEX(Drivers!$C$7:$AG$22,$E$10,AG3)</f>
        <v>2855.4804064105374</v>
      </c>
      <c r="AH10" s="186" cm="1">
        <f t="array" ref="AH10">INDEX(Drivers!$C$7:$AG$22,$E$10,AH3)</f>
        <v>2935.4002728689229</v>
      </c>
      <c r="AI10" s="186" cm="1">
        <f t="array" ref="AI10">INDEX(Drivers!$C$7:$AG$22,$E$10,AI3)</f>
        <v>3018.4445874573839</v>
      </c>
      <c r="AJ10" s="186" cm="1">
        <f t="array" ref="AJ10">INDEX(Drivers!$C$7:$AG$22,$E$10,AJ3)</f>
        <v>3101.0921063944338</v>
      </c>
      <c r="AK10" s="186" cm="1">
        <f t="array" ref="AK10">INDEX(Drivers!$C$7:$AG$22,$E$10,AK3)</f>
        <v>3186.5950536675605</v>
      </c>
      <c r="AL10" s="186" cm="1">
        <f t="array" ref="AL10">INDEX(Drivers!$C$7:$AG$22,$E$10,AL3)</f>
        <v>3277.1201456102917</v>
      </c>
      <c r="AM10" s="186">
        <f>(AQ10-AL10)/5+AL10</f>
        <v>3380.4383088044679</v>
      </c>
      <c r="AN10" s="186">
        <f>(AQ10-AL10)/5+AM10</f>
        <v>3483.756471998644</v>
      </c>
      <c r="AO10" s="186">
        <f>(AQ10-AL10)/5+AN10</f>
        <v>3587.0746351928201</v>
      </c>
      <c r="AP10" s="186">
        <f>(AQ10-AL10)/5+AO10</f>
        <v>3690.3927983869962</v>
      </c>
      <c r="AQ10" s="186" cm="1">
        <f t="array" ref="AQ10">INDEX(Drivers!$C$7:$AG$22,$E$10,AQ3)</f>
        <v>3793.7109615811719</v>
      </c>
      <c r="AR10" s="186">
        <f>(AV10-AQ10)/5+AQ10</f>
        <v>3910.9704427344964</v>
      </c>
      <c r="AS10" s="186">
        <f>(AV10-AQ10)/5+AR10</f>
        <v>4028.2299238878209</v>
      </c>
      <c r="AT10" s="186">
        <f>(AV10-AQ10)/5+AS10</f>
        <v>4145.4894050411449</v>
      </c>
      <c r="AU10" s="186">
        <f>(AV10-AQ10)/5+AT10</f>
        <v>4262.7488861944694</v>
      </c>
      <c r="AV10" s="186" cm="1">
        <f t="array" ref="AV10">INDEX(Drivers!$C$7:$AG$22,$E$10,AV3)</f>
        <v>4380.0083673477939</v>
      </c>
    </row>
    <row r="11" spans="1:48">
      <c r="A11" s="185" t="s">
        <v>16</v>
      </c>
      <c r="B11" s="90" t="s">
        <v>227</v>
      </c>
      <c r="C11" s="91"/>
      <c r="D11" s="91"/>
      <c r="E11" s="91"/>
      <c r="F11" s="91"/>
      <c r="G11" s="91"/>
      <c r="H11" s="91"/>
      <c r="I11" s="91"/>
      <c r="J11" s="264" t="str">
        <f t="shared" ref="J11:AV11" si="4">INDEX($C$14:$C$18,MATCH(J$12,$B$14:$B$18,0))</f>
        <v>A</v>
      </c>
      <c r="K11" s="264" t="str">
        <f t="shared" si="4"/>
        <v>A</v>
      </c>
      <c r="L11" s="264" t="str">
        <f t="shared" si="4"/>
        <v>A</v>
      </c>
      <c r="M11" s="264" t="str">
        <f t="shared" si="4"/>
        <v>A</v>
      </c>
      <c r="N11" s="264" t="str">
        <f t="shared" si="4"/>
        <v>A</v>
      </c>
      <c r="O11" s="264" t="str">
        <f t="shared" si="4"/>
        <v>A</v>
      </c>
      <c r="P11" s="264" t="str">
        <f t="shared" si="4"/>
        <v>B</v>
      </c>
      <c r="Q11" s="264" t="str">
        <f t="shared" si="4"/>
        <v>B</v>
      </c>
      <c r="R11" s="264" t="str">
        <f t="shared" si="4"/>
        <v>B</v>
      </c>
      <c r="S11" s="264" t="str">
        <f t="shared" si="4"/>
        <v>B</v>
      </c>
      <c r="T11" s="264" t="str">
        <f t="shared" si="4"/>
        <v>B</v>
      </c>
      <c r="U11" s="264" t="str">
        <f t="shared" si="4"/>
        <v>B</v>
      </c>
      <c r="V11" s="264" t="str">
        <f t="shared" si="4"/>
        <v>B</v>
      </c>
      <c r="W11" s="264" t="str">
        <f t="shared" si="4"/>
        <v>B</v>
      </c>
      <c r="X11" s="264" t="str">
        <f t="shared" si="4"/>
        <v>B</v>
      </c>
      <c r="Y11" s="264" t="str">
        <f t="shared" si="4"/>
        <v>B</v>
      </c>
      <c r="Z11" s="264" t="str">
        <f t="shared" si="4"/>
        <v>B</v>
      </c>
      <c r="AA11" s="264" t="str">
        <f t="shared" si="4"/>
        <v>B</v>
      </c>
      <c r="AB11" s="264" t="str">
        <f t="shared" si="4"/>
        <v>B</v>
      </c>
      <c r="AC11" s="264" t="str">
        <f t="shared" si="4"/>
        <v>C</v>
      </c>
      <c r="AD11" s="264" t="str">
        <f t="shared" si="4"/>
        <v>C</v>
      </c>
      <c r="AE11" s="264" t="str">
        <f t="shared" si="4"/>
        <v>C</v>
      </c>
      <c r="AF11" s="264" t="str">
        <f t="shared" si="4"/>
        <v>C</v>
      </c>
      <c r="AG11" s="264" t="str">
        <f t="shared" si="4"/>
        <v>C</v>
      </c>
      <c r="AH11" s="264" t="str">
        <f t="shared" si="4"/>
        <v>C</v>
      </c>
      <c r="AI11" s="264" t="str">
        <f t="shared" si="4"/>
        <v>C</v>
      </c>
      <c r="AJ11" s="264" t="str">
        <f t="shared" si="4"/>
        <v>C</v>
      </c>
      <c r="AK11" s="264" t="str">
        <f t="shared" si="4"/>
        <v>C</v>
      </c>
      <c r="AL11" s="264" t="str">
        <f t="shared" si="4"/>
        <v>C</v>
      </c>
      <c r="AM11" s="264" t="str">
        <f t="shared" si="4"/>
        <v>D</v>
      </c>
      <c r="AN11" s="264" t="str">
        <f t="shared" si="4"/>
        <v>D</v>
      </c>
      <c r="AO11" s="264" t="str">
        <f t="shared" si="4"/>
        <v>D</v>
      </c>
      <c r="AP11" s="264" t="str">
        <f t="shared" si="4"/>
        <v>D</v>
      </c>
      <c r="AQ11" s="264" t="str">
        <f t="shared" si="4"/>
        <v>D</v>
      </c>
      <c r="AR11" s="264" t="str">
        <f t="shared" si="4"/>
        <v>D</v>
      </c>
      <c r="AS11" s="264" t="str">
        <f t="shared" si="4"/>
        <v>D</v>
      </c>
      <c r="AT11" s="264" t="str">
        <f t="shared" si="4"/>
        <v>D</v>
      </c>
      <c r="AU11" s="264" t="str">
        <f t="shared" si="4"/>
        <v>D</v>
      </c>
      <c r="AV11" s="264" t="str">
        <f t="shared" si="4"/>
        <v>D</v>
      </c>
    </row>
    <row r="12" spans="1:48">
      <c r="A12" s="185" t="s">
        <v>16</v>
      </c>
      <c r="B12" s="263"/>
      <c r="J12" s="86">
        <f t="array" ref="J12">SUM($B$14:$B$18*(J4&gt;=$D$14:$D$18)*(J4&lt;=$E$14:$E$18))</f>
        <v>1</v>
      </c>
      <c r="K12" s="86">
        <f t="array" ref="K12">SUM($B$14:$B$17*(K4&gt;=$D$14:$D$17)*(K4&lt;=$E$14:$E$17))</f>
        <v>1</v>
      </c>
      <c r="L12" s="86">
        <f t="array" ref="L12">SUM($B$14:$B$17*(L4&gt;=$D$14:$D$17)*(L4&lt;=$E$14:$E$17))</f>
        <v>1</v>
      </c>
      <c r="M12" s="86">
        <f t="array" ref="M12">SUM($B$14:$B$17*(M4&gt;=$D$14:$D$17)*(M4&lt;=$E$14:$E$17))</f>
        <v>1</v>
      </c>
      <c r="N12" s="86">
        <f t="array" ref="N12">SUM($B$14:$B$17*(N4&gt;=$D$14:$D$17)*(N4&lt;=$E$14:$E$17))</f>
        <v>1</v>
      </c>
      <c r="O12" s="86">
        <f t="array" ref="O12">SUM($B$14:$B$17*(O4&gt;=$D$14:$D$17)*(O4&lt;=$E$14:$E$17))</f>
        <v>1</v>
      </c>
      <c r="P12" s="86">
        <f t="array" ref="P12">SUM($B$14:$B$17*(P4&gt;=$D$14:$D$17)*(P4&lt;=$E$14:$E$17))</f>
        <v>2</v>
      </c>
      <c r="Q12" s="86">
        <f t="array" ref="Q12">SUM($B$14:$B$17*(Q4&gt;=$D$14:$D$17)*(Q4&lt;=$E$14:$E$17))</f>
        <v>2</v>
      </c>
      <c r="R12" s="86">
        <f t="array" ref="R12">SUM($B$14:$B$17*(R4&gt;=$D$14:$D$17)*(R4&lt;=$E$14:$E$17))</f>
        <v>2</v>
      </c>
      <c r="S12" s="86">
        <f t="array" ref="S12">SUM($B$14:$B$17*(S4&gt;=$D$14:$D$17)*(S4&lt;=$E$14:$E$17))</f>
        <v>2</v>
      </c>
      <c r="T12" s="86">
        <f t="array" ref="T12">SUM($B$14:$B$17*(T4&gt;=$D$14:$D$17)*(T4&lt;=$E$14:$E$17))</f>
        <v>2</v>
      </c>
      <c r="U12" s="86">
        <f t="array" ref="U12">SUM($B$14:$B$17*(U4&gt;=$D$14:$D$17)*(U4&lt;=$E$14:$E$17))</f>
        <v>2</v>
      </c>
      <c r="V12" s="86">
        <f t="array" ref="V12">SUM($B$14:$B$17*(V4&gt;=$D$14:$D$17)*(V4&lt;=$E$14:$E$17))</f>
        <v>2</v>
      </c>
      <c r="W12" s="86">
        <f t="array" ref="W12">SUM($B$14:$B$17*(W4&gt;=$D$14:$D$17)*(W4&lt;=$E$14:$E$17))</f>
        <v>2</v>
      </c>
      <c r="X12" s="86">
        <f t="array" ref="X12">SUM($B$14:$B$17*(X4&gt;=$D$14:$D$17)*(X4&lt;=$E$14:$E$17))</f>
        <v>2</v>
      </c>
      <c r="Y12" s="86">
        <f t="array" ref="Y12">SUM($B$14:$B$17*(Y4&gt;=$D$14:$D$17)*(Y4&lt;=$E$14:$E$17))</f>
        <v>2</v>
      </c>
      <c r="Z12" s="86">
        <f t="array" ref="Z12">SUM($B$14:$B$17*(Z4&gt;=$D$14:$D$17)*(Z4&lt;=$E$14:$E$17))</f>
        <v>2</v>
      </c>
      <c r="AA12" s="86">
        <f t="array" ref="AA12">SUM($B$14:$B$17*(AA4&gt;=$D$14:$D$17)*(AA4&lt;=$E$14:$E$17))</f>
        <v>2</v>
      </c>
      <c r="AB12" s="86">
        <f t="array" ref="AB12">SUM($B$14:$B$17*(AB4&gt;=$D$14:$D$17)*(AB4&lt;=$E$14:$E$17))</f>
        <v>2</v>
      </c>
      <c r="AC12" s="86">
        <f t="array" ref="AC12">SUM($B$14:$B$17*(AC4&gt;=$D$14:$D$17)*(AC4&lt;=$E$14:$E$17))</f>
        <v>3</v>
      </c>
      <c r="AD12" s="86">
        <f t="array" ref="AD12">SUM($B$14:$B$17*(AD4&gt;=$D$14:$D$17)*(AD4&lt;=$E$14:$E$17))</f>
        <v>3</v>
      </c>
      <c r="AE12" s="86">
        <f t="array" ref="AE12">SUM($B$14:$B$17*(AE4&gt;=$D$14:$D$17)*(AE4&lt;=$E$14:$E$17))</f>
        <v>3</v>
      </c>
      <c r="AF12" s="86">
        <f t="array" ref="AF12">SUM($B$14:$B$17*(AF4&gt;=$D$14:$D$17)*(AF4&lt;=$E$14:$E$17))</f>
        <v>3</v>
      </c>
      <c r="AG12" s="86">
        <f t="array" ref="AG12">SUM($B$14:$B$17*(AG4&gt;=$D$14:$D$17)*(AG4&lt;=$E$14:$E$17))</f>
        <v>3</v>
      </c>
      <c r="AH12" s="86">
        <f t="array" ref="AH12">SUM($B$14:$B$17*(AH4&gt;=$D$14:$D$17)*(AH4&lt;=$E$14:$E$17))</f>
        <v>3</v>
      </c>
      <c r="AI12" s="86">
        <f t="array" ref="AI12">SUM($B$14:$B$17*(AI4&gt;=$D$14:$D$17)*(AI4&lt;=$E$14:$E$17))</f>
        <v>3</v>
      </c>
      <c r="AJ12" s="86">
        <f t="array" ref="AJ12">SUM($B$14:$B$17*(AJ4&gt;=$D$14:$D$17)*(AJ4&lt;=$E$14:$E$17))</f>
        <v>3</v>
      </c>
      <c r="AK12" s="86">
        <f t="array" ref="AK12">SUM($B$14:$B$17*(AK4&gt;=$D$14:$D$17)*(AK4&lt;=$E$14:$E$17))</f>
        <v>3</v>
      </c>
      <c r="AL12" s="86">
        <f t="array" ref="AL12">SUM($B$14:$B$17*(AL4&gt;=$D$14:$D$17)*(AL4&lt;=$E$14:$E$17))</f>
        <v>3</v>
      </c>
      <c r="AM12" s="86">
        <f t="array" ref="AM12">SUM($B$14:$B$17*(AM4&gt;=$D$14:$D$17)*(AM4&lt;=$E$14:$E$17))</f>
        <v>4</v>
      </c>
      <c r="AN12" s="86">
        <f t="array" ref="AN12">SUM($B$14:$B$17*(AN4&gt;=$D$14:$D$17)*(AN4&lt;=$E$14:$E$17))</f>
        <v>4</v>
      </c>
      <c r="AO12" s="86">
        <f t="array" ref="AO12">SUM($B$14:$B$17*(AO4&gt;=$D$14:$D$17)*(AO4&lt;=$E$14:$E$17))</f>
        <v>4</v>
      </c>
      <c r="AP12" s="86">
        <f t="array" ref="AP12">SUM($B$14:$B$17*(AP4&gt;=$D$14:$D$17)*(AP4&lt;=$E$14:$E$17))</f>
        <v>4</v>
      </c>
      <c r="AQ12" s="86">
        <f t="array" ref="AQ12">SUM($B$14:$B$17*(AQ4&gt;=$D$14:$D$17)*(AQ4&lt;=$E$14:$E$17))</f>
        <v>4</v>
      </c>
      <c r="AR12" s="86">
        <f t="array" ref="AR12">SUM($B$14:$B$17*(AR4&gt;=$D$14:$D$17)*(AR4&lt;=$E$14:$E$17))</f>
        <v>4</v>
      </c>
      <c r="AS12" s="86">
        <f t="array" ref="AS12">SUM($B$14:$B$17*(AS4&gt;=$D$14:$D$17)*(AS4&lt;=$E$14:$E$17))</f>
        <v>4</v>
      </c>
      <c r="AT12" s="86">
        <f t="array" ref="AT12">SUM($B$14:$B$17*(AT4&gt;=$D$14:$D$17)*(AT4&lt;=$E$14:$E$17))</f>
        <v>4</v>
      </c>
      <c r="AU12" s="86">
        <f t="array" ref="AU12">SUM($B$14:$B$17*(AU4&gt;=$D$14:$D$17)*(AU4&lt;=$E$14:$E$17))</f>
        <v>4</v>
      </c>
      <c r="AV12" s="86">
        <f t="array" ref="AV12">SUM($B$14:$B$17*(AV4&gt;=$D$14:$D$17)*(AV4&lt;=$E$14:$E$17))</f>
        <v>4</v>
      </c>
    </row>
    <row r="13" spans="1:48">
      <c r="A13" s="185" t="s">
        <v>16</v>
      </c>
      <c r="B13" s="350" t="s">
        <v>228</v>
      </c>
      <c r="C13" s="351"/>
      <c r="D13" s="87" t="s">
        <v>229</v>
      </c>
      <c r="E13" s="87" t="s">
        <v>230</v>
      </c>
      <c r="J13" s="86"/>
      <c r="K13" s="87"/>
    </row>
    <row r="14" spans="1:48">
      <c r="A14" s="185" t="s">
        <v>16</v>
      </c>
      <c r="B14" s="263">
        <v>1</v>
      </c>
      <c r="C14" s="87" t="s">
        <v>109</v>
      </c>
      <c r="D14" s="92">
        <v>2012</v>
      </c>
      <c r="E14" s="92">
        <f>D14+5</f>
        <v>2017</v>
      </c>
      <c r="J14" s="86"/>
      <c r="K14" s="87"/>
      <c r="P14" s="87">
        <f>P10/O10</f>
        <v>1.016232006845156</v>
      </c>
      <c r="Q14" s="87">
        <f t="shared" ref="Q14:T14" si="5">Q10/P10</f>
        <v>1.0132880512724867</v>
      </c>
      <c r="R14" s="87">
        <f t="shared" si="5"/>
        <v>0.92644366119341437</v>
      </c>
      <c r="S14" s="87">
        <f t="shared" si="5"/>
        <v>1.0223111334230635</v>
      </c>
      <c r="T14" s="87">
        <f t="shared" si="5"/>
        <v>1.0230047012917782</v>
      </c>
    </row>
    <row r="15" spans="1:48">
      <c r="A15" s="185" t="s">
        <v>16</v>
      </c>
      <c r="B15" s="263">
        <v>2</v>
      </c>
      <c r="C15" s="87" t="s">
        <v>231</v>
      </c>
      <c r="D15" s="92">
        <f>E14+1</f>
        <v>2018</v>
      </c>
      <c r="E15" s="92">
        <v>2030</v>
      </c>
      <c r="J15" s="86"/>
      <c r="K15" s="87"/>
    </row>
    <row r="16" spans="1:48">
      <c r="A16" s="185" t="s">
        <v>16</v>
      </c>
      <c r="B16" s="263">
        <v>3</v>
      </c>
      <c r="C16" s="87" t="s">
        <v>112</v>
      </c>
      <c r="D16" s="92">
        <v>2031</v>
      </c>
      <c r="E16" s="92">
        <v>2040</v>
      </c>
      <c r="J16" s="86"/>
      <c r="K16" s="87"/>
    </row>
    <row r="17" spans="1:48">
      <c r="A17" s="185" t="s">
        <v>16</v>
      </c>
      <c r="B17" s="263">
        <v>4</v>
      </c>
      <c r="C17" s="87" t="s">
        <v>232</v>
      </c>
      <c r="D17" s="92">
        <v>2041</v>
      </c>
      <c r="E17" s="92">
        <v>2070</v>
      </c>
      <c r="J17" s="86"/>
      <c r="K17" s="87"/>
    </row>
    <row r="18" spans="1:48">
      <c r="A18" s="185" t="s">
        <v>16</v>
      </c>
      <c r="B18" s="263"/>
      <c r="J18" s="86"/>
      <c r="K18" s="87"/>
    </row>
    <row r="19" spans="1:48" ht="15.75" thickBot="1">
      <c r="A19" s="185" t="s">
        <v>16</v>
      </c>
      <c r="B19" s="84" t="s">
        <v>511</v>
      </c>
      <c r="C19" s="84" t="s">
        <v>233</v>
      </c>
      <c r="D19" s="84"/>
      <c r="E19" s="85"/>
      <c r="F19" s="85"/>
      <c r="G19" s="85"/>
      <c r="H19" s="85"/>
      <c r="I19" s="85"/>
      <c r="J19" s="86"/>
      <c r="K19" s="87"/>
    </row>
    <row r="20" spans="1:48">
      <c r="A20" s="185" t="s">
        <v>16</v>
      </c>
      <c r="B20" s="89">
        <f>'[6]SA GDP'!$I$30</f>
        <v>0.44318133021912642</v>
      </c>
      <c r="C20" s="93">
        <v>0.01</v>
      </c>
      <c r="J20" s="86"/>
      <c r="K20" s="87"/>
      <c r="L20" s="94"/>
      <c r="M20" s="94"/>
      <c r="N20" s="94"/>
      <c r="O20" s="94"/>
      <c r="P20" s="94"/>
      <c r="Q20" s="94"/>
      <c r="R20" s="94"/>
      <c r="S20" s="94"/>
      <c r="T20" s="94"/>
      <c r="U20" s="94"/>
      <c r="V20" s="94"/>
      <c r="W20" s="94"/>
      <c r="X20" s="94"/>
      <c r="Y20" s="94"/>
      <c r="Z20" s="94"/>
      <c r="AA20" s="94"/>
      <c r="AB20" s="94"/>
      <c r="AC20" s="94"/>
      <c r="AD20" s="94"/>
      <c r="AE20" s="94"/>
      <c r="AF20" s="94"/>
      <c r="AG20" s="94"/>
      <c r="AH20" s="94"/>
      <c r="AI20" s="94"/>
      <c r="AJ20" s="94"/>
      <c r="AK20" s="94"/>
      <c r="AL20" s="94"/>
      <c r="AM20" s="94"/>
      <c r="AN20" s="94"/>
      <c r="AO20" s="94"/>
      <c r="AP20" s="94"/>
      <c r="AQ20" s="94"/>
      <c r="AR20" s="94"/>
      <c r="AS20" s="94"/>
    </row>
    <row r="21" spans="1:48">
      <c r="A21" s="185" t="s">
        <v>16</v>
      </c>
      <c r="B21" s="263"/>
      <c r="J21" s="95"/>
      <c r="K21" s="96"/>
      <c r="L21" s="94"/>
      <c r="M21" s="94"/>
      <c r="N21" s="94"/>
      <c r="O21" s="94"/>
      <c r="P21" s="94"/>
      <c r="Q21" s="94"/>
      <c r="R21" s="94"/>
      <c r="S21" s="94"/>
      <c r="T21" s="94"/>
      <c r="U21" s="94"/>
      <c r="V21" s="94"/>
      <c r="W21" s="94"/>
      <c r="X21" s="94"/>
      <c r="Y21" s="94"/>
      <c r="Z21" s="94"/>
      <c r="AA21" s="94"/>
      <c r="AB21" s="94"/>
      <c r="AC21" s="94"/>
      <c r="AD21" s="94"/>
      <c r="AE21" s="94"/>
      <c r="AF21" s="94"/>
      <c r="AG21" s="94"/>
      <c r="AH21" s="94"/>
      <c r="AI21" s="94"/>
      <c r="AJ21" s="94"/>
      <c r="AK21" s="94"/>
      <c r="AL21" s="94"/>
      <c r="AM21" s="94"/>
      <c r="AN21" s="94"/>
      <c r="AO21" s="94"/>
      <c r="AP21" s="94"/>
      <c r="AQ21" s="94"/>
      <c r="AR21" s="94"/>
      <c r="AS21" s="94"/>
    </row>
    <row r="22" spans="1:48" ht="19.5" thickBot="1">
      <c r="A22" s="185" t="s">
        <v>16</v>
      </c>
      <c r="B22" s="166" t="s">
        <v>70</v>
      </c>
      <c r="C22" s="84"/>
      <c r="D22" s="84"/>
      <c r="E22" s="97">
        <v>2006</v>
      </c>
      <c r="F22" s="97">
        <v>2010</v>
      </c>
      <c r="G22" s="97">
        <v>2020</v>
      </c>
      <c r="H22" s="97">
        <v>2030</v>
      </c>
      <c r="I22" s="97">
        <v>2050</v>
      </c>
      <c r="J22" s="86">
        <f t="shared" ref="J22:AV22" si="6">J4</f>
        <v>2012</v>
      </c>
      <c r="K22" s="87">
        <f t="shared" si="6"/>
        <v>2013</v>
      </c>
      <c r="L22" s="87">
        <f t="shared" si="6"/>
        <v>2014</v>
      </c>
      <c r="M22" s="87">
        <f t="shared" si="6"/>
        <v>2015</v>
      </c>
      <c r="N22" s="87">
        <f t="shared" si="6"/>
        <v>2016</v>
      </c>
      <c r="O22" s="87">
        <f t="shared" si="6"/>
        <v>2017</v>
      </c>
      <c r="P22" s="87">
        <f t="shared" si="6"/>
        <v>2018</v>
      </c>
      <c r="Q22" s="87">
        <f t="shared" si="6"/>
        <v>2019</v>
      </c>
      <c r="R22" s="87">
        <f t="shared" si="6"/>
        <v>2020</v>
      </c>
      <c r="S22" s="87">
        <f t="shared" si="6"/>
        <v>2021</v>
      </c>
      <c r="T22" s="87">
        <f t="shared" si="6"/>
        <v>2022</v>
      </c>
      <c r="U22" s="87">
        <f t="shared" si="6"/>
        <v>2023</v>
      </c>
      <c r="V22" s="87">
        <f t="shared" si="6"/>
        <v>2024</v>
      </c>
      <c r="W22" s="87">
        <f t="shared" si="6"/>
        <v>2025</v>
      </c>
      <c r="X22" s="87">
        <f t="shared" si="6"/>
        <v>2026</v>
      </c>
      <c r="Y22" s="87">
        <f t="shared" si="6"/>
        <v>2027</v>
      </c>
      <c r="Z22" s="87">
        <f t="shared" si="6"/>
        <v>2028</v>
      </c>
      <c r="AA22" s="87">
        <f t="shared" si="6"/>
        <v>2029</v>
      </c>
      <c r="AB22" s="87">
        <f t="shared" si="6"/>
        <v>2030</v>
      </c>
      <c r="AC22" s="87">
        <f t="shared" si="6"/>
        <v>2031</v>
      </c>
      <c r="AD22" s="87">
        <f t="shared" si="6"/>
        <v>2032</v>
      </c>
      <c r="AE22" s="87">
        <f t="shared" si="6"/>
        <v>2033</v>
      </c>
      <c r="AF22" s="87">
        <f t="shared" si="6"/>
        <v>2034</v>
      </c>
      <c r="AG22" s="87">
        <f t="shared" si="6"/>
        <v>2035</v>
      </c>
      <c r="AH22" s="87">
        <f t="shared" si="6"/>
        <v>2036</v>
      </c>
      <c r="AI22" s="87">
        <f t="shared" si="6"/>
        <v>2037</v>
      </c>
      <c r="AJ22" s="87">
        <f t="shared" si="6"/>
        <v>2038</v>
      </c>
      <c r="AK22" s="87">
        <f t="shared" si="6"/>
        <v>2039</v>
      </c>
      <c r="AL22" s="87">
        <f t="shared" si="6"/>
        <v>2040</v>
      </c>
      <c r="AM22" s="87">
        <f t="shared" si="6"/>
        <v>2041</v>
      </c>
      <c r="AN22" s="87">
        <f t="shared" si="6"/>
        <v>2042</v>
      </c>
      <c r="AO22" s="87">
        <f t="shared" si="6"/>
        <v>2043</v>
      </c>
      <c r="AP22" s="87">
        <f t="shared" si="6"/>
        <v>2044</v>
      </c>
      <c r="AQ22" s="87">
        <f t="shared" si="6"/>
        <v>2045</v>
      </c>
      <c r="AR22" s="87">
        <f t="shared" si="6"/>
        <v>2046</v>
      </c>
      <c r="AS22" s="87">
        <f t="shared" si="6"/>
        <v>2047</v>
      </c>
      <c r="AT22" s="87">
        <f t="shared" si="6"/>
        <v>2048</v>
      </c>
      <c r="AU22" s="87">
        <f t="shared" si="6"/>
        <v>2049</v>
      </c>
      <c r="AV22" s="87">
        <f t="shared" si="6"/>
        <v>2050</v>
      </c>
    </row>
    <row r="23" spans="1:48">
      <c r="A23" s="185" t="s">
        <v>16</v>
      </c>
      <c r="B23" s="263" t="str">
        <f>B10</f>
        <v>COM</v>
      </c>
      <c r="C23" s="87" t="str">
        <f>C10</f>
        <v>Commercial</v>
      </c>
      <c r="D23" s="87" t="s">
        <v>71</v>
      </c>
      <c r="J23" s="218">
        <f>[6]Forecast!I$8</f>
        <v>132.81548999999998</v>
      </c>
      <c r="K23" s="218">
        <f>[6]Forecast!J$8</f>
        <v>134.00787499999998</v>
      </c>
      <c r="L23" s="218">
        <f>[6]Forecast!K$8</f>
        <v>135.598851</v>
      </c>
      <c r="M23" s="218">
        <f>[6]Forecast!L$8</f>
        <v>136.99421599999999</v>
      </c>
      <c r="N23" s="218">
        <f>[6]Forecast!M$8</f>
        <v>138.328236</v>
      </c>
      <c r="O23" s="219">
        <f>IF(O10/N10&lt;1,N23,(1+$B$20*(O10/N10-1))*N23)</f>
        <v>139.22563422464734</v>
      </c>
      <c r="P23" s="337">
        <f t="shared" ref="P23:AO23" si="7">IF(P10/O10&lt;1,O23,(1+$B$20*(P10/O10-1))*O23)</f>
        <v>140.22718478624111</v>
      </c>
      <c r="Q23" s="337">
        <f t="shared" si="7"/>
        <v>141.05298495459101</v>
      </c>
      <c r="R23" s="337">
        <f t="shared" si="7"/>
        <v>141.05298495459101</v>
      </c>
      <c r="S23" s="337">
        <f t="shared" si="7"/>
        <v>142.44769963161394</v>
      </c>
      <c r="T23" s="337">
        <f t="shared" si="7"/>
        <v>143.89999012813689</v>
      </c>
      <c r="U23" s="219">
        <f t="shared" si="7"/>
        <v>145.4603334462314</v>
      </c>
      <c r="V23" s="219">
        <f t="shared" si="7"/>
        <v>147.11802691082636</v>
      </c>
      <c r="W23" s="219">
        <f t="shared" si="7"/>
        <v>148.76584356033999</v>
      </c>
      <c r="X23" s="219">
        <f t="shared" si="7"/>
        <v>150.57023290193962</v>
      </c>
      <c r="Y23" s="219">
        <f t="shared" si="7"/>
        <v>152.40233668020213</v>
      </c>
      <c r="Z23" s="219">
        <f t="shared" si="7"/>
        <v>154.33095557281581</v>
      </c>
      <c r="AA23" s="219">
        <f t="shared" si="7"/>
        <v>156.28428522174147</v>
      </c>
      <c r="AB23" s="219">
        <f t="shared" si="7"/>
        <v>157.99479009190122</v>
      </c>
      <c r="AC23" s="219">
        <f t="shared" si="7"/>
        <v>159.99613129666193</v>
      </c>
      <c r="AD23" s="219">
        <f t="shared" si="7"/>
        <v>162.02291601002446</v>
      </c>
      <c r="AE23" s="219">
        <f t="shared" si="7"/>
        <v>164.07803908712586</v>
      </c>
      <c r="AF23" s="219">
        <f t="shared" si="7"/>
        <v>166.04660175411703</v>
      </c>
      <c r="AG23" s="219">
        <f t="shared" si="7"/>
        <v>168.0965610802873</v>
      </c>
      <c r="AH23" s="219">
        <f t="shared" si="7"/>
        <v>170.18160808713486</v>
      </c>
      <c r="AI23" s="219">
        <f t="shared" si="7"/>
        <v>172.31532428682718</v>
      </c>
      <c r="AJ23" s="219">
        <f t="shared" si="7"/>
        <v>174.40631436251124</v>
      </c>
      <c r="AK23" s="219">
        <f t="shared" si="7"/>
        <v>176.53744503960402</v>
      </c>
      <c r="AL23" s="219">
        <f t="shared" si="7"/>
        <v>178.7600403339078</v>
      </c>
      <c r="AM23" s="219">
        <f t="shared" si="7"/>
        <v>181.2577169825332</v>
      </c>
      <c r="AN23" s="219">
        <f t="shared" si="7"/>
        <v>183.71288729583836</v>
      </c>
      <c r="AO23" s="219">
        <f t="shared" si="7"/>
        <v>186.12751382315912</v>
      </c>
      <c r="AP23" s="98">
        <f t="shared" ref="AP23:AU23" si="8">(1+$B$20*(AP10/AO10-1))*AO23</f>
        <v>188.50341458423969</v>
      </c>
      <c r="AQ23" s="98">
        <f t="shared" si="8"/>
        <v>190.84227746128008</v>
      </c>
      <c r="AR23" s="98">
        <f t="shared" si="8"/>
        <v>193.45648327501172</v>
      </c>
      <c r="AS23" s="98">
        <f t="shared" si="8"/>
        <v>196.02704584727169</v>
      </c>
      <c r="AT23" s="98">
        <f t="shared" si="8"/>
        <v>198.55594300709006</v>
      </c>
      <c r="AU23" s="98">
        <f t="shared" si="8"/>
        <v>201.04500954239904</v>
      </c>
      <c r="AV23" s="98">
        <f t="shared" ref="AV23" si="9">(1+$B$20*(AT10/AS10-1))*AU23</f>
        <v>203.6386422293067</v>
      </c>
    </row>
    <row r="24" spans="1:48">
      <c r="A24" s="185" t="s">
        <v>16</v>
      </c>
      <c r="B24" s="263" t="str">
        <f>B23 &amp; "-" &amp; "indexed"</f>
        <v>COM-indexed</v>
      </c>
      <c r="C24" s="87" t="str">
        <f>C23 &amp;"-" &amp; "indexed"</f>
        <v>Commercial-indexed</v>
      </c>
      <c r="I24" s="151"/>
      <c r="J24" s="89">
        <f>K24*(1+((J23-K23)/K23))</f>
        <v>0.95395859203410593</v>
      </c>
      <c r="K24" s="89">
        <f>L24*(1+((K23-L23)/L23))</f>
        <v>0.96252299906044436</v>
      </c>
      <c r="L24" s="89">
        <f>M24*(1+((L23-M23)/M23))</f>
        <v>0.97395031996194503</v>
      </c>
      <c r="M24" s="89">
        <f>N24*(1+((M23-N23)/N23))</f>
        <v>0.98397264816156749</v>
      </c>
      <c r="N24" s="89">
        <f>O24*(1+((N23-O23)/O23))</f>
        <v>0.99355436066321423</v>
      </c>
      <c r="O24" s="89">
        <v>1</v>
      </c>
      <c r="P24" s="89">
        <f t="shared" ref="P24:AV24" si="10">O24*(1+((P23-O23)/O23))</f>
        <v>1.0071937223857621</v>
      </c>
      <c r="Q24" s="89">
        <f t="shared" si="10"/>
        <v>1.0131251025726711</v>
      </c>
      <c r="R24" s="89">
        <f t="shared" si="10"/>
        <v>1.0131251025726711</v>
      </c>
      <c r="S24" s="89">
        <f t="shared" si="10"/>
        <v>1.0231427597720091</v>
      </c>
      <c r="T24" s="89">
        <f t="shared" si="10"/>
        <v>1.0335739602087017</v>
      </c>
      <c r="U24" s="89">
        <f t="shared" si="10"/>
        <v>1.0447812592580767</v>
      </c>
      <c r="V24" s="89">
        <f t="shared" si="10"/>
        <v>1.0566877840430182</v>
      </c>
      <c r="W24" s="89">
        <f t="shared" si="10"/>
        <v>1.0685233677607036</v>
      </c>
      <c r="X24" s="89">
        <f t="shared" si="10"/>
        <v>1.0814835482019589</v>
      </c>
      <c r="Y24" s="89">
        <f t="shared" si="10"/>
        <v>1.0946427899498277</v>
      </c>
      <c r="Z24" s="89">
        <f t="shared" si="10"/>
        <v>1.1084952597435855</v>
      </c>
      <c r="AA24" s="89">
        <f t="shared" si="10"/>
        <v>1.1225252166534883</v>
      </c>
      <c r="AB24" s="89">
        <f t="shared" si="10"/>
        <v>1.1348110638660769</v>
      </c>
      <c r="AC24" s="89">
        <f t="shared" si="10"/>
        <v>1.1491858678733005</v>
      </c>
      <c r="AD24" s="89">
        <f t="shared" si="10"/>
        <v>1.1637434220525273</v>
      </c>
      <c r="AE24" s="89">
        <f t="shared" si="10"/>
        <v>1.1785045189478403</v>
      </c>
      <c r="AF24" s="89">
        <f t="shared" si="10"/>
        <v>1.1926438883100572</v>
      </c>
      <c r="AG24" s="89">
        <f t="shared" si="10"/>
        <v>1.2073678961236078</v>
      </c>
      <c r="AH24" s="89">
        <f t="shared" si="10"/>
        <v>1.2223439241981737</v>
      </c>
      <c r="AI24" s="89">
        <f t="shared" si="10"/>
        <v>1.2376695229040089</v>
      </c>
      <c r="AJ24" s="89">
        <f t="shared" si="10"/>
        <v>1.2526882375777029</v>
      </c>
      <c r="AK24" s="89">
        <f t="shared" si="10"/>
        <v>1.2679952655468059</v>
      </c>
      <c r="AL24" s="89">
        <f t="shared" si="10"/>
        <v>1.2839592459350548</v>
      </c>
      <c r="AM24" s="89">
        <f t="shared" si="10"/>
        <v>1.3018990216274771</v>
      </c>
      <c r="AN24" s="89">
        <f t="shared" si="10"/>
        <v>1.3195334919387678</v>
      </c>
      <c r="AO24" s="89">
        <f t="shared" si="10"/>
        <v>1.3368767530470249</v>
      </c>
      <c r="AP24" s="89">
        <f t="shared" si="10"/>
        <v>1.3539418630342199</v>
      </c>
      <c r="AQ24" s="89">
        <f t="shared" si="10"/>
        <v>1.3707409452583061</v>
      </c>
      <c r="AR24" s="89">
        <f t="shared" si="10"/>
        <v>1.3895177016242601</v>
      </c>
      <c r="AS24" s="89">
        <f t="shared" si="10"/>
        <v>1.407980986683621</v>
      </c>
      <c r="AT24" s="89">
        <f t="shared" si="10"/>
        <v>1.4261450063621945</v>
      </c>
      <c r="AU24" s="89">
        <f t="shared" si="10"/>
        <v>1.4440229391808934</v>
      </c>
      <c r="AV24" s="89">
        <f t="shared" si="10"/>
        <v>1.4626519273076251</v>
      </c>
    </row>
    <row r="25" spans="1:48">
      <c r="A25" s="185" t="s">
        <v>16</v>
      </c>
      <c r="B25" s="263" t="str">
        <f>B10 &amp; "-" &amp; "EXISTING"</f>
        <v>COM-EXISTING</v>
      </c>
      <c r="C25" s="87" t="str">
        <f>C10 &amp; "-" &amp; "existing"</f>
        <v>Commercial-existing</v>
      </c>
      <c r="D25" s="87" t="s">
        <v>53</v>
      </c>
      <c r="E25" s="99">
        <v>1</v>
      </c>
      <c r="I25" s="151"/>
      <c r="J25" s="217">
        <f>E25</f>
        <v>1</v>
      </c>
      <c r="K25" s="217">
        <v>1</v>
      </c>
      <c r="L25" s="217">
        <v>1</v>
      </c>
      <c r="M25" s="217">
        <v>1</v>
      </c>
      <c r="N25" s="217">
        <v>1</v>
      </c>
      <c r="O25" s="217">
        <f>E25</f>
        <v>1</v>
      </c>
      <c r="P25" s="89">
        <f t="shared" ref="P25:AV25" si="11">IF(O25-$C$20*(P22-O22)&lt;0,0,O25-$C$20*(P22-O22))</f>
        <v>0.99</v>
      </c>
      <c r="Q25" s="89">
        <f t="shared" si="11"/>
        <v>0.98</v>
      </c>
      <c r="R25" s="89">
        <f t="shared" si="11"/>
        <v>0.97</v>
      </c>
      <c r="S25" s="89">
        <f t="shared" si="11"/>
        <v>0.96</v>
      </c>
      <c r="T25" s="89">
        <f t="shared" si="11"/>
        <v>0.95</v>
      </c>
      <c r="U25" s="89">
        <f t="shared" si="11"/>
        <v>0.94</v>
      </c>
      <c r="V25" s="89">
        <f t="shared" si="11"/>
        <v>0.92999999999999994</v>
      </c>
      <c r="W25" s="89">
        <f t="shared" si="11"/>
        <v>0.91999999999999993</v>
      </c>
      <c r="X25" s="89">
        <f t="shared" si="11"/>
        <v>0.90999999999999992</v>
      </c>
      <c r="Y25" s="89">
        <f t="shared" si="11"/>
        <v>0.89999999999999991</v>
      </c>
      <c r="Z25" s="89">
        <f t="shared" si="11"/>
        <v>0.8899999999999999</v>
      </c>
      <c r="AA25" s="89">
        <f t="shared" si="11"/>
        <v>0.87999999999999989</v>
      </c>
      <c r="AB25" s="89">
        <f t="shared" si="11"/>
        <v>0.86999999999999988</v>
      </c>
      <c r="AC25" s="89">
        <f t="shared" si="11"/>
        <v>0.85999999999999988</v>
      </c>
      <c r="AD25" s="89">
        <f t="shared" si="11"/>
        <v>0.84999999999999987</v>
      </c>
      <c r="AE25" s="89">
        <f t="shared" si="11"/>
        <v>0.83999999999999986</v>
      </c>
      <c r="AF25" s="89">
        <f t="shared" si="11"/>
        <v>0.82999999999999985</v>
      </c>
      <c r="AG25" s="89">
        <f t="shared" si="11"/>
        <v>0.81999999999999984</v>
      </c>
      <c r="AH25" s="89">
        <f t="shared" si="11"/>
        <v>0.80999999999999983</v>
      </c>
      <c r="AI25" s="89">
        <f t="shared" si="11"/>
        <v>0.79999999999999982</v>
      </c>
      <c r="AJ25" s="89">
        <f t="shared" si="11"/>
        <v>0.78999999999999981</v>
      </c>
      <c r="AK25" s="89">
        <f t="shared" si="11"/>
        <v>0.7799999999999998</v>
      </c>
      <c r="AL25" s="89">
        <f t="shared" si="11"/>
        <v>0.7699999999999998</v>
      </c>
      <c r="AM25" s="89">
        <f t="shared" si="11"/>
        <v>0.75999999999999979</v>
      </c>
      <c r="AN25" s="89">
        <f t="shared" si="11"/>
        <v>0.74999999999999978</v>
      </c>
      <c r="AO25" s="89">
        <f t="shared" si="11"/>
        <v>0.73999999999999977</v>
      </c>
      <c r="AP25" s="89">
        <f t="shared" si="11"/>
        <v>0.72999999999999976</v>
      </c>
      <c r="AQ25" s="89">
        <f t="shared" si="11"/>
        <v>0.71999999999999975</v>
      </c>
      <c r="AR25" s="89">
        <f t="shared" si="11"/>
        <v>0.70999999999999974</v>
      </c>
      <c r="AS25" s="89">
        <f t="shared" si="11"/>
        <v>0.69999999999999973</v>
      </c>
      <c r="AT25" s="89">
        <f t="shared" si="11"/>
        <v>0.68999999999999972</v>
      </c>
      <c r="AU25" s="89">
        <f t="shared" si="11"/>
        <v>0.67999999999999972</v>
      </c>
      <c r="AV25" s="89">
        <f t="shared" si="11"/>
        <v>0.66999999999999971</v>
      </c>
    </row>
    <row r="26" spans="1:48">
      <c r="A26" s="185" t="s">
        <v>16</v>
      </c>
      <c r="B26" s="263"/>
      <c r="I26" s="151"/>
      <c r="J26" s="89"/>
      <c r="K26" s="89"/>
      <c r="L26" s="89"/>
      <c r="M26" s="89"/>
      <c r="N26" s="89"/>
      <c r="O26" s="89"/>
      <c r="P26" s="89"/>
      <c r="Q26" s="89"/>
      <c r="R26" s="89"/>
      <c r="S26" s="89"/>
      <c r="T26" s="89"/>
      <c r="U26" s="89"/>
      <c r="V26" s="89"/>
      <c r="W26" s="89"/>
      <c r="X26" s="89"/>
      <c r="Y26" s="89"/>
      <c r="Z26" s="89"/>
      <c r="AA26" s="89"/>
      <c r="AB26" s="89"/>
      <c r="AC26" s="89"/>
      <c r="AD26" s="89"/>
      <c r="AE26" s="89"/>
      <c r="AF26" s="89"/>
      <c r="AG26" s="89"/>
      <c r="AH26" s="89"/>
      <c r="AI26" s="89"/>
      <c r="AJ26" s="89"/>
      <c r="AK26" s="89"/>
      <c r="AL26" s="89"/>
      <c r="AM26" s="89"/>
      <c r="AN26" s="89"/>
      <c r="AO26" s="89"/>
      <c r="AP26" s="89"/>
      <c r="AQ26" s="89"/>
      <c r="AR26" s="89"/>
      <c r="AS26" s="89"/>
      <c r="AT26" s="89"/>
      <c r="AU26" s="89"/>
      <c r="AV26" s="89"/>
    </row>
    <row r="27" spans="1:48">
      <c r="A27" s="185" t="s">
        <v>16</v>
      </c>
      <c r="B27" s="263" t="s">
        <v>486</v>
      </c>
      <c r="C27" s="265">
        <v>0.2</v>
      </c>
      <c r="I27" s="151"/>
      <c r="J27" s="89"/>
      <c r="K27" s="89"/>
      <c r="L27" s="89"/>
      <c r="M27" s="89"/>
      <c r="N27" s="89"/>
      <c r="O27" s="89"/>
      <c r="P27" s="89"/>
      <c r="Q27" s="89"/>
      <c r="R27" s="89"/>
      <c r="S27" s="89"/>
      <c r="T27" s="89"/>
      <c r="U27" s="89"/>
      <c r="V27" s="89"/>
      <c r="W27" s="89"/>
      <c r="X27" s="89"/>
      <c r="Y27" s="89"/>
      <c r="Z27" s="89"/>
      <c r="AH27" s="89"/>
      <c r="AI27" s="89"/>
      <c r="AJ27" s="89"/>
      <c r="AK27" s="89"/>
      <c r="AL27" s="89"/>
      <c r="AM27" s="89"/>
      <c r="AN27" s="89"/>
      <c r="AO27" s="89"/>
      <c r="AP27" s="89"/>
      <c r="AQ27" s="89"/>
      <c r="AR27" s="89"/>
      <c r="AS27" s="89"/>
      <c r="AT27" s="89"/>
      <c r="AU27" s="89"/>
      <c r="AV27" s="89"/>
    </row>
    <row r="28" spans="1:48">
      <c r="A28" s="185" t="s">
        <v>16</v>
      </c>
      <c r="B28" s="263"/>
      <c r="I28" s="151"/>
      <c r="J28" s="89"/>
      <c r="K28" s="89"/>
      <c r="L28" s="89"/>
      <c r="M28" s="89"/>
      <c r="N28" s="89"/>
      <c r="O28" s="89"/>
      <c r="P28" s="89"/>
      <c r="Q28" s="89"/>
      <c r="R28" s="89"/>
      <c r="S28" s="89"/>
      <c r="T28" s="89"/>
      <c r="U28" s="89"/>
      <c r="V28" s="89"/>
      <c r="W28" s="89"/>
      <c r="X28" s="89"/>
      <c r="Y28" s="89"/>
      <c r="Z28" s="89"/>
      <c r="AA28" s="89"/>
      <c r="AB28" s="89"/>
      <c r="AC28" s="89"/>
      <c r="AD28" s="89"/>
      <c r="AE28" s="89"/>
      <c r="AF28" s="89"/>
      <c r="AG28" s="89"/>
      <c r="AH28" s="89"/>
      <c r="AI28" s="89"/>
      <c r="AJ28" s="89"/>
      <c r="AK28" s="89"/>
      <c r="AL28" s="89"/>
      <c r="AM28" s="89"/>
      <c r="AN28" s="89"/>
      <c r="AO28" s="89"/>
      <c r="AP28" s="89"/>
      <c r="AQ28" s="89"/>
      <c r="AR28" s="89"/>
      <c r="AS28" s="89"/>
      <c r="AT28" s="89"/>
      <c r="AU28" s="89"/>
      <c r="AV28" s="89"/>
    </row>
    <row r="29" spans="1:48">
      <c r="A29" s="185" t="s">
        <v>16</v>
      </c>
      <c r="B29" s="266" t="s">
        <v>490</v>
      </c>
      <c r="C29" s="164"/>
      <c r="D29" s="164"/>
      <c r="I29" s="151"/>
      <c r="J29" s="89"/>
      <c r="K29" s="89"/>
      <c r="L29" s="89"/>
      <c r="M29" s="89"/>
      <c r="N29" s="89"/>
      <c r="O29" s="89"/>
      <c r="P29" s="89"/>
      <c r="Q29" s="89"/>
      <c r="R29" s="89"/>
      <c r="S29" s="89"/>
      <c r="T29" s="89"/>
      <c r="U29" s="89"/>
      <c r="V29" s="89"/>
      <c r="W29" s="89"/>
      <c r="X29" s="89"/>
      <c r="Y29" s="89"/>
      <c r="Z29" s="89"/>
      <c r="AA29" s="89"/>
      <c r="AB29" s="89"/>
      <c r="AC29" s="89"/>
      <c r="AD29" s="89"/>
      <c r="AE29" s="89"/>
      <c r="AF29" s="89"/>
      <c r="AG29" s="89"/>
      <c r="AH29" s="89"/>
      <c r="AI29" s="89"/>
      <c r="AJ29" s="89"/>
      <c r="AK29" s="89"/>
      <c r="AL29" s="89"/>
      <c r="AM29" s="89"/>
      <c r="AN29" s="89"/>
      <c r="AO29" s="89"/>
      <c r="AP29" s="89"/>
      <c r="AQ29" s="89"/>
      <c r="AR29" s="89"/>
      <c r="AS29" s="89"/>
      <c r="AT29" s="89"/>
      <c r="AU29" s="89"/>
      <c r="AV29" s="89"/>
    </row>
    <row r="30" spans="1:48">
      <c r="A30" s="185" t="s">
        <v>16</v>
      </c>
      <c r="B30" s="263" t="s">
        <v>487</v>
      </c>
      <c r="D30" s="87" t="s">
        <v>71</v>
      </c>
      <c r="I30" s="151"/>
      <c r="J30" s="217">
        <f>J23</f>
        <v>132.81548999999998</v>
      </c>
      <c r="K30" s="217">
        <f t="shared" ref="K30:O30" si="12">K23</f>
        <v>134.00787499999998</v>
      </c>
      <c r="L30" s="217">
        <f t="shared" si="12"/>
        <v>135.598851</v>
      </c>
      <c r="M30" s="217">
        <f t="shared" si="12"/>
        <v>136.99421599999999</v>
      </c>
      <c r="N30" s="217">
        <f t="shared" si="12"/>
        <v>138.328236</v>
      </c>
      <c r="O30" s="217">
        <f t="shared" si="12"/>
        <v>139.22563422464734</v>
      </c>
      <c r="P30" s="89">
        <f>P25*$O$23</f>
        <v>137.83337788240087</v>
      </c>
      <c r="Q30" s="89">
        <f t="shared" ref="Q30:AV30" si="13">Q25*$O$23</f>
        <v>136.4411215401544</v>
      </c>
      <c r="R30" s="89">
        <f t="shared" si="13"/>
        <v>135.0488651979079</v>
      </c>
      <c r="S30" s="89">
        <f t="shared" si="13"/>
        <v>133.65660885566143</v>
      </c>
      <c r="T30" s="89">
        <f t="shared" si="13"/>
        <v>132.26435251341496</v>
      </c>
      <c r="U30" s="89">
        <f t="shared" si="13"/>
        <v>130.87209617116849</v>
      </c>
      <c r="V30" s="89">
        <f t="shared" si="13"/>
        <v>129.47983982892202</v>
      </c>
      <c r="W30" s="89">
        <f t="shared" si="13"/>
        <v>128.08758348667553</v>
      </c>
      <c r="X30" s="89">
        <f t="shared" si="13"/>
        <v>126.69532714442907</v>
      </c>
      <c r="Y30" s="89">
        <f t="shared" si="13"/>
        <v>125.30307080218259</v>
      </c>
      <c r="Z30" s="89">
        <f t="shared" si="13"/>
        <v>123.91081445993612</v>
      </c>
      <c r="AA30" s="89">
        <f t="shared" si="13"/>
        <v>122.51855811768964</v>
      </c>
      <c r="AB30" s="89">
        <f t="shared" si="13"/>
        <v>121.12630177544317</v>
      </c>
      <c r="AC30" s="89">
        <f t="shared" si="13"/>
        <v>119.7340454331967</v>
      </c>
      <c r="AD30" s="89">
        <f t="shared" si="13"/>
        <v>118.34178909095021</v>
      </c>
      <c r="AE30" s="89">
        <f t="shared" si="13"/>
        <v>116.94953274870375</v>
      </c>
      <c r="AF30" s="89">
        <f t="shared" si="13"/>
        <v>115.55727640645726</v>
      </c>
      <c r="AG30" s="89">
        <f t="shared" si="13"/>
        <v>114.16502006421079</v>
      </c>
      <c r="AH30" s="89">
        <f t="shared" si="13"/>
        <v>112.77276372196432</v>
      </c>
      <c r="AI30" s="89">
        <f t="shared" si="13"/>
        <v>111.38050737971784</v>
      </c>
      <c r="AJ30" s="89">
        <f t="shared" si="13"/>
        <v>109.98825103747137</v>
      </c>
      <c r="AK30" s="89">
        <f t="shared" si="13"/>
        <v>108.59599469522489</v>
      </c>
      <c r="AL30" s="89">
        <f t="shared" si="13"/>
        <v>107.20373835297842</v>
      </c>
      <c r="AM30" s="89">
        <f t="shared" si="13"/>
        <v>105.81148201073195</v>
      </c>
      <c r="AN30" s="89">
        <f t="shared" si="13"/>
        <v>104.41922566848547</v>
      </c>
      <c r="AO30" s="89">
        <f t="shared" si="13"/>
        <v>103.026969326239</v>
      </c>
      <c r="AP30" s="89">
        <f t="shared" si="13"/>
        <v>101.63471298399253</v>
      </c>
      <c r="AQ30" s="89">
        <f t="shared" si="13"/>
        <v>100.24245664174605</v>
      </c>
      <c r="AR30" s="89">
        <f t="shared" si="13"/>
        <v>98.850200299499576</v>
      </c>
      <c r="AS30" s="89">
        <f t="shared" si="13"/>
        <v>97.457943957253093</v>
      </c>
      <c r="AT30" s="89">
        <f t="shared" si="13"/>
        <v>96.065687615006624</v>
      </c>
      <c r="AU30" s="89">
        <f t="shared" si="13"/>
        <v>94.673431272760155</v>
      </c>
      <c r="AV30" s="89">
        <f t="shared" si="13"/>
        <v>93.281174930513671</v>
      </c>
    </row>
    <row r="31" spans="1:48">
      <c r="A31" s="185" t="s">
        <v>16</v>
      </c>
      <c r="B31" s="263" t="s">
        <v>488</v>
      </c>
      <c r="D31" s="87" t="s">
        <v>71</v>
      </c>
      <c r="I31" s="151"/>
      <c r="J31" s="89">
        <f>J23-J30</f>
        <v>0</v>
      </c>
      <c r="K31" s="89">
        <f t="shared" ref="K31:AV31" si="14">K23-K30</f>
        <v>0</v>
      </c>
      <c r="L31" s="89">
        <f t="shared" si="14"/>
        <v>0</v>
      </c>
      <c r="M31" s="89">
        <f t="shared" si="14"/>
        <v>0</v>
      </c>
      <c r="N31" s="89">
        <f t="shared" si="14"/>
        <v>0</v>
      </c>
      <c r="O31" s="89">
        <f t="shared" si="14"/>
        <v>0</v>
      </c>
      <c r="P31" s="89">
        <f t="shared" si="14"/>
        <v>2.3938069038402432</v>
      </c>
      <c r="Q31" s="89">
        <f t="shared" si="14"/>
        <v>4.6118634144366126</v>
      </c>
      <c r="R31" s="89">
        <f t="shared" si="14"/>
        <v>6.0041197566831102</v>
      </c>
      <c r="S31" s="89">
        <f t="shared" si="14"/>
        <v>8.7910907759525116</v>
      </c>
      <c r="T31" s="89">
        <f t="shared" si="14"/>
        <v>11.635637614721929</v>
      </c>
      <c r="U31" s="89">
        <f t="shared" si="14"/>
        <v>14.588237275062909</v>
      </c>
      <c r="V31" s="89">
        <f t="shared" si="14"/>
        <v>17.638187081904334</v>
      </c>
      <c r="W31" s="89">
        <f t="shared" si="14"/>
        <v>20.678260073664461</v>
      </c>
      <c r="X31" s="89">
        <f t="shared" si="14"/>
        <v>23.874905757510547</v>
      </c>
      <c r="Y31" s="89">
        <f t="shared" si="14"/>
        <v>27.099265878019537</v>
      </c>
      <c r="Z31" s="89">
        <f t="shared" si="14"/>
        <v>30.420141112879691</v>
      </c>
      <c r="AA31" s="89">
        <f t="shared" si="14"/>
        <v>33.765727104051834</v>
      </c>
      <c r="AB31" s="89">
        <f t="shared" si="14"/>
        <v>36.868488316458055</v>
      </c>
      <c r="AC31" s="89">
        <f t="shared" si="14"/>
        <v>40.262085863465231</v>
      </c>
      <c r="AD31" s="89">
        <f t="shared" si="14"/>
        <v>43.681126919074245</v>
      </c>
      <c r="AE31" s="89">
        <f t="shared" si="14"/>
        <v>47.128506338422113</v>
      </c>
      <c r="AF31" s="89">
        <f t="shared" si="14"/>
        <v>50.489325347659772</v>
      </c>
      <c r="AG31" s="89">
        <f t="shared" si="14"/>
        <v>53.931541016076508</v>
      </c>
      <c r="AH31" s="89">
        <f t="shared" si="14"/>
        <v>57.408844365170538</v>
      </c>
      <c r="AI31" s="89">
        <f t="shared" si="14"/>
        <v>60.934816907109337</v>
      </c>
      <c r="AJ31" s="89">
        <f t="shared" si="14"/>
        <v>64.418063325039867</v>
      </c>
      <c r="AK31" s="89">
        <f t="shared" si="14"/>
        <v>67.941450344379135</v>
      </c>
      <c r="AL31" s="89">
        <f t="shared" si="14"/>
        <v>71.556301980929376</v>
      </c>
      <c r="AM31" s="89">
        <f t="shared" si="14"/>
        <v>75.446234971801246</v>
      </c>
      <c r="AN31" s="89">
        <f t="shared" si="14"/>
        <v>79.29366162735289</v>
      </c>
      <c r="AO31" s="89">
        <f t="shared" si="14"/>
        <v>83.100544496920122</v>
      </c>
      <c r="AP31" s="89">
        <f t="shared" si="14"/>
        <v>86.868701600247164</v>
      </c>
      <c r="AQ31" s="89">
        <f t="shared" si="14"/>
        <v>90.599820819534031</v>
      </c>
      <c r="AR31" s="89">
        <f t="shared" si="14"/>
        <v>94.606282975512144</v>
      </c>
      <c r="AS31" s="89">
        <f t="shared" si="14"/>
        <v>98.569101890018601</v>
      </c>
      <c r="AT31" s="89">
        <f t="shared" si="14"/>
        <v>102.49025539208344</v>
      </c>
      <c r="AU31" s="89">
        <f t="shared" si="14"/>
        <v>106.37157826963889</v>
      </c>
      <c r="AV31" s="89">
        <f t="shared" si="14"/>
        <v>110.35746729879303</v>
      </c>
    </row>
    <row r="32" spans="1:48">
      <c r="A32" s="185" t="s">
        <v>16</v>
      </c>
      <c r="B32" s="263"/>
      <c r="I32" s="151"/>
      <c r="J32" s="89"/>
      <c r="K32" s="89"/>
      <c r="L32" s="89"/>
      <c r="M32" s="89"/>
      <c r="N32" s="89"/>
      <c r="O32" s="89"/>
      <c r="P32" s="89"/>
      <c r="Q32" s="89"/>
      <c r="R32" s="89"/>
      <c r="S32" s="89"/>
      <c r="T32" s="89"/>
      <c r="U32" s="89"/>
      <c r="V32" s="89"/>
      <c r="W32" s="89"/>
      <c r="X32" s="89"/>
      <c r="Y32" s="89"/>
      <c r="Z32" s="89"/>
      <c r="AA32" s="89"/>
      <c r="AB32" s="89"/>
      <c r="AC32" s="89"/>
      <c r="AD32" s="89"/>
      <c r="AE32" s="89"/>
      <c r="AF32" s="89"/>
      <c r="AG32" s="89"/>
      <c r="AH32" s="89"/>
      <c r="AI32" s="89"/>
      <c r="AJ32" s="89"/>
      <c r="AK32" s="89"/>
      <c r="AL32" s="89"/>
      <c r="AM32" s="89"/>
      <c r="AN32" s="89"/>
      <c r="AO32" s="89"/>
      <c r="AP32" s="89"/>
      <c r="AQ32" s="89"/>
      <c r="AR32" s="89"/>
      <c r="AS32" s="89"/>
      <c r="AT32" s="89"/>
      <c r="AU32" s="89"/>
      <c r="AV32" s="89"/>
    </row>
    <row r="33" spans="1:48">
      <c r="A33" s="185" t="s">
        <v>16</v>
      </c>
      <c r="B33" s="266" t="s">
        <v>495</v>
      </c>
      <c r="C33" s="164"/>
      <c r="D33" s="164"/>
      <c r="I33" s="151"/>
      <c r="J33" s="89"/>
      <c r="K33" s="89"/>
      <c r="L33" s="89"/>
      <c r="M33" s="89"/>
      <c r="N33" s="89"/>
      <c r="O33" s="89"/>
      <c r="P33" s="89"/>
      <c r="Q33" s="89"/>
      <c r="R33" s="89"/>
      <c r="S33" s="89"/>
      <c r="T33" s="89"/>
      <c r="U33" s="89"/>
      <c r="V33" s="89"/>
      <c r="W33" s="89"/>
      <c r="X33" s="89"/>
      <c r="Y33" s="89"/>
      <c r="Z33" s="89"/>
      <c r="AA33" s="89"/>
      <c r="AB33" s="89"/>
      <c r="AC33" s="89"/>
      <c r="AD33" s="89"/>
      <c r="AE33" s="89"/>
      <c r="AF33" s="89"/>
      <c r="AG33" s="89"/>
      <c r="AH33" s="89"/>
      <c r="AI33" s="89"/>
      <c r="AJ33" s="89"/>
      <c r="AK33" s="89"/>
      <c r="AL33" s="89"/>
      <c r="AM33" s="89"/>
      <c r="AN33" s="89"/>
      <c r="AO33" s="89"/>
      <c r="AP33" s="89"/>
      <c r="AQ33" s="89"/>
      <c r="AR33" s="89"/>
      <c r="AS33" s="89"/>
      <c r="AT33" s="89"/>
      <c r="AU33" s="89"/>
      <c r="AV33" s="89"/>
    </row>
    <row r="34" spans="1:48">
      <c r="A34" s="185" t="s">
        <v>16</v>
      </c>
      <c r="B34" s="263" t="s">
        <v>489</v>
      </c>
      <c r="D34" s="87" t="s">
        <v>71</v>
      </c>
      <c r="I34" s="151"/>
      <c r="J34" s="89">
        <f>SUM(J30:J31)*$C$27</f>
        <v>26.563097999999997</v>
      </c>
      <c r="K34" s="89">
        <f t="shared" ref="K34:AV34" si="15">SUM(K30:K31)*$C$27</f>
        <v>26.801575</v>
      </c>
      <c r="L34" s="89">
        <f t="shared" si="15"/>
        <v>27.119770200000001</v>
      </c>
      <c r="M34" s="89">
        <f t="shared" si="15"/>
        <v>27.398843200000002</v>
      </c>
      <c r="N34" s="89">
        <f t="shared" si="15"/>
        <v>27.665647200000002</v>
      </c>
      <c r="O34" s="89">
        <f t="shared" si="15"/>
        <v>27.845126844929467</v>
      </c>
      <c r="P34" s="220">
        <f t="shared" si="15"/>
        <v>28.045436957248224</v>
      </c>
      <c r="Q34" s="89">
        <f t="shared" si="15"/>
        <v>28.210596990918205</v>
      </c>
      <c r="R34" s="89">
        <f t="shared" si="15"/>
        <v>28.210596990918205</v>
      </c>
      <c r="S34" s="89">
        <f t="shared" si="15"/>
        <v>28.489539926322792</v>
      </c>
      <c r="T34" s="89">
        <f t="shared" si="15"/>
        <v>28.779998025627378</v>
      </c>
      <c r="U34" s="89">
        <f t="shared" si="15"/>
        <v>29.09206668924628</v>
      </c>
      <c r="V34" s="89">
        <f t="shared" si="15"/>
        <v>29.423605382165274</v>
      </c>
      <c r="W34" s="89">
        <f t="shared" si="15"/>
        <v>29.753168712068</v>
      </c>
      <c r="X34" s="89">
        <f t="shared" si="15"/>
        <v>30.114046580387924</v>
      </c>
      <c r="Y34" s="89">
        <f t="shared" si="15"/>
        <v>30.480467336040427</v>
      </c>
      <c r="Z34" s="89">
        <f t="shared" si="15"/>
        <v>30.866191114563165</v>
      </c>
      <c r="AA34" s="89">
        <f t="shared" si="15"/>
        <v>31.256857044348294</v>
      </c>
      <c r="AB34" s="89">
        <f t="shared" si="15"/>
        <v>31.598958018380245</v>
      </c>
      <c r="AC34" s="89">
        <f t="shared" si="15"/>
        <v>31.999226259332389</v>
      </c>
      <c r="AD34" s="89">
        <f t="shared" si="15"/>
        <v>32.404583202004893</v>
      </c>
      <c r="AE34" s="89">
        <f t="shared" si="15"/>
        <v>32.815607817425175</v>
      </c>
      <c r="AF34" s="89">
        <f t="shared" si="15"/>
        <v>33.209320350823411</v>
      </c>
      <c r="AG34" s="89">
        <f t="shared" si="15"/>
        <v>33.619312216057459</v>
      </c>
      <c r="AH34" s="89">
        <f t="shared" si="15"/>
        <v>34.036321617426971</v>
      </c>
      <c r="AI34" s="89">
        <f t="shared" si="15"/>
        <v>34.463064857365438</v>
      </c>
      <c r="AJ34" s="89">
        <f t="shared" si="15"/>
        <v>34.881262872502248</v>
      </c>
      <c r="AK34" s="89">
        <f t="shared" si="15"/>
        <v>35.307489007920807</v>
      </c>
      <c r="AL34" s="89">
        <f t="shared" si="15"/>
        <v>35.752008066781563</v>
      </c>
      <c r="AM34" s="89">
        <f t="shared" si="15"/>
        <v>36.251543396506641</v>
      </c>
      <c r="AN34" s="89">
        <f t="shared" si="15"/>
        <v>36.74257745916767</v>
      </c>
      <c r="AO34" s="89">
        <f t="shared" si="15"/>
        <v>37.225502764631827</v>
      </c>
      <c r="AP34" s="89">
        <f t="shared" si="15"/>
        <v>37.700682916847938</v>
      </c>
      <c r="AQ34" s="89">
        <f t="shared" si="15"/>
        <v>38.168455492256015</v>
      </c>
      <c r="AR34" s="89">
        <f t="shared" si="15"/>
        <v>38.691296655002347</v>
      </c>
      <c r="AS34" s="89">
        <f t="shared" si="15"/>
        <v>39.205409169454342</v>
      </c>
      <c r="AT34" s="89">
        <f t="shared" si="15"/>
        <v>39.711188601418016</v>
      </c>
      <c r="AU34" s="89">
        <f t="shared" si="15"/>
        <v>40.209001908479813</v>
      </c>
      <c r="AV34" s="89">
        <f t="shared" si="15"/>
        <v>40.727728445861345</v>
      </c>
    </row>
    <row r="35" spans="1:48">
      <c r="A35" s="185" t="s">
        <v>16</v>
      </c>
      <c r="B35" s="263" t="s">
        <v>491</v>
      </c>
      <c r="C35" s="263"/>
      <c r="D35" s="87" t="s">
        <v>71</v>
      </c>
      <c r="E35" s="89"/>
      <c r="F35" s="89"/>
      <c r="G35" s="89"/>
      <c r="H35" s="89"/>
      <c r="I35" s="151"/>
      <c r="J35" s="89">
        <f>J30-J34*(J30/SUM(J30:J31))</f>
        <v>106.25239199999999</v>
      </c>
      <c r="K35" s="89">
        <f t="shared" ref="K35:AV35" si="16">K30-K34*(K30/SUM(K30:K31))</f>
        <v>107.20629999999998</v>
      </c>
      <c r="L35" s="89">
        <f t="shared" si="16"/>
        <v>108.47908079999999</v>
      </c>
      <c r="M35" s="89">
        <f t="shared" si="16"/>
        <v>109.59537279999999</v>
      </c>
      <c r="N35" s="89">
        <f t="shared" si="16"/>
        <v>110.66258880000001</v>
      </c>
      <c r="O35" s="89">
        <f t="shared" si="16"/>
        <v>111.38050737971787</v>
      </c>
      <c r="P35" s="220">
        <f t="shared" si="16"/>
        <v>110.26670230592069</v>
      </c>
      <c r="Q35" s="89">
        <f t="shared" si="16"/>
        <v>109.15289723212351</v>
      </c>
      <c r="R35" s="89">
        <f t="shared" si="16"/>
        <v>108.03909215832633</v>
      </c>
      <c r="S35" s="89">
        <f t="shared" si="16"/>
        <v>106.92528708452915</v>
      </c>
      <c r="T35" s="89">
        <f t="shared" si="16"/>
        <v>105.81148201073196</v>
      </c>
      <c r="U35" s="89">
        <f t="shared" si="16"/>
        <v>104.6976769369348</v>
      </c>
      <c r="V35" s="89">
        <f t="shared" si="16"/>
        <v>103.58387186313762</v>
      </c>
      <c r="W35" s="89">
        <f t="shared" si="16"/>
        <v>102.47006678934042</v>
      </c>
      <c r="X35" s="89">
        <f t="shared" si="16"/>
        <v>101.35626171554325</v>
      </c>
      <c r="Y35" s="89">
        <f t="shared" si="16"/>
        <v>100.24245664174607</v>
      </c>
      <c r="Z35" s="89">
        <f t="shared" si="16"/>
        <v>99.128651567948893</v>
      </c>
      <c r="AA35" s="89">
        <f t="shared" si="16"/>
        <v>98.014846494151712</v>
      </c>
      <c r="AB35" s="89">
        <f t="shared" si="16"/>
        <v>96.901041420354531</v>
      </c>
      <c r="AC35" s="89">
        <f t="shared" si="16"/>
        <v>95.787236346557364</v>
      </c>
      <c r="AD35" s="89">
        <f t="shared" si="16"/>
        <v>94.673431272760169</v>
      </c>
      <c r="AE35" s="89">
        <f t="shared" si="16"/>
        <v>93.559626198962988</v>
      </c>
      <c r="AF35" s="89">
        <f t="shared" si="16"/>
        <v>92.445821125165807</v>
      </c>
      <c r="AG35" s="89">
        <f t="shared" si="16"/>
        <v>91.33201605136864</v>
      </c>
      <c r="AH35" s="89">
        <f t="shared" si="16"/>
        <v>90.218210977571459</v>
      </c>
      <c r="AI35" s="89">
        <f t="shared" si="16"/>
        <v>89.104405903774278</v>
      </c>
      <c r="AJ35" s="89">
        <f t="shared" si="16"/>
        <v>87.990600829977097</v>
      </c>
      <c r="AK35" s="89">
        <f t="shared" si="16"/>
        <v>86.876795756179916</v>
      </c>
      <c r="AL35" s="89">
        <f t="shared" si="16"/>
        <v>85.762990682382735</v>
      </c>
      <c r="AM35" s="89">
        <f t="shared" si="16"/>
        <v>84.649185608585555</v>
      </c>
      <c r="AN35" s="89">
        <f t="shared" si="16"/>
        <v>83.535380534788374</v>
      </c>
      <c r="AO35" s="89">
        <f t="shared" si="16"/>
        <v>82.421575460991193</v>
      </c>
      <c r="AP35" s="89">
        <f t="shared" si="16"/>
        <v>81.307770387194026</v>
      </c>
      <c r="AQ35" s="89">
        <f t="shared" si="16"/>
        <v>80.193965313396831</v>
      </c>
      <c r="AR35" s="89">
        <f t="shared" si="16"/>
        <v>79.080160239599664</v>
      </c>
      <c r="AS35" s="89">
        <f t="shared" si="16"/>
        <v>77.966355165802469</v>
      </c>
      <c r="AT35" s="89">
        <f t="shared" si="16"/>
        <v>76.852550092005302</v>
      </c>
      <c r="AU35" s="89">
        <f t="shared" si="16"/>
        <v>75.738745018208121</v>
      </c>
      <c r="AV35" s="89">
        <f t="shared" si="16"/>
        <v>74.62493994441094</v>
      </c>
    </row>
    <row r="36" spans="1:48">
      <c r="A36" s="185" t="s">
        <v>16</v>
      </c>
      <c r="B36" s="263" t="s">
        <v>492</v>
      </c>
      <c r="C36" s="263"/>
      <c r="D36" s="87" t="s">
        <v>71</v>
      </c>
      <c r="E36" s="89"/>
      <c r="F36" s="89"/>
      <c r="G36" s="89"/>
      <c r="H36" s="89"/>
      <c r="I36" s="151"/>
      <c r="J36" s="89">
        <f>J23-J35-J34</f>
        <v>0</v>
      </c>
      <c r="K36" s="89">
        <f t="shared" ref="K36:AV36" si="17">K23-K35-K34</f>
        <v>0</v>
      </c>
      <c r="L36" s="89">
        <f t="shared" si="17"/>
        <v>0</v>
      </c>
      <c r="M36" s="89">
        <f t="shared" si="17"/>
        <v>0</v>
      </c>
      <c r="N36" s="89">
        <f t="shared" si="17"/>
        <v>0</v>
      </c>
      <c r="O36" s="89">
        <f t="shared" si="17"/>
        <v>0</v>
      </c>
      <c r="P36" s="220">
        <f t="shared" si="17"/>
        <v>1.9150455230721981</v>
      </c>
      <c r="Q36" s="89">
        <f t="shared" si="17"/>
        <v>3.6894907315492986</v>
      </c>
      <c r="R36" s="89">
        <f t="shared" si="17"/>
        <v>4.8032958053464796</v>
      </c>
      <c r="S36" s="89">
        <f t="shared" si="17"/>
        <v>7.0328726207620065</v>
      </c>
      <c r="T36" s="89">
        <f t="shared" si="17"/>
        <v>9.3085100917775492</v>
      </c>
      <c r="U36" s="89">
        <f t="shared" si="17"/>
        <v>11.670589820050324</v>
      </c>
      <c r="V36" s="89">
        <f t="shared" si="17"/>
        <v>14.110549665523468</v>
      </c>
      <c r="W36" s="89">
        <f t="shared" si="17"/>
        <v>16.542608058931567</v>
      </c>
      <c r="X36" s="89">
        <f t="shared" si="17"/>
        <v>19.09992460600844</v>
      </c>
      <c r="Y36" s="89">
        <f t="shared" si="17"/>
        <v>21.679412702415625</v>
      </c>
      <c r="Z36" s="89">
        <f t="shared" si="17"/>
        <v>24.336112890303752</v>
      </c>
      <c r="AA36" s="89">
        <f t="shared" si="17"/>
        <v>27.012581683241464</v>
      </c>
      <c r="AB36" s="89">
        <f t="shared" si="17"/>
        <v>29.494790653166447</v>
      </c>
      <c r="AC36" s="89">
        <f t="shared" si="17"/>
        <v>32.209668690772176</v>
      </c>
      <c r="AD36" s="89">
        <f t="shared" si="17"/>
        <v>34.944901535259397</v>
      </c>
      <c r="AE36" s="89">
        <f t="shared" si="17"/>
        <v>37.702805070737696</v>
      </c>
      <c r="AF36" s="89">
        <f t="shared" si="17"/>
        <v>40.391460278127816</v>
      </c>
      <c r="AG36" s="89">
        <f t="shared" si="17"/>
        <v>43.145232812861202</v>
      </c>
      <c r="AH36" s="89">
        <f t="shared" si="17"/>
        <v>45.927075492136431</v>
      </c>
      <c r="AI36" s="89">
        <f t="shared" si="17"/>
        <v>48.747853525687461</v>
      </c>
      <c r="AJ36" s="89">
        <f t="shared" si="17"/>
        <v>51.534450660031894</v>
      </c>
      <c r="AK36" s="89">
        <f t="shared" si="17"/>
        <v>54.353160275503299</v>
      </c>
      <c r="AL36" s="89">
        <f t="shared" si="17"/>
        <v>57.245041584743497</v>
      </c>
      <c r="AM36" s="89">
        <f t="shared" si="17"/>
        <v>60.356987977441001</v>
      </c>
      <c r="AN36" s="89">
        <f t="shared" si="17"/>
        <v>63.434929301882313</v>
      </c>
      <c r="AO36" s="89">
        <f t="shared" si="17"/>
        <v>66.480435597536101</v>
      </c>
      <c r="AP36" s="89">
        <f t="shared" si="17"/>
        <v>69.494961280197728</v>
      </c>
      <c r="AQ36" s="89">
        <f t="shared" si="17"/>
        <v>72.479856655627231</v>
      </c>
      <c r="AR36" s="89">
        <f t="shared" si="17"/>
        <v>75.68502638040971</v>
      </c>
      <c r="AS36" s="89">
        <f t="shared" si="17"/>
        <v>78.855281512014884</v>
      </c>
      <c r="AT36" s="89">
        <f t="shared" si="17"/>
        <v>81.992204313666747</v>
      </c>
      <c r="AU36" s="89">
        <f t="shared" si="17"/>
        <v>85.097262615711116</v>
      </c>
      <c r="AV36" s="89">
        <f t="shared" si="17"/>
        <v>88.285973839034426</v>
      </c>
    </row>
    <row r="37" spans="1:48">
      <c r="A37" s="185" t="s">
        <v>16</v>
      </c>
      <c r="B37" s="263"/>
      <c r="C37" s="263"/>
      <c r="E37" s="89"/>
      <c r="F37" s="89"/>
      <c r="G37" s="89"/>
      <c r="H37" s="89"/>
      <c r="I37" s="151"/>
      <c r="J37" s="89"/>
      <c r="K37" s="89"/>
      <c r="L37" s="89"/>
      <c r="M37" s="89"/>
      <c r="N37" s="89"/>
      <c r="O37" s="89"/>
      <c r="P37" s="89"/>
      <c r="Q37" s="89"/>
      <c r="R37" s="89"/>
      <c r="S37" s="89"/>
      <c r="T37" s="89"/>
      <c r="U37" s="89"/>
      <c r="V37" s="89"/>
      <c r="W37" s="89"/>
      <c r="X37" s="89"/>
      <c r="Y37" s="89"/>
      <c r="Z37" s="89"/>
      <c r="AA37" s="89"/>
      <c r="AB37" s="89"/>
      <c r="AC37" s="89"/>
      <c r="AD37" s="89"/>
      <c r="AE37" s="89"/>
      <c r="AF37" s="89"/>
      <c r="AG37" s="89"/>
      <c r="AH37" s="89"/>
      <c r="AI37" s="89"/>
      <c r="AJ37" s="89"/>
      <c r="AK37" s="89"/>
      <c r="AL37" s="89"/>
      <c r="AM37" s="89"/>
      <c r="AN37" s="89"/>
      <c r="AO37" s="89"/>
      <c r="AP37" s="89"/>
      <c r="AQ37" s="89"/>
      <c r="AR37" s="89"/>
      <c r="AS37" s="89"/>
      <c r="AT37" s="89"/>
      <c r="AU37" s="89"/>
      <c r="AV37" s="89"/>
    </row>
    <row r="38" spans="1:48">
      <c r="A38" s="185" t="s">
        <v>16</v>
      </c>
      <c r="E38" s="89"/>
      <c r="F38" s="89"/>
      <c r="G38" s="89"/>
      <c r="H38" s="89"/>
      <c r="I38" s="151"/>
      <c r="J38" s="89"/>
      <c r="K38" s="89"/>
      <c r="L38" s="89"/>
      <c r="M38" s="89"/>
      <c r="N38" s="89"/>
      <c r="O38" s="89"/>
      <c r="P38" s="89"/>
      <c r="Q38" s="89"/>
      <c r="R38" s="89"/>
      <c r="S38" s="89"/>
      <c r="T38" s="89"/>
      <c r="U38" s="89"/>
      <c r="V38" s="89"/>
      <c r="W38" s="89"/>
      <c r="X38" s="89"/>
      <c r="Y38" s="89"/>
      <c r="Z38" s="89"/>
      <c r="AA38" s="89"/>
      <c r="AB38" s="89"/>
      <c r="AC38" s="89"/>
      <c r="AD38" s="89"/>
      <c r="AE38" s="89"/>
      <c r="AF38" s="89"/>
      <c r="AG38" s="89"/>
      <c r="AH38" s="89"/>
      <c r="AI38" s="89"/>
      <c r="AJ38" s="89"/>
      <c r="AK38" s="89"/>
      <c r="AL38" s="89"/>
      <c r="AM38" s="89"/>
      <c r="AN38" s="89"/>
      <c r="AO38" s="89"/>
      <c r="AP38" s="89"/>
      <c r="AQ38" s="89"/>
      <c r="AR38" s="89"/>
      <c r="AS38" s="89"/>
      <c r="AT38" s="89"/>
      <c r="AU38" s="89"/>
      <c r="AV38" s="89"/>
    </row>
    <row r="39" spans="1:48" ht="15.75">
      <c r="A39" s="185" t="s">
        <v>16</v>
      </c>
      <c r="B39" s="267" t="s">
        <v>493</v>
      </c>
      <c r="C39" s="263"/>
      <c r="E39" s="89"/>
      <c r="F39" s="89"/>
      <c r="G39" s="89"/>
      <c r="H39" s="89"/>
      <c r="I39" s="151"/>
      <c r="J39" s="89"/>
      <c r="K39" s="89"/>
      <c r="L39" s="89"/>
      <c r="M39" s="89"/>
      <c r="N39" s="89"/>
      <c r="O39" s="89"/>
      <c r="P39" s="89"/>
      <c r="Q39" s="89"/>
      <c r="R39" s="89"/>
      <c r="S39" s="89"/>
      <c r="T39" s="89"/>
      <c r="U39" s="89"/>
      <c r="V39" s="89"/>
      <c r="W39" s="89"/>
      <c r="X39" s="89"/>
      <c r="Y39" s="89"/>
      <c r="Z39" s="89"/>
      <c r="AA39" s="89"/>
      <c r="AB39" s="89"/>
      <c r="AC39" s="89"/>
      <c r="AD39" s="89"/>
      <c r="AE39" s="89"/>
      <c r="AF39" s="89"/>
      <c r="AG39" s="89"/>
      <c r="AH39" s="89"/>
      <c r="AI39" s="89"/>
      <c r="AJ39" s="89"/>
      <c r="AK39" s="89"/>
      <c r="AL39" s="89"/>
      <c r="AM39" s="89"/>
      <c r="AN39" s="89"/>
      <c r="AO39" s="89"/>
      <c r="AP39" s="89"/>
      <c r="AQ39" s="89"/>
      <c r="AR39" s="89"/>
      <c r="AS39" s="89"/>
      <c r="AT39" s="89"/>
      <c r="AU39" s="89"/>
      <c r="AV39" s="89"/>
    </row>
    <row r="40" spans="1:48">
      <c r="A40" s="185" t="s">
        <v>16</v>
      </c>
      <c r="B40" s="268" t="s">
        <v>499</v>
      </c>
      <c r="C40" s="263"/>
      <c r="E40" s="89"/>
      <c r="F40" s="89"/>
      <c r="G40" s="89"/>
      <c r="H40" s="89"/>
      <c r="I40" s="89"/>
      <c r="J40" s="88"/>
      <c r="K40" s="89"/>
      <c r="L40" s="89"/>
      <c r="M40" s="89"/>
      <c r="N40" s="89"/>
      <c r="O40" s="89"/>
      <c r="P40" s="89"/>
      <c r="Q40" s="89"/>
      <c r="R40" s="89"/>
      <c r="S40" s="89"/>
      <c r="T40" s="89"/>
      <c r="U40" s="89"/>
      <c r="V40" s="89"/>
      <c r="W40" s="89"/>
      <c r="X40" s="89"/>
      <c r="Y40" s="89"/>
      <c r="Z40" s="89"/>
      <c r="AA40" s="89"/>
      <c r="AB40" s="89"/>
      <c r="AC40" s="89"/>
      <c r="AD40" s="89"/>
      <c r="AE40" s="89"/>
      <c r="AF40" s="89"/>
      <c r="AG40" s="89"/>
      <c r="AH40" s="89"/>
      <c r="AI40" s="89"/>
      <c r="AJ40" s="89"/>
      <c r="AK40" s="89"/>
      <c r="AL40" s="89"/>
      <c r="AM40" s="89"/>
      <c r="AN40" s="89"/>
      <c r="AO40" s="89"/>
      <c r="AP40" s="89"/>
      <c r="AQ40" s="89"/>
      <c r="AR40" s="89"/>
      <c r="AS40" s="89"/>
      <c r="AT40" s="89"/>
      <c r="AU40" s="89"/>
      <c r="AV40" s="89"/>
    </row>
    <row r="41" spans="1:48">
      <c r="A41" s="185" t="s">
        <v>16</v>
      </c>
      <c r="B41" s="90" t="s">
        <v>234</v>
      </c>
      <c r="C41" s="90"/>
      <c r="D41" s="91" t="s">
        <v>235</v>
      </c>
      <c r="E41" s="100"/>
      <c r="F41" s="100"/>
      <c r="G41" s="100"/>
      <c r="H41" s="100"/>
      <c r="I41" s="100"/>
      <c r="J41" s="101">
        <v>0</v>
      </c>
      <c r="K41" s="100">
        <f t="shared" ref="K41:AV41" si="18">K36-J36</f>
        <v>0</v>
      </c>
      <c r="L41" s="100">
        <f t="shared" si="18"/>
        <v>0</v>
      </c>
      <c r="M41" s="100">
        <f t="shared" si="18"/>
        <v>0</v>
      </c>
      <c r="N41" s="100">
        <f t="shared" si="18"/>
        <v>0</v>
      </c>
      <c r="O41" s="100">
        <f t="shared" si="18"/>
        <v>0</v>
      </c>
      <c r="P41" s="100">
        <f t="shared" si="18"/>
        <v>1.9150455230721981</v>
      </c>
      <c r="Q41" s="100">
        <f t="shared" si="18"/>
        <v>1.7744452084771005</v>
      </c>
      <c r="R41" s="100">
        <f t="shared" si="18"/>
        <v>1.113805073797181</v>
      </c>
      <c r="S41" s="100">
        <f t="shared" si="18"/>
        <v>2.2295768154155269</v>
      </c>
      <c r="T41" s="100">
        <f t="shared" si="18"/>
        <v>2.2756374710155427</v>
      </c>
      <c r="U41" s="100">
        <f t="shared" si="18"/>
        <v>2.362079728272775</v>
      </c>
      <c r="V41" s="100">
        <f t="shared" si="18"/>
        <v>2.4399598454731439</v>
      </c>
      <c r="W41" s="100">
        <f t="shared" si="18"/>
        <v>2.4320583934080986</v>
      </c>
      <c r="X41" s="100">
        <f t="shared" si="18"/>
        <v>2.5573165470768728</v>
      </c>
      <c r="Y41" s="100">
        <f t="shared" si="18"/>
        <v>2.5794880964071858</v>
      </c>
      <c r="Z41" s="100">
        <f t="shared" si="18"/>
        <v>2.6567001878881271</v>
      </c>
      <c r="AA41" s="100">
        <f t="shared" si="18"/>
        <v>2.6764687929377118</v>
      </c>
      <c r="AB41" s="100">
        <f t="shared" si="18"/>
        <v>2.482208969924983</v>
      </c>
      <c r="AC41" s="100">
        <f t="shared" si="18"/>
        <v>2.7148780376057289</v>
      </c>
      <c r="AD41" s="100">
        <f t="shared" si="18"/>
        <v>2.7352328444872214</v>
      </c>
      <c r="AE41" s="100">
        <f t="shared" si="18"/>
        <v>2.7579035354782988</v>
      </c>
      <c r="AF41" s="100">
        <f t="shared" si="18"/>
        <v>2.68865520739012</v>
      </c>
      <c r="AG41" s="100">
        <f t="shared" si="18"/>
        <v>2.7537725347333861</v>
      </c>
      <c r="AH41" s="100">
        <f t="shared" si="18"/>
        <v>2.7818426792752291</v>
      </c>
      <c r="AI41" s="100">
        <f t="shared" si="18"/>
        <v>2.8207780335510293</v>
      </c>
      <c r="AJ41" s="100">
        <f t="shared" si="18"/>
        <v>2.7865971343444329</v>
      </c>
      <c r="AK41" s="100">
        <f t="shared" si="18"/>
        <v>2.8187096154714055</v>
      </c>
      <c r="AL41" s="100">
        <f t="shared" si="18"/>
        <v>2.8918813092401976</v>
      </c>
      <c r="AM41" s="100">
        <f t="shared" si="18"/>
        <v>3.1119463926975044</v>
      </c>
      <c r="AN41" s="100">
        <f t="shared" si="18"/>
        <v>3.0779413244413121</v>
      </c>
      <c r="AO41" s="100">
        <f t="shared" si="18"/>
        <v>3.0455062956537873</v>
      </c>
      <c r="AP41" s="100">
        <f t="shared" si="18"/>
        <v>3.0145256826616276</v>
      </c>
      <c r="AQ41" s="100">
        <f t="shared" si="18"/>
        <v>2.9848953754295025</v>
      </c>
      <c r="AR41" s="100">
        <f t="shared" si="18"/>
        <v>3.2051697247824791</v>
      </c>
      <c r="AS41" s="100">
        <f t="shared" si="18"/>
        <v>3.1702551316051739</v>
      </c>
      <c r="AT41" s="100">
        <f t="shared" si="18"/>
        <v>3.1369228016518633</v>
      </c>
      <c r="AU41" s="100">
        <f t="shared" si="18"/>
        <v>3.1050583020443696</v>
      </c>
      <c r="AV41" s="100">
        <f t="shared" si="18"/>
        <v>3.1887112233233097</v>
      </c>
    </row>
    <row r="42" spans="1:48">
      <c r="A42" s="185" t="s">
        <v>16</v>
      </c>
      <c r="B42" s="263" t="s">
        <v>236</v>
      </c>
      <c r="C42" s="263"/>
      <c r="E42" s="89"/>
      <c r="F42" s="89"/>
      <c r="G42" s="89"/>
      <c r="H42" s="89"/>
      <c r="I42" s="89"/>
      <c r="J42" s="88"/>
      <c r="K42" s="89"/>
      <c r="L42" s="89"/>
      <c r="M42" s="89"/>
      <c r="N42" s="89"/>
      <c r="O42" s="89"/>
      <c r="P42" s="89"/>
      <c r="Q42" s="89"/>
      <c r="R42" s="89"/>
      <c r="S42" s="89"/>
      <c r="T42" s="89"/>
      <c r="U42" s="89"/>
      <c r="V42" s="89"/>
      <c r="W42" s="89"/>
      <c r="X42" s="89"/>
      <c r="Y42" s="89"/>
      <c r="Z42" s="89"/>
      <c r="AA42" s="89"/>
      <c r="AB42" s="89"/>
      <c r="AC42" s="89"/>
      <c r="AD42" s="89"/>
      <c r="AE42" s="89"/>
      <c r="AF42" s="89"/>
      <c r="AG42" s="89"/>
      <c r="AH42" s="89"/>
      <c r="AI42" s="89"/>
      <c r="AJ42" s="89"/>
      <c r="AK42" s="89"/>
      <c r="AL42" s="89"/>
      <c r="AM42" s="89"/>
      <c r="AN42" s="89"/>
      <c r="AO42" s="89"/>
      <c r="AP42" s="89"/>
      <c r="AQ42" s="89"/>
      <c r="AR42" s="89"/>
      <c r="AS42" s="89"/>
      <c r="AT42" s="89"/>
      <c r="AU42" s="89"/>
      <c r="AV42" s="89"/>
    </row>
    <row r="43" spans="1:48">
      <c r="A43" s="185" t="s">
        <v>16</v>
      </c>
      <c r="B43" s="268" t="str">
        <f>C14</f>
        <v>A</v>
      </c>
      <c r="C43" s="263"/>
      <c r="E43" s="89"/>
      <c r="F43" s="89"/>
      <c r="G43" s="89"/>
      <c r="H43" s="89"/>
      <c r="I43" s="165"/>
      <c r="J43" s="89" cm="1">
        <f t="array" ref="J43">SUM($J$41:$AV$41*(J$4=$J$4:$AV$4)*($B43=$J$11:$AV$11))</f>
        <v>0</v>
      </c>
      <c r="K43" s="89" cm="1">
        <f t="array" ref="K43">SUM($J$41:$AV$41*(K$4=$J$4:$AV$4)*($B43=$J$11:$AV$11))</f>
        <v>0</v>
      </c>
      <c r="L43" s="89" cm="1">
        <f t="array" ref="L43">SUM($J$41:$AV$41*(L$4=$J$4:$AV$4)*($B43=$J$11:$AV$11))</f>
        <v>0</v>
      </c>
      <c r="M43" s="89" cm="1">
        <f t="array" ref="M43">SUM($J$41:$AV$41*(M$4=$J$4:$AV$4)*($B43=$J$11:$AV$11))</f>
        <v>0</v>
      </c>
      <c r="N43" s="89" cm="1">
        <f t="array" ref="N43">SUM($J$41:$AV$41*(N$4=$J$4:$AV$4)*($B43=$J$11:$AV$11))</f>
        <v>0</v>
      </c>
      <c r="O43" s="89" cm="1">
        <f t="array" ref="O43">SUM($J$41:$AV$41*(O$4=$J$4:$AV$4)*($B43=$J$11:$AV$11))</f>
        <v>0</v>
      </c>
      <c r="P43" s="89" cm="1">
        <f t="array" ref="P43">SUM($J$41:$AV$41*(P$4=$J$4:$AV$4)*($B43=$J$11:$AV$11))</f>
        <v>0</v>
      </c>
      <c r="Q43" s="89" cm="1">
        <f t="array" ref="Q43">SUM($J$41:$AV$41*(Q$4=$J$4:$AV$4)*($B43=$J$11:$AV$11))</f>
        <v>0</v>
      </c>
      <c r="R43" s="89" cm="1">
        <f t="array" ref="R43">SUM($J$41:$AV$41*(R$4=$J$4:$AV$4)*($B43=$J$11:$AV$11))</f>
        <v>0</v>
      </c>
      <c r="S43" s="89" cm="1">
        <f t="array" ref="S43">SUM($J$41:$AV$41*(S$4=$J$4:$AV$4)*($B43=$J$11:$AV$11))</f>
        <v>0</v>
      </c>
      <c r="T43" s="89" cm="1">
        <f t="array" ref="T43">SUM($J$41:$AV$41*(T$4=$J$4:$AV$4)*($B43=$J$11:$AV$11))</f>
        <v>0</v>
      </c>
      <c r="U43" s="89" cm="1">
        <f t="array" ref="U43">SUM($J$41:$AV$41*(U$4=$J$4:$AV$4)*($B43=$J$11:$AV$11))</f>
        <v>0</v>
      </c>
      <c r="V43" s="89" cm="1">
        <f t="array" ref="V43">SUM($J$41:$AV$41*(V$4=$J$4:$AV$4)*($B43=$J$11:$AV$11))</f>
        <v>0</v>
      </c>
      <c r="W43" s="89" cm="1">
        <f t="array" ref="W43">SUM($J$41:$AV$41*(W$4=$J$4:$AV$4)*($B43=$J$11:$AV$11))</f>
        <v>0</v>
      </c>
      <c r="X43" s="89" cm="1">
        <f t="array" ref="X43">SUM($J$41:$AV$41*(X$4=$J$4:$AV$4)*($B43=$J$11:$AV$11))</f>
        <v>0</v>
      </c>
      <c r="Y43" s="89" cm="1">
        <f t="array" ref="Y43">SUM($J$41:$AV$41*(Y$4=$J$4:$AV$4)*($B43=$J$11:$AV$11))</f>
        <v>0</v>
      </c>
      <c r="Z43" s="89" cm="1">
        <f t="array" ref="Z43">SUM($J$41:$AV$41*(Z$4=$J$4:$AV$4)*($B43=$J$11:$AV$11))</f>
        <v>0</v>
      </c>
      <c r="AA43" s="89" cm="1">
        <f t="array" ref="AA43">SUM($J$41:$AV$41*(AA$4=$J$4:$AV$4)*($B43=$J$11:$AV$11))</f>
        <v>0</v>
      </c>
      <c r="AB43" s="89" cm="1">
        <f t="array" ref="AB43">SUM($J$41:$AV$41*(AB$4=$J$4:$AV$4)*($B43=$J$11:$AV$11))</f>
        <v>0</v>
      </c>
      <c r="AC43" s="89" cm="1">
        <f t="array" ref="AC43">SUM($J$41:$AV$41*(AC$4=$J$4:$AV$4)*($B43=$J$11:$AV$11))</f>
        <v>0</v>
      </c>
      <c r="AD43" s="89" cm="1">
        <f t="array" ref="AD43">SUM($J$41:$AV$41*(AD$4=$J$4:$AV$4)*($B43=$J$11:$AV$11))</f>
        <v>0</v>
      </c>
      <c r="AE43" s="89" cm="1">
        <f t="array" ref="AE43">SUM($J$41:$AV$41*(AE$4=$J$4:$AV$4)*($B43=$J$11:$AV$11))</f>
        <v>0</v>
      </c>
      <c r="AF43" s="89" cm="1">
        <f t="array" ref="AF43">SUM($J$41:$AV$41*(AF$4=$J$4:$AV$4)*($B43=$J$11:$AV$11))</f>
        <v>0</v>
      </c>
      <c r="AG43" s="89" cm="1">
        <f t="array" ref="AG43">SUM($J$41:$AV$41*(AG$4=$J$4:$AV$4)*($B43=$J$11:$AV$11))</f>
        <v>0</v>
      </c>
      <c r="AH43" s="89" cm="1">
        <f t="array" ref="AH43">SUM($J$41:$AV$41*(AH$4=$J$4:$AV$4)*($B43=$J$11:$AV$11))</f>
        <v>0</v>
      </c>
      <c r="AI43" s="89" cm="1">
        <f t="array" ref="AI43">SUM($J$41:$AV$41*(AI$4=$J$4:$AV$4)*($B43=$J$11:$AV$11))</f>
        <v>0</v>
      </c>
      <c r="AJ43" s="89" cm="1">
        <f t="array" ref="AJ43">SUM($J$41:$AV$41*(AJ$4=$J$4:$AV$4)*($B43=$J$11:$AV$11))</f>
        <v>0</v>
      </c>
      <c r="AK43" s="89" cm="1">
        <f t="array" ref="AK43">SUM($J$41:$AV$41*(AK$4=$J$4:$AV$4)*($B43=$J$11:$AV$11))</f>
        <v>0</v>
      </c>
      <c r="AL43" s="89" cm="1">
        <f t="array" ref="AL43">SUM($J$41:$AV$41*(AL$4=$J$4:$AV$4)*($B43=$J$11:$AV$11))</f>
        <v>0</v>
      </c>
      <c r="AM43" s="89" cm="1">
        <f t="array" ref="AM43">SUM($J$41:$AV$41*(AM$4=$J$4:$AV$4)*($B43=$J$11:$AV$11))</f>
        <v>0</v>
      </c>
      <c r="AN43" s="89" cm="1">
        <f t="array" ref="AN43">SUM($J$41:$AV$41*(AN$4=$J$4:$AV$4)*($B43=$J$11:$AV$11))</f>
        <v>0</v>
      </c>
      <c r="AO43" s="89" cm="1">
        <f t="array" ref="AO43">SUM($J$41:$AV$41*(AO$4=$J$4:$AV$4)*($B43=$J$11:$AV$11))</f>
        <v>0</v>
      </c>
      <c r="AP43" s="89" cm="1">
        <f t="array" ref="AP43">SUM($J$41:$AV$41*(AP$4=$J$4:$AV$4)*($B43=$J$11:$AV$11))</f>
        <v>0</v>
      </c>
      <c r="AQ43" s="89" cm="1">
        <f t="array" ref="AQ43">SUM($J$41:$AV$41*(AQ$4=$J$4:$AV$4)*($B43=$J$11:$AV$11))</f>
        <v>0</v>
      </c>
      <c r="AR43" s="89" cm="1">
        <f t="array" ref="AR43">SUM($J$41:$AV$41*(AR$4=$J$4:$AV$4)*($B43=$J$11:$AV$11))</f>
        <v>0</v>
      </c>
      <c r="AS43" s="89" cm="1">
        <f t="array" ref="AS43">SUM($J$41:$AV$41*(AS$4=$J$4:$AV$4)*($B43=$J$11:$AV$11))</f>
        <v>0</v>
      </c>
      <c r="AT43" s="89" cm="1">
        <f t="array" ref="AT43">SUM($J$41:$AV$41*(AT$4=$J$4:$AV$4)*($B43=$J$11:$AV$11))</f>
        <v>0</v>
      </c>
      <c r="AU43" s="89" cm="1">
        <f t="array" ref="AU43">SUM($J$41:$AV$41*(AU$4=$J$4:$AV$4)*($B43=$J$11:$AV$11))</f>
        <v>0</v>
      </c>
      <c r="AV43" s="89" cm="1">
        <f t="array" ref="AV43">SUM($J$41:$AV$41*(AV$4=$J$4:$AV$4)*($B43=$J$11:$AV$11))</f>
        <v>0</v>
      </c>
    </row>
    <row r="44" spans="1:48">
      <c r="A44" s="185" t="s">
        <v>16</v>
      </c>
      <c r="B44" s="268" t="str">
        <f>C15</f>
        <v>B</v>
      </c>
      <c r="C44" s="263"/>
      <c r="E44" s="89"/>
      <c r="F44" s="89"/>
      <c r="G44" s="89"/>
      <c r="H44" s="89"/>
      <c r="I44" s="165"/>
      <c r="J44" s="89" cm="1">
        <f t="array" ref="J44">SUM($J$41:$AV$41*(J$4=$J$4:$AV$4)*($B44=$J$11:$AV$11))</f>
        <v>0</v>
      </c>
      <c r="K44" s="89" cm="1">
        <f t="array" ref="K44">SUM($J$41:$AV$41*(K$4=$J$4:$AV$4)*($B44=$J$11:$AV$11))</f>
        <v>0</v>
      </c>
      <c r="L44" s="89" cm="1">
        <f t="array" ref="L44">SUM($J$41:$AV$41*(L$4=$J$4:$AV$4)*($B44=$J$11:$AV$11))</f>
        <v>0</v>
      </c>
      <c r="M44" s="89" cm="1">
        <f t="array" ref="M44">SUM($J$41:$AV$41*(M$4=$J$4:$AV$4)*($B44=$J$11:$AV$11))</f>
        <v>0</v>
      </c>
      <c r="N44" s="89" cm="1">
        <f t="array" ref="N44">SUM($J$41:$AV$41*(N$4=$J$4:$AV$4)*($B44=$J$11:$AV$11))</f>
        <v>0</v>
      </c>
      <c r="O44" s="89" cm="1">
        <f t="array" ref="O44">SUM($J$41:$AV$41*(O$4=$J$4:$AV$4)*($B44=$J$11:$AV$11))</f>
        <v>0</v>
      </c>
      <c r="P44" s="89" cm="1">
        <f t="array" ref="P44">SUM($J$41:$AV$41*(P$4=$J$4:$AV$4)*($B44=$J$11:$AV$11))</f>
        <v>1.9150455230721981</v>
      </c>
      <c r="Q44" s="89" cm="1">
        <f t="array" ref="Q44">SUM($J$41:$AV$41*(Q$4=$J$4:$AV$4)*($B44=$J$11:$AV$11))</f>
        <v>1.7744452084771005</v>
      </c>
      <c r="R44" s="89" cm="1">
        <f t="array" ref="R44">SUM($J$41:$AV$41*(R$4=$J$4:$AV$4)*($B44=$J$11:$AV$11))</f>
        <v>1.113805073797181</v>
      </c>
      <c r="S44" s="89" cm="1">
        <f t="array" ref="S44">SUM($J$41:$AV$41*(S$4=$J$4:$AV$4)*($B44=$J$11:$AV$11))</f>
        <v>2.2295768154155269</v>
      </c>
      <c r="T44" s="89" cm="1">
        <f t="array" ref="T44">SUM($J$41:$AV$41*(T$4=$J$4:$AV$4)*($B44=$J$11:$AV$11))</f>
        <v>2.2756374710155427</v>
      </c>
      <c r="U44" s="89" cm="1">
        <f t="array" ref="U44">SUM($J$41:$AV$41*(U$4=$J$4:$AV$4)*($B44=$J$11:$AV$11))</f>
        <v>2.362079728272775</v>
      </c>
      <c r="V44" s="89" cm="1">
        <f t="array" ref="V44">SUM($J$41:$AV$41*(V$4=$J$4:$AV$4)*($B44=$J$11:$AV$11))</f>
        <v>2.4399598454731439</v>
      </c>
      <c r="W44" s="89" cm="1">
        <f t="array" ref="W44">SUM($J$41:$AV$41*(W$4=$J$4:$AV$4)*($B44=$J$11:$AV$11))</f>
        <v>2.4320583934080986</v>
      </c>
      <c r="X44" s="89" cm="1">
        <f t="array" ref="X44">SUM($J$41:$AV$41*(X$4=$J$4:$AV$4)*($B44=$J$11:$AV$11))</f>
        <v>2.5573165470768728</v>
      </c>
      <c r="Y44" s="89" cm="1">
        <f t="array" ref="Y44">SUM($J$41:$AV$41*(Y$4=$J$4:$AV$4)*($B44=$J$11:$AV$11))</f>
        <v>2.5794880964071858</v>
      </c>
      <c r="Z44" s="89" cm="1">
        <f t="array" ref="Z44">SUM($J$41:$AV$41*(Z$4=$J$4:$AV$4)*($B44=$J$11:$AV$11))</f>
        <v>2.6567001878881271</v>
      </c>
      <c r="AA44" s="89" cm="1">
        <f t="array" ref="AA44">SUM($J$41:$AV$41*(AA$4=$J$4:$AV$4)*($B44=$J$11:$AV$11))</f>
        <v>2.6764687929377118</v>
      </c>
      <c r="AB44" s="89" cm="1">
        <f t="array" ref="AB44">SUM($J$41:$AV$41*(AB$4=$J$4:$AV$4)*($B44=$J$11:$AV$11))</f>
        <v>2.482208969924983</v>
      </c>
      <c r="AC44" s="89" cm="1">
        <f t="array" ref="AC44">SUM($J$41:$AV$41*(AC$4=$J$4:$AV$4)*($B44=$J$11:$AV$11))</f>
        <v>0</v>
      </c>
      <c r="AD44" s="89" cm="1">
        <f t="array" ref="AD44">SUM($J$41:$AV$41*(AD$4=$J$4:$AV$4)*($B44=$J$11:$AV$11))</f>
        <v>0</v>
      </c>
      <c r="AE44" s="89" cm="1">
        <f t="array" ref="AE44">SUM($J$41:$AV$41*(AE$4=$J$4:$AV$4)*($B44=$J$11:$AV$11))</f>
        <v>0</v>
      </c>
      <c r="AF44" s="89" cm="1">
        <f t="array" ref="AF44">SUM($J$41:$AV$41*(AF$4=$J$4:$AV$4)*($B44=$J$11:$AV$11))</f>
        <v>0</v>
      </c>
      <c r="AG44" s="89" cm="1">
        <f t="array" ref="AG44">SUM($J$41:$AV$41*(AG$4=$J$4:$AV$4)*($B44=$J$11:$AV$11))</f>
        <v>0</v>
      </c>
      <c r="AH44" s="89" cm="1">
        <f t="array" ref="AH44">SUM($J$41:$AV$41*(AH$4=$J$4:$AV$4)*($B44=$J$11:$AV$11))</f>
        <v>0</v>
      </c>
      <c r="AI44" s="89" cm="1">
        <f t="array" ref="AI44">SUM($J$41:$AV$41*(AI$4=$J$4:$AV$4)*($B44=$J$11:$AV$11))</f>
        <v>0</v>
      </c>
      <c r="AJ44" s="89" cm="1">
        <f t="array" ref="AJ44">SUM($J$41:$AV$41*(AJ$4=$J$4:$AV$4)*($B44=$J$11:$AV$11))</f>
        <v>0</v>
      </c>
      <c r="AK44" s="89" cm="1">
        <f t="array" ref="AK44">SUM($J$41:$AV$41*(AK$4=$J$4:$AV$4)*($B44=$J$11:$AV$11))</f>
        <v>0</v>
      </c>
      <c r="AL44" s="89" cm="1">
        <f t="array" ref="AL44">SUM($J$41:$AV$41*(AL$4=$J$4:$AV$4)*($B44=$J$11:$AV$11))</f>
        <v>0</v>
      </c>
      <c r="AM44" s="89" cm="1">
        <f t="array" ref="AM44">SUM($J$41:$AV$41*(AM$4=$J$4:$AV$4)*($B44=$J$11:$AV$11))</f>
        <v>0</v>
      </c>
      <c r="AN44" s="89" cm="1">
        <f t="array" ref="AN44">SUM($J$41:$AV$41*(AN$4=$J$4:$AV$4)*($B44=$J$11:$AV$11))</f>
        <v>0</v>
      </c>
      <c r="AO44" s="89" cm="1">
        <f t="array" ref="AO44">SUM($J$41:$AV$41*(AO$4=$J$4:$AV$4)*($B44=$J$11:$AV$11))</f>
        <v>0</v>
      </c>
      <c r="AP44" s="89" cm="1">
        <f t="array" ref="AP44">SUM($J$41:$AV$41*(AP$4=$J$4:$AV$4)*($B44=$J$11:$AV$11))</f>
        <v>0</v>
      </c>
      <c r="AQ44" s="89" cm="1">
        <f t="array" ref="AQ44">SUM($J$41:$AV$41*(AQ$4=$J$4:$AV$4)*($B44=$J$11:$AV$11))</f>
        <v>0</v>
      </c>
      <c r="AR44" s="89" cm="1">
        <f t="array" ref="AR44">SUM($J$41:$AV$41*(AR$4=$J$4:$AV$4)*($B44=$J$11:$AV$11))</f>
        <v>0</v>
      </c>
      <c r="AS44" s="89" cm="1">
        <f t="array" ref="AS44">SUM($J$41:$AV$41*(AS$4=$J$4:$AV$4)*($B44=$J$11:$AV$11))</f>
        <v>0</v>
      </c>
      <c r="AT44" s="89" cm="1">
        <f t="array" ref="AT44">SUM($J$41:$AV$41*(AT$4=$J$4:$AV$4)*($B44=$J$11:$AV$11))</f>
        <v>0</v>
      </c>
      <c r="AU44" s="89" cm="1">
        <f t="array" ref="AU44">SUM($J$41:$AV$41*(AU$4=$J$4:$AV$4)*($B44=$J$11:$AV$11))</f>
        <v>0</v>
      </c>
      <c r="AV44" s="89" cm="1">
        <f t="array" ref="AV44">SUM($J$41:$AV$41*(AV$4=$J$4:$AV$4)*($B44=$J$11:$AV$11))</f>
        <v>0</v>
      </c>
    </row>
    <row r="45" spans="1:48">
      <c r="A45" s="185" t="s">
        <v>16</v>
      </c>
      <c r="B45" s="268" t="str">
        <f>C16</f>
        <v>C</v>
      </c>
      <c r="C45" s="263"/>
      <c r="E45" s="89"/>
      <c r="F45" s="89"/>
      <c r="G45" s="89"/>
      <c r="H45" s="89"/>
      <c r="I45" s="165"/>
      <c r="J45" s="89" cm="1">
        <f t="array" ref="J45">SUM($J$41:$AV$41*(J$4=$J$4:$AV$4)*($B45=$J$11:$AV$11))</f>
        <v>0</v>
      </c>
      <c r="K45" s="89" cm="1">
        <f t="array" ref="K45">SUM($J$41:$AV$41*(K$4=$J$4:$AV$4)*($B45=$J$11:$AV$11))</f>
        <v>0</v>
      </c>
      <c r="L45" s="89" cm="1">
        <f t="array" ref="L45">SUM($J$41:$AV$41*(L$4=$J$4:$AV$4)*($B45=$J$11:$AV$11))</f>
        <v>0</v>
      </c>
      <c r="M45" s="89" cm="1">
        <f t="array" ref="M45">SUM($J$41:$AV$41*(M$4=$J$4:$AV$4)*($B45=$J$11:$AV$11))</f>
        <v>0</v>
      </c>
      <c r="N45" s="89" cm="1">
        <f t="array" ref="N45">SUM($J$41:$AV$41*(N$4=$J$4:$AV$4)*($B45=$J$11:$AV$11))</f>
        <v>0</v>
      </c>
      <c r="O45" s="89" cm="1">
        <f t="array" ref="O45">SUM($J$41:$AV$41*(O$4=$J$4:$AV$4)*($B45=$J$11:$AV$11))</f>
        <v>0</v>
      </c>
      <c r="P45" s="89" cm="1">
        <f t="array" ref="P45">SUM($J$41:$AV$41*(P$4=$J$4:$AV$4)*($B45=$J$11:$AV$11))</f>
        <v>0</v>
      </c>
      <c r="Q45" s="89" cm="1">
        <f t="array" ref="Q45">SUM($J$41:$AV$41*(Q$4=$J$4:$AV$4)*($B45=$J$11:$AV$11))</f>
        <v>0</v>
      </c>
      <c r="R45" s="89" cm="1">
        <f t="array" ref="R45">SUM($J$41:$AV$41*(R$4=$J$4:$AV$4)*($B45=$J$11:$AV$11))</f>
        <v>0</v>
      </c>
      <c r="S45" s="89" cm="1">
        <f t="array" ref="S45">SUM($J$41:$AV$41*(S$4=$J$4:$AV$4)*($B45=$J$11:$AV$11))</f>
        <v>0</v>
      </c>
      <c r="T45" s="89" cm="1">
        <f t="array" ref="T45">SUM($J$41:$AV$41*(T$4=$J$4:$AV$4)*($B45=$J$11:$AV$11))</f>
        <v>0</v>
      </c>
      <c r="U45" s="89" cm="1">
        <f t="array" ref="U45">SUM($J$41:$AV$41*(U$4=$J$4:$AV$4)*($B45=$J$11:$AV$11))</f>
        <v>0</v>
      </c>
      <c r="V45" s="89" cm="1">
        <f t="array" ref="V45">SUM($J$41:$AV$41*(V$4=$J$4:$AV$4)*($B45=$J$11:$AV$11))</f>
        <v>0</v>
      </c>
      <c r="W45" s="89" cm="1">
        <f t="array" ref="W45">SUM($J$41:$AV$41*(W$4=$J$4:$AV$4)*($B45=$J$11:$AV$11))</f>
        <v>0</v>
      </c>
      <c r="X45" s="89" cm="1">
        <f t="array" ref="X45">SUM($J$41:$AV$41*(X$4=$J$4:$AV$4)*($B45=$J$11:$AV$11))</f>
        <v>0</v>
      </c>
      <c r="Y45" s="89" cm="1">
        <f t="array" ref="Y45">SUM($J$41:$AV$41*(Y$4=$J$4:$AV$4)*($B45=$J$11:$AV$11))</f>
        <v>0</v>
      </c>
      <c r="Z45" s="89" cm="1">
        <f t="array" ref="Z45">SUM($J$41:$AV$41*(Z$4=$J$4:$AV$4)*($B45=$J$11:$AV$11))</f>
        <v>0</v>
      </c>
      <c r="AA45" s="89" cm="1">
        <f t="array" ref="AA45">SUM($J$41:$AV$41*(AA$4=$J$4:$AV$4)*($B45=$J$11:$AV$11))</f>
        <v>0</v>
      </c>
      <c r="AB45" s="89" cm="1">
        <f t="array" ref="AB45">SUM($J$41:$AV$41*(AB$4=$J$4:$AV$4)*($B45=$J$11:$AV$11))</f>
        <v>0</v>
      </c>
      <c r="AC45" s="89" cm="1">
        <f t="array" ref="AC45">SUM($J$41:$AV$41*(AC$4=$J$4:$AV$4)*($B45=$J$11:$AV$11))</f>
        <v>2.7148780376057289</v>
      </c>
      <c r="AD45" s="89" cm="1">
        <f t="array" ref="AD45">SUM($J$41:$AV$41*(AD$4=$J$4:$AV$4)*($B45=$J$11:$AV$11))</f>
        <v>2.7352328444872214</v>
      </c>
      <c r="AE45" s="89" cm="1">
        <f t="array" ref="AE45">SUM($J$41:$AV$41*(AE$4=$J$4:$AV$4)*($B45=$J$11:$AV$11))</f>
        <v>2.7579035354782988</v>
      </c>
      <c r="AF45" s="89" cm="1">
        <f t="array" ref="AF45">SUM($J$41:$AV$41*(AF$4=$J$4:$AV$4)*($B45=$J$11:$AV$11))</f>
        <v>2.68865520739012</v>
      </c>
      <c r="AG45" s="89" cm="1">
        <f t="array" ref="AG45">SUM($J$41:$AV$41*(AG$4=$J$4:$AV$4)*($B45=$J$11:$AV$11))</f>
        <v>2.7537725347333861</v>
      </c>
      <c r="AH45" s="89" cm="1">
        <f t="array" ref="AH45">SUM($J$41:$AV$41*(AH$4=$J$4:$AV$4)*($B45=$J$11:$AV$11))</f>
        <v>2.7818426792752291</v>
      </c>
      <c r="AI45" s="89" cm="1">
        <f t="array" ref="AI45">SUM($J$41:$AV$41*(AI$4=$J$4:$AV$4)*($B45=$J$11:$AV$11))</f>
        <v>2.8207780335510293</v>
      </c>
      <c r="AJ45" s="89" cm="1">
        <f t="array" ref="AJ45">SUM($J$41:$AV$41*(AJ$4=$J$4:$AV$4)*($B45=$J$11:$AV$11))</f>
        <v>2.7865971343444329</v>
      </c>
      <c r="AK45" s="89" cm="1">
        <f t="array" ref="AK45">SUM($J$41:$AV$41*(AK$4=$J$4:$AV$4)*($B45=$J$11:$AV$11))</f>
        <v>2.8187096154714055</v>
      </c>
      <c r="AL45" s="89" cm="1">
        <f t="array" ref="AL45">SUM($J$41:$AV$41*(AL$4=$J$4:$AV$4)*($B45=$J$11:$AV$11))</f>
        <v>2.8918813092401976</v>
      </c>
      <c r="AM45" s="89" cm="1">
        <f t="array" ref="AM45">SUM($J$41:$AV$41*(AM$4=$J$4:$AV$4)*($B45=$J$11:$AV$11))</f>
        <v>0</v>
      </c>
      <c r="AN45" s="89" cm="1">
        <f t="array" ref="AN45">SUM($J$41:$AV$41*(AN$4=$J$4:$AV$4)*($B45=$J$11:$AV$11))</f>
        <v>0</v>
      </c>
      <c r="AO45" s="89" cm="1">
        <f t="array" ref="AO45">SUM($J$41:$AV$41*(AO$4=$J$4:$AV$4)*($B45=$J$11:$AV$11))</f>
        <v>0</v>
      </c>
      <c r="AP45" s="89" cm="1">
        <f t="array" ref="AP45">SUM($J$41:$AV$41*(AP$4=$J$4:$AV$4)*($B45=$J$11:$AV$11))</f>
        <v>0</v>
      </c>
      <c r="AQ45" s="89" cm="1">
        <f t="array" ref="AQ45">SUM($J$41:$AV$41*(AQ$4=$J$4:$AV$4)*($B45=$J$11:$AV$11))</f>
        <v>0</v>
      </c>
      <c r="AR45" s="89" cm="1">
        <f t="array" ref="AR45">SUM($J$41:$AV$41*(AR$4=$J$4:$AV$4)*($B45=$J$11:$AV$11))</f>
        <v>0</v>
      </c>
      <c r="AS45" s="89" cm="1">
        <f t="array" ref="AS45">SUM($J$41:$AV$41*(AS$4=$J$4:$AV$4)*($B45=$J$11:$AV$11))</f>
        <v>0</v>
      </c>
      <c r="AT45" s="89" cm="1">
        <f t="array" ref="AT45">SUM($J$41:$AV$41*(AT$4=$J$4:$AV$4)*($B45=$J$11:$AV$11))</f>
        <v>0</v>
      </c>
      <c r="AU45" s="89" cm="1">
        <f t="array" ref="AU45">SUM($J$41:$AV$41*(AU$4=$J$4:$AV$4)*($B45=$J$11:$AV$11))</f>
        <v>0</v>
      </c>
      <c r="AV45" s="89" cm="1">
        <f t="array" ref="AV45">SUM($J$41:$AV$41*(AV$4=$J$4:$AV$4)*($B45=$J$11:$AV$11))</f>
        <v>0</v>
      </c>
    </row>
    <row r="46" spans="1:48">
      <c r="A46" s="185" t="s">
        <v>16</v>
      </c>
      <c r="B46" s="268" t="str">
        <f>C17</f>
        <v>D</v>
      </c>
      <c r="C46" s="263"/>
      <c r="E46" s="89"/>
      <c r="F46" s="89"/>
      <c r="G46" s="89"/>
      <c r="H46" s="89"/>
      <c r="I46" s="165"/>
      <c r="J46" s="89" cm="1">
        <f t="array" ref="J46">SUM($J$41:$AV$41*(J$4=$J$4:$AV$4)*($B46=$J$11:$AV$11))</f>
        <v>0</v>
      </c>
      <c r="K46" s="89" cm="1">
        <f t="array" ref="K46">SUM($J$41:$AV$41*(K$4=$J$4:$AV$4)*($B46=$J$11:$AV$11))</f>
        <v>0</v>
      </c>
      <c r="L46" s="89" cm="1">
        <f t="array" ref="L46">SUM($J$41:$AV$41*(L$4=$J$4:$AV$4)*($B46=$J$11:$AV$11))</f>
        <v>0</v>
      </c>
      <c r="M46" s="89" cm="1">
        <f t="array" ref="M46">SUM($J$41:$AV$41*(M$4=$J$4:$AV$4)*($B46=$J$11:$AV$11))</f>
        <v>0</v>
      </c>
      <c r="N46" s="89" cm="1">
        <f t="array" ref="N46">SUM($J$41:$AV$41*(N$4=$J$4:$AV$4)*($B46=$J$11:$AV$11))</f>
        <v>0</v>
      </c>
      <c r="O46" s="89" cm="1">
        <f t="array" ref="O46">SUM($J$41:$AV$41*(O$4=$J$4:$AV$4)*($B46=$J$11:$AV$11))</f>
        <v>0</v>
      </c>
      <c r="P46" s="89" cm="1">
        <f t="array" ref="P46">SUM($J$41:$AV$41*(P$4=$J$4:$AV$4)*($B46=$J$11:$AV$11))</f>
        <v>0</v>
      </c>
      <c r="Q46" s="89" cm="1">
        <f t="array" ref="Q46">SUM($J$41:$AV$41*(Q$4=$J$4:$AV$4)*($B46=$J$11:$AV$11))</f>
        <v>0</v>
      </c>
      <c r="R46" s="89" cm="1">
        <f t="array" ref="R46">SUM($J$41:$AV$41*(R$4=$J$4:$AV$4)*($B46=$J$11:$AV$11))</f>
        <v>0</v>
      </c>
      <c r="S46" s="89" cm="1">
        <f t="array" ref="S46">SUM($J$41:$AV$41*(S$4=$J$4:$AV$4)*($B46=$J$11:$AV$11))</f>
        <v>0</v>
      </c>
      <c r="T46" s="89" cm="1">
        <f t="array" ref="T46">SUM($J$41:$AV$41*(T$4=$J$4:$AV$4)*($B46=$J$11:$AV$11))</f>
        <v>0</v>
      </c>
      <c r="U46" s="89" cm="1">
        <f t="array" ref="U46">SUM($J$41:$AV$41*(U$4=$J$4:$AV$4)*($B46=$J$11:$AV$11))</f>
        <v>0</v>
      </c>
      <c r="V46" s="89" cm="1">
        <f t="array" ref="V46">SUM($J$41:$AV$41*(V$4=$J$4:$AV$4)*($B46=$J$11:$AV$11))</f>
        <v>0</v>
      </c>
      <c r="W46" s="89" cm="1">
        <f t="array" ref="W46">SUM($J$41:$AV$41*(W$4=$J$4:$AV$4)*($B46=$J$11:$AV$11))</f>
        <v>0</v>
      </c>
      <c r="X46" s="89" cm="1">
        <f t="array" ref="X46">SUM($J$41:$AV$41*(X$4=$J$4:$AV$4)*($B46=$J$11:$AV$11))</f>
        <v>0</v>
      </c>
      <c r="Y46" s="89" cm="1">
        <f t="array" ref="Y46">SUM($J$41:$AV$41*(Y$4=$J$4:$AV$4)*($B46=$J$11:$AV$11))</f>
        <v>0</v>
      </c>
      <c r="Z46" s="89" cm="1">
        <f t="array" ref="Z46">SUM($J$41:$AV$41*(Z$4=$J$4:$AV$4)*($B46=$J$11:$AV$11))</f>
        <v>0</v>
      </c>
      <c r="AA46" s="89" cm="1">
        <f t="array" ref="AA46">SUM($J$41:$AV$41*(AA$4=$J$4:$AV$4)*($B46=$J$11:$AV$11))</f>
        <v>0</v>
      </c>
      <c r="AB46" s="89" cm="1">
        <f t="array" ref="AB46">SUM($J$41:$AV$41*(AB$4=$J$4:$AV$4)*($B46=$J$11:$AV$11))</f>
        <v>0</v>
      </c>
      <c r="AC46" s="89" cm="1">
        <f t="array" ref="AC46">SUM($J$41:$AV$41*(AC$4=$J$4:$AV$4)*($B46=$J$11:$AV$11))</f>
        <v>0</v>
      </c>
      <c r="AD46" s="89" cm="1">
        <f t="array" ref="AD46">SUM($J$41:$AV$41*(AD$4=$J$4:$AV$4)*($B46=$J$11:$AV$11))</f>
        <v>0</v>
      </c>
      <c r="AE46" s="89" cm="1">
        <f t="array" ref="AE46">SUM($J$41:$AV$41*(AE$4=$J$4:$AV$4)*($B46=$J$11:$AV$11))</f>
        <v>0</v>
      </c>
      <c r="AF46" s="89" cm="1">
        <f t="array" ref="AF46">SUM($J$41:$AV$41*(AF$4=$J$4:$AV$4)*($B46=$J$11:$AV$11))</f>
        <v>0</v>
      </c>
      <c r="AG46" s="89" cm="1">
        <f t="array" ref="AG46">SUM($J$41:$AV$41*(AG$4=$J$4:$AV$4)*($B46=$J$11:$AV$11))</f>
        <v>0</v>
      </c>
      <c r="AH46" s="89" cm="1">
        <f t="array" ref="AH46">SUM($J$41:$AV$41*(AH$4=$J$4:$AV$4)*($B46=$J$11:$AV$11))</f>
        <v>0</v>
      </c>
      <c r="AI46" s="89" cm="1">
        <f t="array" ref="AI46">SUM($J$41:$AV$41*(AI$4=$J$4:$AV$4)*($B46=$J$11:$AV$11))</f>
        <v>0</v>
      </c>
      <c r="AJ46" s="89" cm="1">
        <f t="array" ref="AJ46">SUM($J$41:$AV$41*(AJ$4=$J$4:$AV$4)*($B46=$J$11:$AV$11))</f>
        <v>0</v>
      </c>
      <c r="AK46" s="89" cm="1">
        <f t="array" ref="AK46">SUM($J$41:$AV$41*(AK$4=$J$4:$AV$4)*($B46=$J$11:$AV$11))</f>
        <v>0</v>
      </c>
      <c r="AL46" s="89" cm="1">
        <f t="array" ref="AL46">SUM($J$41:$AV$41*(AL$4=$J$4:$AV$4)*($B46=$J$11:$AV$11))</f>
        <v>0</v>
      </c>
      <c r="AM46" s="89" cm="1">
        <f t="array" ref="AM46">SUM($J$41:$AV$41*(AM$4=$J$4:$AV$4)*($B46=$J$11:$AV$11))</f>
        <v>3.1119463926975044</v>
      </c>
      <c r="AN46" s="89" cm="1">
        <f t="array" ref="AN46">SUM($J$41:$AV$41*(AN$4=$J$4:$AV$4)*($B46=$J$11:$AV$11))</f>
        <v>3.0779413244413121</v>
      </c>
      <c r="AO46" s="89" cm="1">
        <f t="array" ref="AO46">SUM($J$41:$AV$41*(AO$4=$J$4:$AV$4)*($B46=$J$11:$AV$11))</f>
        <v>3.0455062956537873</v>
      </c>
      <c r="AP46" s="89" cm="1">
        <f t="array" ref="AP46">SUM($J$41:$AV$41*(AP$4=$J$4:$AV$4)*($B46=$J$11:$AV$11))</f>
        <v>3.0145256826616276</v>
      </c>
      <c r="AQ46" s="89" cm="1">
        <f t="array" ref="AQ46">SUM($J$41:$AV$41*(AQ$4=$J$4:$AV$4)*($B46=$J$11:$AV$11))</f>
        <v>2.9848953754295025</v>
      </c>
      <c r="AR46" s="89" cm="1">
        <f t="array" ref="AR46">SUM($J$41:$AV$41*(AR$4=$J$4:$AV$4)*($B46=$J$11:$AV$11))</f>
        <v>3.2051697247824791</v>
      </c>
      <c r="AS46" s="89" cm="1">
        <f t="array" ref="AS46">SUM($J$41:$AV$41*(AS$4=$J$4:$AV$4)*($B46=$J$11:$AV$11))</f>
        <v>3.1702551316051739</v>
      </c>
      <c r="AT46" s="89" cm="1">
        <f t="array" ref="AT46">SUM($J$41:$AV$41*(AT$4=$J$4:$AV$4)*($B46=$J$11:$AV$11))</f>
        <v>3.1369228016518633</v>
      </c>
      <c r="AU46" s="89" cm="1">
        <f t="array" ref="AU46">SUM($J$41:$AV$41*(AU$4=$J$4:$AV$4)*($B46=$J$11:$AV$11))</f>
        <v>3.1050583020443696</v>
      </c>
      <c r="AV46" s="89" cm="1">
        <f t="array" ref="AV46">SUM($J$41:$AV$41*(AV$4=$J$4:$AV$4)*($B46=$J$11:$AV$11))</f>
        <v>3.1887112233233097</v>
      </c>
    </row>
    <row r="47" spans="1:48">
      <c r="A47" s="185" t="s">
        <v>16</v>
      </c>
      <c r="B47" s="263"/>
      <c r="C47" s="263"/>
      <c r="E47" s="89"/>
      <c r="F47" s="89"/>
      <c r="G47" s="89"/>
      <c r="H47" s="89"/>
      <c r="I47" s="165"/>
      <c r="J47" s="89"/>
      <c r="K47" s="89"/>
      <c r="L47" s="89"/>
      <c r="M47" s="89"/>
      <c r="N47" s="89"/>
      <c r="O47" s="89"/>
      <c r="P47" s="89"/>
      <c r="Q47" s="89"/>
      <c r="R47" s="89"/>
      <c r="S47" s="89"/>
      <c r="T47" s="89"/>
      <c r="U47" s="89"/>
      <c r="V47" s="89"/>
      <c r="W47" s="89"/>
      <c r="X47" s="89"/>
      <c r="Y47" s="89"/>
      <c r="Z47" s="89"/>
      <c r="AA47" s="89"/>
      <c r="AB47" s="89"/>
      <c r="AC47" s="89"/>
      <c r="AD47" s="89"/>
      <c r="AE47" s="89"/>
      <c r="AF47" s="89"/>
      <c r="AG47" s="89"/>
      <c r="AH47" s="89"/>
      <c r="AI47" s="89"/>
      <c r="AJ47" s="89"/>
      <c r="AK47" s="89"/>
      <c r="AL47" s="89"/>
      <c r="AM47" s="89"/>
      <c r="AN47" s="89"/>
      <c r="AO47" s="89"/>
      <c r="AP47" s="89"/>
      <c r="AQ47" s="89"/>
      <c r="AR47" s="89"/>
      <c r="AS47" s="89"/>
      <c r="AT47" s="89"/>
      <c r="AU47" s="89"/>
      <c r="AV47" s="89"/>
    </row>
    <row r="48" spans="1:48">
      <c r="A48" s="185" t="s">
        <v>16</v>
      </c>
      <c r="B48" s="268" t="s">
        <v>237</v>
      </c>
      <c r="C48" s="263"/>
      <c r="E48" s="89"/>
      <c r="F48" s="89"/>
      <c r="G48" s="89"/>
      <c r="H48" s="89"/>
      <c r="I48" s="165"/>
      <c r="J48" s="89"/>
      <c r="K48" s="89"/>
      <c r="L48" s="89"/>
      <c r="M48" s="89"/>
      <c r="N48" s="89"/>
      <c r="O48" s="89"/>
      <c r="P48" s="89"/>
      <c r="Q48" s="89"/>
      <c r="R48" s="89"/>
      <c r="S48" s="89"/>
      <c r="T48" s="89"/>
      <c r="U48" s="89"/>
      <c r="V48" s="89"/>
      <c r="W48" s="89"/>
      <c r="X48" s="89"/>
      <c r="Y48" s="89"/>
      <c r="Z48" s="89"/>
      <c r="AA48" s="89"/>
      <c r="AB48" s="89"/>
      <c r="AC48" s="89"/>
      <c r="AD48" s="89"/>
      <c r="AE48" s="89"/>
      <c r="AF48" s="89"/>
      <c r="AG48" s="89"/>
      <c r="AH48" s="89"/>
      <c r="AI48" s="89"/>
      <c r="AJ48" s="89"/>
      <c r="AK48" s="89"/>
      <c r="AL48" s="89"/>
      <c r="AM48" s="89"/>
      <c r="AN48" s="89"/>
      <c r="AO48" s="89"/>
      <c r="AP48" s="89"/>
      <c r="AQ48" s="89"/>
      <c r="AR48" s="89"/>
      <c r="AS48" s="89"/>
      <c r="AT48" s="89"/>
      <c r="AU48" s="89"/>
      <c r="AV48" s="89"/>
    </row>
    <row r="49" spans="1:48">
      <c r="A49" s="185" t="s">
        <v>16</v>
      </c>
      <c r="B49" s="268" t="str">
        <f>B43</f>
        <v>A</v>
      </c>
      <c r="C49" s="263"/>
      <c r="E49" s="89"/>
      <c r="F49" s="89"/>
      <c r="G49" s="89"/>
      <c r="H49" s="89"/>
      <c r="I49" s="165" t="str">
        <f>B43</f>
        <v>A</v>
      </c>
      <c r="J49" s="89">
        <f>J36</f>
        <v>0</v>
      </c>
      <c r="K49" s="89">
        <f t="shared" ref="K49:AV52" si="19">J49+K43</f>
        <v>0</v>
      </c>
      <c r="L49" s="89">
        <f t="shared" si="19"/>
        <v>0</v>
      </c>
      <c r="M49" s="89">
        <f t="shared" si="19"/>
        <v>0</v>
      </c>
      <c r="N49" s="89">
        <f t="shared" si="19"/>
        <v>0</v>
      </c>
      <c r="O49" s="89">
        <f t="shared" si="19"/>
        <v>0</v>
      </c>
      <c r="P49" s="89">
        <f t="shared" si="19"/>
        <v>0</v>
      </c>
      <c r="Q49" s="89">
        <f t="shared" si="19"/>
        <v>0</v>
      </c>
      <c r="R49" s="89">
        <f t="shared" si="19"/>
        <v>0</v>
      </c>
      <c r="S49" s="89">
        <f t="shared" si="19"/>
        <v>0</v>
      </c>
      <c r="T49" s="89">
        <f t="shared" si="19"/>
        <v>0</v>
      </c>
      <c r="U49" s="89">
        <f t="shared" si="19"/>
        <v>0</v>
      </c>
      <c r="V49" s="89">
        <f t="shared" si="19"/>
        <v>0</v>
      </c>
      <c r="W49" s="89">
        <f t="shared" si="19"/>
        <v>0</v>
      </c>
      <c r="X49" s="89">
        <f t="shared" si="19"/>
        <v>0</v>
      </c>
      <c r="Y49" s="89">
        <f t="shared" si="19"/>
        <v>0</v>
      </c>
      <c r="Z49" s="89">
        <f t="shared" si="19"/>
        <v>0</v>
      </c>
      <c r="AA49" s="89">
        <f t="shared" si="19"/>
        <v>0</v>
      </c>
      <c r="AB49" s="89">
        <f t="shared" si="19"/>
        <v>0</v>
      </c>
      <c r="AC49" s="89">
        <f t="shared" si="19"/>
        <v>0</v>
      </c>
      <c r="AD49" s="89">
        <f t="shared" si="19"/>
        <v>0</v>
      </c>
      <c r="AE49" s="89">
        <f t="shared" si="19"/>
        <v>0</v>
      </c>
      <c r="AF49" s="89">
        <f t="shared" si="19"/>
        <v>0</v>
      </c>
      <c r="AG49" s="89">
        <f t="shared" si="19"/>
        <v>0</v>
      </c>
      <c r="AH49" s="89">
        <f t="shared" si="19"/>
        <v>0</v>
      </c>
      <c r="AI49" s="89">
        <f t="shared" si="19"/>
        <v>0</v>
      </c>
      <c r="AJ49" s="89">
        <f t="shared" si="19"/>
        <v>0</v>
      </c>
      <c r="AK49" s="89">
        <f t="shared" si="19"/>
        <v>0</v>
      </c>
      <c r="AL49" s="89">
        <f t="shared" si="19"/>
        <v>0</v>
      </c>
      <c r="AM49" s="89">
        <f t="shared" si="19"/>
        <v>0</v>
      </c>
      <c r="AN49" s="89">
        <f t="shared" si="19"/>
        <v>0</v>
      </c>
      <c r="AO49" s="89">
        <f t="shared" si="19"/>
        <v>0</v>
      </c>
      <c r="AP49" s="89">
        <f t="shared" si="19"/>
        <v>0</v>
      </c>
      <c r="AQ49" s="89">
        <f t="shared" si="19"/>
        <v>0</v>
      </c>
      <c r="AR49" s="89">
        <f t="shared" si="19"/>
        <v>0</v>
      </c>
      <c r="AS49" s="89">
        <f t="shared" si="19"/>
        <v>0</v>
      </c>
      <c r="AT49" s="89">
        <f t="shared" si="19"/>
        <v>0</v>
      </c>
      <c r="AU49" s="89">
        <f t="shared" si="19"/>
        <v>0</v>
      </c>
      <c r="AV49" s="89">
        <f t="shared" si="19"/>
        <v>0</v>
      </c>
    </row>
    <row r="50" spans="1:48">
      <c r="A50" s="185" t="s">
        <v>16</v>
      </c>
      <c r="B50" s="268" t="str">
        <f>B44</f>
        <v>B</v>
      </c>
      <c r="C50" s="263"/>
      <c r="E50" s="89"/>
      <c r="F50" s="89"/>
      <c r="G50" s="89"/>
      <c r="H50" s="89"/>
      <c r="I50" s="165" t="str">
        <f>B44</f>
        <v>B</v>
      </c>
      <c r="J50" s="89">
        <v>0</v>
      </c>
      <c r="K50" s="89">
        <f t="shared" si="19"/>
        <v>0</v>
      </c>
      <c r="L50" s="89">
        <f t="shared" si="19"/>
        <v>0</v>
      </c>
      <c r="M50" s="89">
        <f t="shared" si="19"/>
        <v>0</v>
      </c>
      <c r="N50" s="89">
        <f t="shared" si="19"/>
        <v>0</v>
      </c>
      <c r="O50" s="89">
        <f t="shared" si="19"/>
        <v>0</v>
      </c>
      <c r="P50" s="89">
        <f t="shared" si="19"/>
        <v>1.9150455230721981</v>
      </c>
      <c r="Q50" s="89">
        <f t="shared" si="19"/>
        <v>3.6894907315492986</v>
      </c>
      <c r="R50" s="89">
        <f t="shared" si="19"/>
        <v>4.8032958053464796</v>
      </c>
      <c r="S50" s="89">
        <f t="shared" si="19"/>
        <v>7.0328726207620065</v>
      </c>
      <c r="T50" s="89">
        <f t="shared" si="19"/>
        <v>9.3085100917775492</v>
      </c>
      <c r="U50" s="89">
        <f t="shared" si="19"/>
        <v>11.670589820050324</v>
      </c>
      <c r="V50" s="89">
        <f t="shared" si="19"/>
        <v>14.110549665523468</v>
      </c>
      <c r="W50" s="89">
        <f t="shared" si="19"/>
        <v>16.542608058931567</v>
      </c>
      <c r="X50" s="89">
        <f t="shared" si="19"/>
        <v>19.09992460600844</v>
      </c>
      <c r="Y50" s="89">
        <f t="shared" si="19"/>
        <v>21.679412702415625</v>
      </c>
      <c r="Z50" s="89">
        <f t="shared" si="19"/>
        <v>24.336112890303752</v>
      </c>
      <c r="AA50" s="89">
        <f t="shared" si="19"/>
        <v>27.012581683241464</v>
      </c>
      <c r="AB50" s="89">
        <f t="shared" si="19"/>
        <v>29.494790653166447</v>
      </c>
      <c r="AC50" s="89">
        <f t="shared" si="19"/>
        <v>29.494790653166447</v>
      </c>
      <c r="AD50" s="89">
        <f t="shared" si="19"/>
        <v>29.494790653166447</v>
      </c>
      <c r="AE50" s="89">
        <f t="shared" si="19"/>
        <v>29.494790653166447</v>
      </c>
      <c r="AF50" s="89">
        <f t="shared" si="19"/>
        <v>29.494790653166447</v>
      </c>
      <c r="AG50" s="89">
        <f t="shared" si="19"/>
        <v>29.494790653166447</v>
      </c>
      <c r="AH50" s="89">
        <f t="shared" si="19"/>
        <v>29.494790653166447</v>
      </c>
      <c r="AI50" s="89">
        <f t="shared" si="19"/>
        <v>29.494790653166447</v>
      </c>
      <c r="AJ50" s="89">
        <f t="shared" si="19"/>
        <v>29.494790653166447</v>
      </c>
      <c r="AK50" s="89">
        <f t="shared" si="19"/>
        <v>29.494790653166447</v>
      </c>
      <c r="AL50" s="89">
        <f t="shared" si="19"/>
        <v>29.494790653166447</v>
      </c>
      <c r="AM50" s="89">
        <f t="shared" si="19"/>
        <v>29.494790653166447</v>
      </c>
      <c r="AN50" s="89">
        <f t="shared" si="19"/>
        <v>29.494790653166447</v>
      </c>
      <c r="AO50" s="89">
        <f t="shared" si="19"/>
        <v>29.494790653166447</v>
      </c>
      <c r="AP50" s="89">
        <f t="shared" si="19"/>
        <v>29.494790653166447</v>
      </c>
      <c r="AQ50" s="89">
        <f t="shared" si="19"/>
        <v>29.494790653166447</v>
      </c>
      <c r="AR50" s="89">
        <f t="shared" si="19"/>
        <v>29.494790653166447</v>
      </c>
      <c r="AS50" s="89">
        <f t="shared" si="19"/>
        <v>29.494790653166447</v>
      </c>
      <c r="AT50" s="89">
        <f t="shared" si="19"/>
        <v>29.494790653166447</v>
      </c>
      <c r="AU50" s="89">
        <f t="shared" si="19"/>
        <v>29.494790653166447</v>
      </c>
      <c r="AV50" s="89">
        <f t="shared" si="19"/>
        <v>29.494790653166447</v>
      </c>
    </row>
    <row r="51" spans="1:48">
      <c r="A51" s="185" t="s">
        <v>16</v>
      </c>
      <c r="B51" s="268" t="str">
        <f>B45</f>
        <v>C</v>
      </c>
      <c r="C51" s="263"/>
      <c r="E51" s="89"/>
      <c r="F51" s="89"/>
      <c r="G51" s="89"/>
      <c r="H51" s="89"/>
      <c r="I51" s="165" t="str">
        <f>B45</f>
        <v>C</v>
      </c>
      <c r="J51" s="89">
        <v>0</v>
      </c>
      <c r="K51" s="89">
        <f t="shared" si="19"/>
        <v>0</v>
      </c>
      <c r="L51" s="89">
        <f t="shared" si="19"/>
        <v>0</v>
      </c>
      <c r="M51" s="89">
        <f t="shared" si="19"/>
        <v>0</v>
      </c>
      <c r="N51" s="89">
        <f t="shared" si="19"/>
        <v>0</v>
      </c>
      <c r="O51" s="89">
        <f t="shared" si="19"/>
        <v>0</v>
      </c>
      <c r="P51" s="89">
        <f t="shared" si="19"/>
        <v>0</v>
      </c>
      <c r="Q51" s="89">
        <f t="shared" si="19"/>
        <v>0</v>
      </c>
      <c r="R51" s="89">
        <f t="shared" si="19"/>
        <v>0</v>
      </c>
      <c r="S51" s="89">
        <f t="shared" si="19"/>
        <v>0</v>
      </c>
      <c r="T51" s="89">
        <f t="shared" si="19"/>
        <v>0</v>
      </c>
      <c r="U51" s="89">
        <f t="shared" si="19"/>
        <v>0</v>
      </c>
      <c r="V51" s="89">
        <f t="shared" si="19"/>
        <v>0</v>
      </c>
      <c r="W51" s="89">
        <f t="shared" si="19"/>
        <v>0</v>
      </c>
      <c r="X51" s="89">
        <f t="shared" si="19"/>
        <v>0</v>
      </c>
      <c r="Y51" s="89">
        <f t="shared" si="19"/>
        <v>0</v>
      </c>
      <c r="Z51" s="89">
        <f t="shared" si="19"/>
        <v>0</v>
      </c>
      <c r="AA51" s="89">
        <f t="shared" si="19"/>
        <v>0</v>
      </c>
      <c r="AB51" s="89">
        <f t="shared" si="19"/>
        <v>0</v>
      </c>
      <c r="AC51" s="89">
        <f t="shared" si="19"/>
        <v>2.7148780376057289</v>
      </c>
      <c r="AD51" s="89">
        <f t="shared" si="19"/>
        <v>5.4501108820929502</v>
      </c>
      <c r="AE51" s="89">
        <f t="shared" si="19"/>
        <v>8.2080144175712491</v>
      </c>
      <c r="AF51" s="89">
        <f t="shared" si="19"/>
        <v>10.896669624961369</v>
      </c>
      <c r="AG51" s="89">
        <f t="shared" si="19"/>
        <v>13.650442159694755</v>
      </c>
      <c r="AH51" s="89">
        <f t="shared" si="19"/>
        <v>16.432284838969984</v>
      </c>
      <c r="AI51" s="89">
        <f t="shared" si="19"/>
        <v>19.253062872521014</v>
      </c>
      <c r="AJ51" s="89">
        <f t="shared" si="19"/>
        <v>22.039660006865446</v>
      </c>
      <c r="AK51" s="89">
        <f t="shared" si="19"/>
        <v>24.858369622336852</v>
      </c>
      <c r="AL51" s="89">
        <f t="shared" si="19"/>
        <v>27.75025093157705</v>
      </c>
      <c r="AM51" s="89">
        <f t="shared" si="19"/>
        <v>27.75025093157705</v>
      </c>
      <c r="AN51" s="89">
        <f t="shared" si="19"/>
        <v>27.75025093157705</v>
      </c>
      <c r="AO51" s="89">
        <f t="shared" si="19"/>
        <v>27.75025093157705</v>
      </c>
      <c r="AP51" s="89">
        <f t="shared" si="19"/>
        <v>27.75025093157705</v>
      </c>
      <c r="AQ51" s="89">
        <f t="shared" si="19"/>
        <v>27.75025093157705</v>
      </c>
      <c r="AR51" s="89">
        <f t="shared" si="19"/>
        <v>27.75025093157705</v>
      </c>
      <c r="AS51" s="89">
        <f t="shared" si="19"/>
        <v>27.75025093157705</v>
      </c>
      <c r="AT51" s="89">
        <f t="shared" si="19"/>
        <v>27.75025093157705</v>
      </c>
      <c r="AU51" s="89">
        <f t="shared" si="19"/>
        <v>27.75025093157705</v>
      </c>
      <c r="AV51" s="89">
        <f t="shared" si="19"/>
        <v>27.75025093157705</v>
      </c>
    </row>
    <row r="52" spans="1:48">
      <c r="A52" s="185" t="s">
        <v>16</v>
      </c>
      <c r="B52" s="268" t="str">
        <f>B46</f>
        <v>D</v>
      </c>
      <c r="C52" s="263"/>
      <c r="E52" s="89"/>
      <c r="F52" s="89"/>
      <c r="G52" s="89"/>
      <c r="H52" s="89"/>
      <c r="I52" s="165" t="str">
        <f>B46</f>
        <v>D</v>
      </c>
      <c r="J52" s="89">
        <v>0</v>
      </c>
      <c r="K52" s="89">
        <f t="shared" si="19"/>
        <v>0</v>
      </c>
      <c r="L52" s="89">
        <f t="shared" si="19"/>
        <v>0</v>
      </c>
      <c r="M52" s="89">
        <f t="shared" si="19"/>
        <v>0</v>
      </c>
      <c r="N52" s="89">
        <f t="shared" si="19"/>
        <v>0</v>
      </c>
      <c r="O52" s="89">
        <f t="shared" si="19"/>
        <v>0</v>
      </c>
      <c r="P52" s="89">
        <f t="shared" si="19"/>
        <v>0</v>
      </c>
      <c r="Q52" s="89">
        <f t="shared" si="19"/>
        <v>0</v>
      </c>
      <c r="R52" s="89">
        <f t="shared" si="19"/>
        <v>0</v>
      </c>
      <c r="S52" s="89">
        <f t="shared" si="19"/>
        <v>0</v>
      </c>
      <c r="T52" s="89">
        <f t="shared" si="19"/>
        <v>0</v>
      </c>
      <c r="U52" s="89">
        <f t="shared" si="19"/>
        <v>0</v>
      </c>
      <c r="V52" s="89">
        <f t="shared" si="19"/>
        <v>0</v>
      </c>
      <c r="W52" s="89">
        <f t="shared" si="19"/>
        <v>0</v>
      </c>
      <c r="X52" s="89">
        <f t="shared" si="19"/>
        <v>0</v>
      </c>
      <c r="Y52" s="89">
        <f t="shared" si="19"/>
        <v>0</v>
      </c>
      <c r="Z52" s="89">
        <f t="shared" si="19"/>
        <v>0</v>
      </c>
      <c r="AA52" s="89">
        <f t="shared" si="19"/>
        <v>0</v>
      </c>
      <c r="AB52" s="89">
        <f t="shared" si="19"/>
        <v>0</v>
      </c>
      <c r="AC52" s="89">
        <f t="shared" si="19"/>
        <v>0</v>
      </c>
      <c r="AD52" s="89">
        <f t="shared" si="19"/>
        <v>0</v>
      </c>
      <c r="AE52" s="89">
        <f t="shared" si="19"/>
        <v>0</v>
      </c>
      <c r="AF52" s="89">
        <f t="shared" si="19"/>
        <v>0</v>
      </c>
      <c r="AG52" s="89">
        <f t="shared" si="19"/>
        <v>0</v>
      </c>
      <c r="AH52" s="89">
        <f t="shared" si="19"/>
        <v>0</v>
      </c>
      <c r="AI52" s="89">
        <f t="shared" si="19"/>
        <v>0</v>
      </c>
      <c r="AJ52" s="89">
        <f t="shared" si="19"/>
        <v>0</v>
      </c>
      <c r="AK52" s="89">
        <f t="shared" si="19"/>
        <v>0</v>
      </c>
      <c r="AL52" s="89">
        <f t="shared" si="19"/>
        <v>0</v>
      </c>
      <c r="AM52" s="89">
        <f t="shared" si="19"/>
        <v>3.1119463926975044</v>
      </c>
      <c r="AN52" s="89">
        <f t="shared" si="19"/>
        <v>6.1898877171388165</v>
      </c>
      <c r="AO52" s="89">
        <f t="shared" si="19"/>
        <v>9.2353940127926037</v>
      </c>
      <c r="AP52" s="89">
        <f t="shared" si="19"/>
        <v>12.249919695454231</v>
      </c>
      <c r="AQ52" s="89">
        <f t="shared" si="19"/>
        <v>15.234815070883734</v>
      </c>
      <c r="AR52" s="89">
        <f t="shared" si="19"/>
        <v>18.439984795666213</v>
      </c>
      <c r="AS52" s="89">
        <f t="shared" si="19"/>
        <v>21.610239927271387</v>
      </c>
      <c r="AT52" s="89">
        <f t="shared" si="19"/>
        <v>24.74716272892325</v>
      </c>
      <c r="AU52" s="89">
        <f t="shared" si="19"/>
        <v>27.85222103096762</v>
      </c>
      <c r="AV52" s="89">
        <f t="shared" si="19"/>
        <v>31.040932254290929</v>
      </c>
    </row>
    <row r="53" spans="1:48">
      <c r="A53" s="185" t="s">
        <v>16</v>
      </c>
      <c r="B53" s="263" t="s">
        <v>238</v>
      </c>
      <c r="C53" s="263"/>
      <c r="E53" s="89"/>
      <c r="F53" s="89"/>
      <c r="G53" s="89"/>
      <c r="H53" s="89"/>
      <c r="I53" s="165"/>
      <c r="J53" s="89">
        <f t="shared" ref="J53:AV53" si="20">SUM(J49:J52)</f>
        <v>0</v>
      </c>
      <c r="K53" s="89">
        <f t="shared" si="20"/>
        <v>0</v>
      </c>
      <c r="L53" s="89">
        <f t="shared" si="20"/>
        <v>0</v>
      </c>
      <c r="M53" s="89">
        <f t="shared" si="20"/>
        <v>0</v>
      </c>
      <c r="N53" s="89">
        <f t="shared" si="20"/>
        <v>0</v>
      </c>
      <c r="O53" s="89">
        <f t="shared" si="20"/>
        <v>0</v>
      </c>
      <c r="P53" s="89">
        <f t="shared" si="20"/>
        <v>1.9150455230721981</v>
      </c>
      <c r="Q53" s="89">
        <f t="shared" si="20"/>
        <v>3.6894907315492986</v>
      </c>
      <c r="R53" s="89">
        <f t="shared" si="20"/>
        <v>4.8032958053464796</v>
      </c>
      <c r="S53" s="89">
        <f t="shared" si="20"/>
        <v>7.0328726207620065</v>
      </c>
      <c r="T53" s="89">
        <f t="shared" si="20"/>
        <v>9.3085100917775492</v>
      </c>
      <c r="U53" s="89">
        <f t="shared" si="20"/>
        <v>11.670589820050324</v>
      </c>
      <c r="V53" s="89">
        <f t="shared" si="20"/>
        <v>14.110549665523468</v>
      </c>
      <c r="W53" s="89">
        <f t="shared" si="20"/>
        <v>16.542608058931567</v>
      </c>
      <c r="X53" s="89">
        <f t="shared" si="20"/>
        <v>19.09992460600844</v>
      </c>
      <c r="Y53" s="89">
        <f t="shared" si="20"/>
        <v>21.679412702415625</v>
      </c>
      <c r="Z53" s="89">
        <f t="shared" si="20"/>
        <v>24.336112890303752</v>
      </c>
      <c r="AA53" s="89">
        <f t="shared" si="20"/>
        <v>27.012581683241464</v>
      </c>
      <c r="AB53" s="89">
        <f t="shared" si="20"/>
        <v>29.494790653166447</v>
      </c>
      <c r="AC53" s="89">
        <f t="shared" si="20"/>
        <v>32.209668690772176</v>
      </c>
      <c r="AD53" s="89">
        <f t="shared" si="20"/>
        <v>34.944901535259397</v>
      </c>
      <c r="AE53" s="89">
        <f t="shared" si="20"/>
        <v>37.702805070737696</v>
      </c>
      <c r="AF53" s="89">
        <f t="shared" si="20"/>
        <v>40.391460278127816</v>
      </c>
      <c r="AG53" s="89">
        <f t="shared" si="20"/>
        <v>43.145232812861202</v>
      </c>
      <c r="AH53" s="89">
        <f t="shared" si="20"/>
        <v>45.927075492136431</v>
      </c>
      <c r="AI53" s="89">
        <f t="shared" si="20"/>
        <v>48.747853525687461</v>
      </c>
      <c r="AJ53" s="89">
        <f t="shared" si="20"/>
        <v>51.534450660031894</v>
      </c>
      <c r="AK53" s="89">
        <f t="shared" si="20"/>
        <v>54.353160275503299</v>
      </c>
      <c r="AL53" s="89">
        <f t="shared" si="20"/>
        <v>57.245041584743497</v>
      </c>
      <c r="AM53" s="89">
        <f t="shared" si="20"/>
        <v>60.356987977441001</v>
      </c>
      <c r="AN53" s="89">
        <f t="shared" si="20"/>
        <v>63.434929301882313</v>
      </c>
      <c r="AO53" s="89">
        <f t="shared" si="20"/>
        <v>66.480435597536101</v>
      </c>
      <c r="AP53" s="89">
        <f t="shared" si="20"/>
        <v>69.494961280197728</v>
      </c>
      <c r="AQ53" s="89">
        <f t="shared" si="20"/>
        <v>72.479856655627231</v>
      </c>
      <c r="AR53" s="89">
        <f t="shared" si="20"/>
        <v>75.68502638040971</v>
      </c>
      <c r="AS53" s="89">
        <f t="shared" si="20"/>
        <v>78.855281512014884</v>
      </c>
      <c r="AT53" s="89">
        <f t="shared" si="20"/>
        <v>81.992204313666747</v>
      </c>
      <c r="AU53" s="89">
        <f t="shared" si="20"/>
        <v>85.097262615711116</v>
      </c>
      <c r="AV53" s="89">
        <f t="shared" si="20"/>
        <v>88.285973839034426</v>
      </c>
    </row>
    <row r="54" spans="1:48">
      <c r="A54" s="185" t="s">
        <v>16</v>
      </c>
      <c r="B54" s="263"/>
      <c r="I54" s="151"/>
      <c r="J54" s="89"/>
      <c r="K54" s="87"/>
      <c r="AV54" s="89"/>
    </row>
    <row r="55" spans="1:48" ht="15.75" thickBot="1">
      <c r="A55" s="185" t="s">
        <v>16</v>
      </c>
      <c r="B55" s="85" t="s">
        <v>14</v>
      </c>
      <c r="C55" s="85" t="s">
        <v>498</v>
      </c>
      <c r="D55" s="85" t="s">
        <v>496</v>
      </c>
      <c r="E55" s="85">
        <v>2017</v>
      </c>
      <c r="F55" s="85" t="s">
        <v>497</v>
      </c>
      <c r="G55" s="87">
        <v>2017</v>
      </c>
      <c r="I55" s="151"/>
      <c r="K55" s="87"/>
    </row>
    <row r="56" spans="1:48">
      <c r="A56" s="185" t="s">
        <v>16</v>
      </c>
      <c r="B56" s="89" t="s">
        <v>72</v>
      </c>
      <c r="C56" s="89" t="s">
        <v>112</v>
      </c>
      <c r="D56" s="102">
        <f t="shared" ref="D56:E64" si="21">F56*1000</f>
        <v>139664.39435388436</v>
      </c>
      <c r="E56" s="102">
        <f t="shared" si="21"/>
        <v>120283.34032399778</v>
      </c>
      <c r="F56" s="24">
        <f>'[6]TS BYDem'!$J10</f>
        <v>139.66439435388435</v>
      </c>
      <c r="G56" s="87">
        <f>'[6]TS BYDem'!$O10</f>
        <v>120.28334032399778</v>
      </c>
      <c r="J56" s="86"/>
      <c r="K56" s="177" t="s">
        <v>513</v>
      </c>
      <c r="L56" s="91"/>
      <c r="M56" s="91" t="s">
        <v>443</v>
      </c>
      <c r="N56" s="91"/>
      <c r="O56" s="91"/>
    </row>
    <row r="57" spans="1:48">
      <c r="A57" s="185" t="s">
        <v>16</v>
      </c>
      <c r="B57" s="89" t="s">
        <v>262</v>
      </c>
      <c r="C57" s="89" t="s">
        <v>113</v>
      </c>
      <c r="D57" s="102">
        <f t="shared" si="21"/>
        <v>7851.7549075018987</v>
      </c>
      <c r="E57" s="102">
        <f t="shared" si="21"/>
        <v>11470.981711368382</v>
      </c>
      <c r="F57" s="24">
        <f>'[6]TS BYDem'!$J11</f>
        <v>7.8517549075018991</v>
      </c>
      <c r="G57" s="87">
        <f>'[6]TS BYDem'!$O11</f>
        <v>11.470981711368381</v>
      </c>
      <c r="J57" s="86"/>
      <c r="K57" s="177" t="s">
        <v>516</v>
      </c>
      <c r="L57" s="91">
        <f>DriversGams!$B$163</f>
        <v>-1</v>
      </c>
      <c r="M57" s="91"/>
      <c r="N57" s="91"/>
      <c r="O57" s="91"/>
    </row>
    <row r="58" spans="1:48">
      <c r="A58" s="185" t="s">
        <v>16</v>
      </c>
      <c r="B58" s="89" t="s">
        <v>263</v>
      </c>
      <c r="C58" s="89" t="s">
        <v>107</v>
      </c>
      <c r="D58" s="102">
        <f t="shared" si="21"/>
        <v>9894.4997565297635</v>
      </c>
      <c r="E58" s="102">
        <f t="shared" si="21"/>
        <v>8252.8207241540804</v>
      </c>
      <c r="F58" s="24">
        <f>'[6]TS BYDem'!$J12</f>
        <v>9.894499756529763</v>
      </c>
      <c r="G58" s="87">
        <f>'[6]TS BYDem'!$O12</f>
        <v>8.2528207241540805</v>
      </c>
      <c r="J58" s="86"/>
      <c r="K58" s="177" t="s">
        <v>514</v>
      </c>
      <c r="L58" s="91"/>
      <c r="M58" s="91"/>
      <c r="N58" s="91"/>
      <c r="O58" s="91"/>
    </row>
    <row r="59" spans="1:48">
      <c r="A59" s="185" t="s">
        <v>16</v>
      </c>
      <c r="B59" s="89" t="s">
        <v>73</v>
      </c>
      <c r="C59" s="89" t="s">
        <v>111</v>
      </c>
      <c r="D59" s="102">
        <f t="shared" si="21"/>
        <v>121540.2719056889</v>
      </c>
      <c r="E59" s="102">
        <f t="shared" si="21"/>
        <v>104674.27977141128</v>
      </c>
      <c r="F59" s="24">
        <f>'[6]TS BYDem'!$J13</f>
        <v>121.5402719056889</v>
      </c>
      <c r="G59" s="87">
        <f>'[6]TS BYDem'!$O13</f>
        <v>104.67427977141128</v>
      </c>
      <c r="J59" s="86"/>
      <c r="K59" s="91">
        <v>-1</v>
      </c>
      <c r="L59" s="177" t="s">
        <v>515</v>
      </c>
      <c r="M59" s="91"/>
      <c r="N59" s="91"/>
      <c r="O59" s="91"/>
      <c r="AC59" s="87" t="s">
        <v>631</v>
      </c>
    </row>
    <row r="60" spans="1:48">
      <c r="A60" s="185" t="s">
        <v>16</v>
      </c>
      <c r="B60" s="89" t="s">
        <v>264</v>
      </c>
      <c r="C60" s="89" t="s">
        <v>124</v>
      </c>
      <c r="D60" s="102">
        <f t="shared" si="21"/>
        <v>29566.39037374705</v>
      </c>
      <c r="E60" s="102">
        <f t="shared" si="21"/>
        <v>25463.499211305458</v>
      </c>
      <c r="F60" s="24">
        <f>'[6]TS BYDem'!$J14</f>
        <v>29.566390373747051</v>
      </c>
      <c r="G60" s="87">
        <f>'[6]TS BYDem'!$O14</f>
        <v>25.463499211305457</v>
      </c>
      <c r="J60" s="86"/>
      <c r="K60" s="91">
        <v>1</v>
      </c>
      <c r="L60" s="91" t="s">
        <v>632</v>
      </c>
      <c r="M60" s="178">
        <v>-0.37</v>
      </c>
      <c r="N60" s="178">
        <v>-0.5</v>
      </c>
      <c r="O60" s="178">
        <v>-0.2</v>
      </c>
      <c r="Q60" s="87" t="s">
        <v>633</v>
      </c>
      <c r="AA60" s="89" t="s">
        <v>634</v>
      </c>
      <c r="AB60" s="89">
        <f>AB30/(AB30+AB31)</f>
        <v>0.76664744264660456</v>
      </c>
      <c r="AC60" s="89" t="s">
        <v>635</v>
      </c>
      <c r="AD60" s="89"/>
      <c r="AE60" s="89"/>
      <c r="AF60" s="89"/>
      <c r="AG60" s="89">
        <f>(AB30*0.8+AB31*0.46)/(AB30+AB31)</f>
        <v>0.72066013049984556</v>
      </c>
    </row>
    <row r="61" spans="1:48">
      <c r="A61" s="185" t="s">
        <v>16</v>
      </c>
      <c r="B61" s="89" t="s">
        <v>265</v>
      </c>
      <c r="C61" s="89" t="s">
        <v>266</v>
      </c>
      <c r="D61" s="102">
        <f t="shared" si="21"/>
        <v>9683.1090230750324</v>
      </c>
      <c r="E61" s="102">
        <f t="shared" si="21"/>
        <v>9649.5991200814478</v>
      </c>
      <c r="F61" s="24">
        <f>'[6]TS BYDem'!$J15</f>
        <v>9.6831090230750316</v>
      </c>
      <c r="G61" s="87">
        <f>'[6]TS BYDem'!$O15</f>
        <v>9.6495991200814473</v>
      </c>
      <c r="J61" s="86"/>
      <c r="K61" s="91">
        <v>2</v>
      </c>
      <c r="L61" s="91" t="s">
        <v>636</v>
      </c>
      <c r="M61" s="178">
        <v>-0.25</v>
      </c>
      <c r="N61" s="178">
        <v>-0.25</v>
      </c>
      <c r="O61" s="178">
        <v>-0.2</v>
      </c>
      <c r="Q61" s="107" t="s">
        <v>653</v>
      </c>
    </row>
    <row r="62" spans="1:48">
      <c r="A62" s="185" t="s">
        <v>16</v>
      </c>
      <c r="B62" s="89" t="s">
        <v>269</v>
      </c>
      <c r="C62" s="89" t="s">
        <v>270</v>
      </c>
      <c r="D62" s="102">
        <f t="shared" si="21"/>
        <v>10300.552873773209</v>
      </c>
      <c r="E62" s="102">
        <f t="shared" si="21"/>
        <v>8871.1579824850141</v>
      </c>
      <c r="F62" s="24">
        <f>'[6]TS BYDem'!$J16</f>
        <v>10.30055287377321</v>
      </c>
      <c r="G62" s="87">
        <f>'[6]TS BYDem'!$O16</f>
        <v>8.8711579824850144</v>
      </c>
      <c r="J62" s="86"/>
      <c r="K62" s="91">
        <v>3</v>
      </c>
      <c r="L62" s="177" t="s">
        <v>632</v>
      </c>
      <c r="M62" s="178">
        <v>-0.37</v>
      </c>
      <c r="N62" s="178">
        <v>-0.5</v>
      </c>
      <c r="O62" s="178">
        <v>-0.2</v>
      </c>
    </row>
    <row r="63" spans="1:48">
      <c r="A63" s="185" t="s">
        <v>16</v>
      </c>
      <c r="B63" s="89" t="s">
        <v>268</v>
      </c>
      <c r="C63" s="89" t="s">
        <v>221</v>
      </c>
      <c r="D63" s="102">
        <f t="shared" si="21"/>
        <v>3559.3512487513526</v>
      </c>
      <c r="E63" s="102">
        <f t="shared" si="21"/>
        <v>3065.4245097100388</v>
      </c>
      <c r="F63" s="24">
        <f>'[6]TS BYDem'!$J17</f>
        <v>3.5593512487513528</v>
      </c>
      <c r="G63" s="87">
        <f>'[6]TS BYDem'!$O17</f>
        <v>3.0654245097100388</v>
      </c>
      <c r="J63" s="86"/>
      <c r="K63" s="87"/>
    </row>
    <row r="64" spans="1:48">
      <c r="A64" s="185" t="s">
        <v>16</v>
      </c>
      <c r="B64" s="89" t="s">
        <v>0</v>
      </c>
      <c r="C64" s="89" t="s">
        <v>119</v>
      </c>
      <c r="D64" s="102">
        <f t="shared" si="21"/>
        <v>18760.184357078931</v>
      </c>
      <c r="E64" s="102">
        <f t="shared" si="21"/>
        <v>16999.241745794043</v>
      </c>
      <c r="F64" s="24">
        <f>'[6]TS BYDem'!$J18</f>
        <v>18.760184357078931</v>
      </c>
      <c r="G64" s="87">
        <f>'[6]TS BYDem'!$O18</f>
        <v>16.999241745794041</v>
      </c>
      <c r="J64" s="86"/>
      <c r="K64" s="87"/>
    </row>
    <row r="65" spans="1:48">
      <c r="A65" s="185" t="s">
        <v>16</v>
      </c>
      <c r="B65" s="89"/>
      <c r="C65" s="89"/>
      <c r="D65" s="89"/>
      <c r="J65" s="86"/>
      <c r="K65" s="87"/>
    </row>
    <row r="66" spans="1:48">
      <c r="A66" s="185" t="s">
        <v>16</v>
      </c>
      <c r="B66" s="89"/>
      <c r="F66" s="221"/>
      <c r="I66" s="151"/>
      <c r="K66" s="87"/>
    </row>
    <row r="67" spans="1:48" ht="15.75" thickBot="1">
      <c r="A67" s="185" t="s">
        <v>16</v>
      </c>
      <c r="B67" s="148" t="s">
        <v>12</v>
      </c>
      <c r="C67" s="149"/>
      <c r="D67" s="85"/>
      <c r="E67" s="97">
        <v>2012</v>
      </c>
      <c r="F67" s="222">
        <v>2017</v>
      </c>
      <c r="G67" s="97">
        <f>G22</f>
        <v>2020</v>
      </c>
      <c r="H67" s="97">
        <f>H22</f>
        <v>2030</v>
      </c>
      <c r="I67" s="172">
        <f>I22</f>
        <v>2050</v>
      </c>
      <c r="J67" s="97">
        <f t="shared" ref="J67:AV67" si="22">J4</f>
        <v>2012</v>
      </c>
      <c r="K67" s="97">
        <f t="shared" si="22"/>
        <v>2013</v>
      </c>
      <c r="L67" s="97">
        <f t="shared" si="22"/>
        <v>2014</v>
      </c>
      <c r="M67" s="97">
        <f t="shared" si="22"/>
        <v>2015</v>
      </c>
      <c r="N67" s="97">
        <f t="shared" si="22"/>
        <v>2016</v>
      </c>
      <c r="O67" s="97">
        <f t="shared" si="22"/>
        <v>2017</v>
      </c>
      <c r="P67" s="97">
        <f t="shared" si="22"/>
        <v>2018</v>
      </c>
      <c r="Q67" s="97">
        <f t="shared" si="22"/>
        <v>2019</v>
      </c>
      <c r="R67" s="97">
        <f t="shared" si="22"/>
        <v>2020</v>
      </c>
      <c r="S67" s="97">
        <f t="shared" si="22"/>
        <v>2021</v>
      </c>
      <c r="T67" s="97">
        <f t="shared" si="22"/>
        <v>2022</v>
      </c>
      <c r="U67" s="97">
        <f t="shared" si="22"/>
        <v>2023</v>
      </c>
      <c r="V67" s="97">
        <f t="shared" si="22"/>
        <v>2024</v>
      </c>
      <c r="W67" s="97">
        <f t="shared" si="22"/>
        <v>2025</v>
      </c>
      <c r="X67" s="97">
        <f t="shared" si="22"/>
        <v>2026</v>
      </c>
      <c r="Y67" s="97">
        <f t="shared" si="22"/>
        <v>2027</v>
      </c>
      <c r="Z67" s="97">
        <f t="shared" si="22"/>
        <v>2028</v>
      </c>
      <c r="AA67" s="97">
        <f t="shared" si="22"/>
        <v>2029</v>
      </c>
      <c r="AB67" s="97">
        <f t="shared" si="22"/>
        <v>2030</v>
      </c>
      <c r="AC67" s="97">
        <f t="shared" si="22"/>
        <v>2031</v>
      </c>
      <c r="AD67" s="97">
        <f t="shared" si="22"/>
        <v>2032</v>
      </c>
      <c r="AE67" s="97">
        <f t="shared" si="22"/>
        <v>2033</v>
      </c>
      <c r="AF67" s="97">
        <f t="shared" si="22"/>
        <v>2034</v>
      </c>
      <c r="AG67" s="97">
        <f t="shared" si="22"/>
        <v>2035</v>
      </c>
      <c r="AH67" s="97">
        <f t="shared" si="22"/>
        <v>2036</v>
      </c>
      <c r="AI67" s="97">
        <f t="shared" si="22"/>
        <v>2037</v>
      </c>
      <c r="AJ67" s="97">
        <f t="shared" si="22"/>
        <v>2038</v>
      </c>
      <c r="AK67" s="97">
        <f t="shared" si="22"/>
        <v>2039</v>
      </c>
      <c r="AL67" s="97">
        <f t="shared" si="22"/>
        <v>2040</v>
      </c>
      <c r="AM67" s="97">
        <f t="shared" si="22"/>
        <v>2041</v>
      </c>
      <c r="AN67" s="97">
        <f t="shared" si="22"/>
        <v>2042</v>
      </c>
      <c r="AO67" s="97">
        <f t="shared" si="22"/>
        <v>2043</v>
      </c>
      <c r="AP67" s="97">
        <f t="shared" si="22"/>
        <v>2044</v>
      </c>
      <c r="AQ67" s="97">
        <f t="shared" si="22"/>
        <v>2045</v>
      </c>
      <c r="AR67" s="97">
        <f t="shared" si="22"/>
        <v>2046</v>
      </c>
      <c r="AS67" s="97">
        <f t="shared" si="22"/>
        <v>2047</v>
      </c>
      <c r="AT67" s="97">
        <f t="shared" si="22"/>
        <v>2048</v>
      </c>
      <c r="AU67" s="97">
        <f t="shared" si="22"/>
        <v>2049</v>
      </c>
      <c r="AV67" s="97">
        <f t="shared" si="22"/>
        <v>2050</v>
      </c>
    </row>
    <row r="68" spans="1:48">
      <c r="A68" s="185" t="s">
        <v>16</v>
      </c>
      <c r="I68" s="151"/>
      <c r="K68" s="87"/>
    </row>
    <row r="69" spans="1:48" ht="15.75" thickBot="1">
      <c r="A69" s="185" t="s">
        <v>16</v>
      </c>
      <c r="B69" s="103" t="s">
        <v>74</v>
      </c>
      <c r="C69" s="85"/>
      <c r="D69" s="85"/>
      <c r="H69" s="199">
        <f>VLOOKUP($L$57,$K$59:$O$62,3)</f>
        <v>0</v>
      </c>
      <c r="I69" s="151"/>
      <c r="K69" s="87"/>
    </row>
    <row r="70" spans="1:48">
      <c r="A70" s="185" t="s">
        <v>16</v>
      </c>
      <c r="B70" s="263" t="s">
        <v>239</v>
      </c>
      <c r="C70" s="87" t="str">
        <f t="shared" ref="C70:C78" si="23">"Commercial"&amp;" - "&amp;B56</f>
        <v>Commercial - Cooling</v>
      </c>
      <c r="D70" s="87" t="s">
        <v>75</v>
      </c>
      <c r="E70" s="96">
        <f>$D56/J$23</f>
        <v>1051.567060091292</v>
      </c>
      <c r="F70" s="104">
        <f>E56/$O$23</f>
        <v>863.94535743263168</v>
      </c>
      <c r="G70" s="104">
        <f t="shared" ref="G70:I78" si="24">F70</f>
        <v>863.94535743263168</v>
      </c>
      <c r="H70" s="104">
        <f>IF($L$57=-1,G70,((F70-E70)*2/5+E70)*(1+$H$69))</f>
        <v>863.94535743263168</v>
      </c>
      <c r="I70" s="150">
        <f t="shared" si="24"/>
        <v>863.94535743263168</v>
      </c>
      <c r="J70" s="8" cm="1">
        <f t="array" ref="J70">IF(J$8=-1,K70,IF(J$8=99,I70,IF(J$8=0,INDEX($E70:$I70,0,J$6),(INDEX($E70:$I70,0,J$8+1)-INDEX($E70:$I70,0,J$8))/(INDEX($D$5:$H$5,0,J$8+1)-INDEX($D$5:$H$5,0,J$8))+I70)))</f>
        <v>1051.567060091292</v>
      </c>
      <c r="K70" s="8" cm="1">
        <f t="array" ref="K70">IF(K$8=-1,L70,IF(K$8=99,J70,IF(K$8=0,INDEX($E70:$I70,0,K$6),(INDEX($E70:$I70,0,K$8+1)-INDEX($E70:$I70,0,K$8))/(INDEX($D$5:$H$5,0,K$8+1)-INDEX($D$5:$H$5,0,K$8))+J70)))</f>
        <v>1014.0427195595599</v>
      </c>
      <c r="L70" s="8" cm="1">
        <f t="array" ref="L70">IF(L$8=-1,M70,IF(L$8=99,K70,IF(L$8=0,INDEX($E70:$I70,0,L$6),(INDEX($E70:$I70,0,L$8+1)-INDEX($E70:$I70,0,L$8))/(INDEX($D$5:$H$5,0,L$8+1)-INDEX($D$5:$H$5,0,L$8))+K70)))</f>
        <v>976.5183790278279</v>
      </c>
      <c r="M70" s="8" cm="1">
        <f t="array" ref="M70">IF(M$8=-1,N70,IF(M$8=99,L70,IF(M$8=0,INDEX($E70:$I70,0,M$6),(INDEX($E70:$I70,0,M$8+1)-INDEX($E70:$I70,0,M$8))/(INDEX($D$5:$H$5,0,M$8+1)-INDEX($D$5:$H$5,0,M$8))+L70)))</f>
        <v>938.99403849609587</v>
      </c>
      <c r="N70" s="8" cm="1">
        <f t="array" ref="N70">IF(N$8=-1,O70,IF(N$8=99,M70,IF(N$8=0,INDEX($E70:$I70,0,N$6),(INDEX($E70:$I70,0,N$8+1)-INDEX($E70:$I70,0,N$8))/(INDEX($D$5:$H$5,0,N$8+1)-INDEX($D$5:$H$5,0,N$8))+M70)))</f>
        <v>901.46969796436383</v>
      </c>
      <c r="O70" s="8" cm="1">
        <f t="array" ref="O70">IF(O$8=-1,P70,IF(O$8=99,N70,IF(O$8=0,INDEX($E70:$I70,0,O$6),(INDEX($E70:$I70,0,O$8+1)-INDEX($E70:$I70,0,O$8))/(INDEX($D$5:$H$5,0,O$8+1)-INDEX($D$5:$H$5,0,O$8))+N70)))</f>
        <v>863.94535743263168</v>
      </c>
      <c r="P70" s="8" cm="1">
        <f t="array" ref="P70">IF(P$8=-1,Q70,IF(P$8=99,O70,IF(P$8=0,INDEX($E70:$I70,0,P$6),(INDEX($E70:$I70,0,P$8+1)-INDEX($E70:$I70,0,P$8))/(INDEX($D$5:$H$5,0,P$8+1)-INDEX($D$5:$H$5,0,P$8))+O70)))</f>
        <v>863.94535743263168</v>
      </c>
      <c r="Q70" s="8" cm="1">
        <f t="array" ref="Q70">IF(Q$8=-1,R70,IF(Q$8=99,P70,IF(Q$8=0,INDEX($E70:$I70,0,Q$6),(INDEX($E70:$I70,0,Q$8+1)-INDEX($E70:$I70,0,Q$8))/(INDEX($D$5:$H$5,0,Q$8+1)-INDEX($D$5:$H$5,0,Q$8))+P70)))</f>
        <v>863.94535743263168</v>
      </c>
      <c r="R70" s="8" cm="1">
        <f t="array" ref="R70">IF(R$8=-1,S70,IF(R$8=99,Q70,IF(R$8=0,INDEX($E70:$I70,0,R$6),(INDEX($E70:$I70,0,R$8+1)-INDEX($E70:$I70,0,R$8))/(INDEX($D$5:$H$5,0,R$8+1)-INDEX($D$5:$H$5,0,R$8))+Q70)))</f>
        <v>863.94535743263168</v>
      </c>
      <c r="S70" s="8" cm="1">
        <f t="array" ref="S70">IF(S$8=-1,T70,IF(S$8=99,R70,IF(S$8=0,INDEX($E70:$I70,0,S$6),(INDEX($E70:$I70,0,S$8+1)-INDEX($E70:$I70,0,S$8))/(INDEX($D$5:$H$5,0,S$8+1)-INDEX($D$5:$H$5,0,S$8))+R70)))</f>
        <v>863.94535743263168</v>
      </c>
      <c r="T70" s="8" cm="1">
        <f t="array" ref="T70">IF(T$8=-1,U70,IF(T$8=99,S70,IF(T$8=0,INDEX($E70:$I70,0,T$6),(INDEX($E70:$I70,0,T$8+1)-INDEX($E70:$I70,0,T$8))/(INDEX($D$5:$H$5,0,T$8+1)-INDEX($D$5:$H$5,0,T$8))+S70)))</f>
        <v>863.94535743263168</v>
      </c>
      <c r="U70" s="8" cm="1">
        <f t="array" ref="U70">IF(U$8=-1,V70,IF(U$8=99,T70,IF(U$8=0,INDEX($E70:$I70,0,U$6),(INDEX($E70:$I70,0,U$8+1)-INDEX($E70:$I70,0,U$8))/(INDEX($D$5:$H$5,0,U$8+1)-INDEX($D$5:$H$5,0,U$8))+T70)))</f>
        <v>863.94535743263168</v>
      </c>
      <c r="V70" s="8" cm="1">
        <f t="array" ref="V70">IF(V$8=-1,W70,IF(V$8=99,U70,IF(V$8=0,INDEX($E70:$I70,0,V$6),(INDEX($E70:$I70,0,V$8+1)-INDEX($E70:$I70,0,V$8))/(INDEX($D$5:$H$5,0,V$8+1)-INDEX($D$5:$H$5,0,V$8))+U70)))</f>
        <v>863.94535743263168</v>
      </c>
      <c r="W70" s="8" cm="1">
        <f t="array" ref="W70">IF(W$8=-1,X70,IF(W$8=99,V70,IF(W$8=0,INDEX($E70:$I70,0,W$6),(INDEX($E70:$I70,0,W$8+1)-INDEX($E70:$I70,0,W$8))/(INDEX($D$5:$H$5,0,W$8+1)-INDEX($D$5:$H$5,0,W$8))+V70)))</f>
        <v>863.94535743263168</v>
      </c>
      <c r="X70" s="8" cm="1">
        <f t="array" ref="X70">IF(X$8=-1,Y70,IF(X$8=99,W70,IF(X$8=0,INDEX($E70:$I70,0,X$6),(INDEX($E70:$I70,0,X$8+1)-INDEX($E70:$I70,0,X$8))/(INDEX($D$5:$H$5,0,X$8+1)-INDEX($D$5:$H$5,0,X$8))+W70)))</f>
        <v>863.94535743263168</v>
      </c>
      <c r="Y70" s="8" cm="1">
        <f t="array" ref="Y70">IF(Y$8=-1,Z70,IF(Y$8=99,X70,IF(Y$8=0,INDEX($E70:$I70,0,Y$6),(INDEX($E70:$I70,0,Y$8+1)-INDEX($E70:$I70,0,Y$8))/(INDEX($D$5:$H$5,0,Y$8+1)-INDEX($D$5:$H$5,0,Y$8))+X70)))</f>
        <v>863.94535743263168</v>
      </c>
      <c r="Z70" s="8" cm="1">
        <f t="array" ref="Z70">IF(Z$8=-1,AA70,IF(Z$8=99,Y70,IF(Z$8=0,INDEX($E70:$I70,0,Z$6),(INDEX($E70:$I70,0,Z$8+1)-INDEX($E70:$I70,0,Z$8))/(INDEX($D$5:$H$5,0,Z$8+1)-INDEX($D$5:$H$5,0,Z$8))+Y70)))</f>
        <v>863.94535743263168</v>
      </c>
      <c r="AA70" s="8" cm="1">
        <f t="array" ref="AA70">IF(AA$8=-1,AB70,IF(AA$8=99,Z70,IF(AA$8=0,INDEX($E70:$I70,0,AA$6),(INDEX($E70:$I70,0,AA$8+1)-INDEX($E70:$I70,0,AA$8))/(INDEX($D$5:$H$5,0,AA$8+1)-INDEX($D$5:$H$5,0,AA$8))+Z70)))</f>
        <v>863.94535743263168</v>
      </c>
      <c r="AB70" s="8" cm="1">
        <f t="array" ref="AB70">IF(AB$8=-1,AC70,IF(AB$8=99,AA70,IF(AB$8=0,INDEX($E70:$I70,0,AB$6),(INDEX($E70:$I70,0,AB$8+1)-INDEX($E70:$I70,0,AB$8))/(INDEX($D$5:$H$5,0,AB$8+1)-INDEX($D$5:$H$5,0,AB$8))+AA70)))</f>
        <v>863.94535743263168</v>
      </c>
      <c r="AC70" s="8" cm="1">
        <f t="array" ref="AC70">IF(AC$8=-1,AD70,IF(AC$8=99,AB70,IF(AC$8=0,INDEX($E70:$I70,0,AC$6),(INDEX($E70:$I70,0,AC$8+1)-INDEX($E70:$I70,0,AC$8))/(INDEX($D$5:$H$5,0,AC$8+1)-INDEX($D$5:$H$5,0,AC$8))+AB70)))</f>
        <v>863.94535743263168</v>
      </c>
      <c r="AD70" s="8" cm="1">
        <f t="array" ref="AD70">IF(AD$8=-1,AE70,IF(AD$8=99,AC70,IF(AD$8=0,INDEX($E70:$I70,0,AD$6),(INDEX($E70:$I70,0,AD$8+1)-INDEX($E70:$I70,0,AD$8))/(INDEX($D$5:$H$5,0,AD$8+1)-INDEX($D$5:$H$5,0,AD$8))+AC70)))</f>
        <v>863.94535743263168</v>
      </c>
      <c r="AE70" s="8" cm="1">
        <f t="array" ref="AE70">IF(AE$8=-1,AF70,IF(AE$8=99,AD70,IF(AE$8=0,INDEX($E70:$I70,0,AE$6),(INDEX($E70:$I70,0,AE$8+1)-INDEX($E70:$I70,0,AE$8))/(INDEX($D$5:$H$5,0,AE$8+1)-INDEX($D$5:$H$5,0,AE$8))+AD70)))</f>
        <v>863.94535743263168</v>
      </c>
      <c r="AF70" s="8" cm="1">
        <f t="array" ref="AF70">IF(AF$8=-1,AG70,IF(AF$8=99,AE70,IF(AF$8=0,INDEX($E70:$I70,0,AF$6),(INDEX($E70:$I70,0,AF$8+1)-INDEX($E70:$I70,0,AF$8))/(INDEX($D$5:$H$5,0,AF$8+1)-INDEX($D$5:$H$5,0,AF$8))+AE70)))</f>
        <v>863.94535743263168</v>
      </c>
      <c r="AG70" s="8" cm="1">
        <f t="array" ref="AG70">IF(AG$8=-1,AH70,IF(AG$8=99,AF70,IF(AG$8=0,INDEX($E70:$I70,0,AG$6),(INDEX($E70:$I70,0,AG$8+1)-INDEX($E70:$I70,0,AG$8))/(INDEX($D$5:$H$5,0,AG$8+1)-INDEX($D$5:$H$5,0,AG$8))+AF70)))</f>
        <v>863.94535743263168</v>
      </c>
      <c r="AH70" s="8" cm="1">
        <f t="array" ref="AH70">IF(AH$8=-1,AI70,IF(AH$8=99,AG70,IF(AH$8=0,INDEX($E70:$I70,0,AH$6),(INDEX($E70:$I70,0,AH$8+1)-INDEX($E70:$I70,0,AH$8))/(INDEX($D$5:$H$5,0,AH$8+1)-INDEX($D$5:$H$5,0,AH$8))+AG70)))</f>
        <v>863.94535743263168</v>
      </c>
      <c r="AI70" s="8" cm="1">
        <f t="array" ref="AI70">IF(AI$8=-1,AJ70,IF(AI$8=99,AH70,IF(AI$8=0,INDEX($E70:$I70,0,AI$6),(INDEX($E70:$I70,0,AI$8+1)-INDEX($E70:$I70,0,AI$8))/(INDEX($D$5:$H$5,0,AI$8+1)-INDEX($D$5:$H$5,0,AI$8))+AH70)))</f>
        <v>863.94535743263168</v>
      </c>
      <c r="AJ70" s="8" cm="1">
        <f t="array" ref="AJ70">IF(AJ$8=-1,AK70,IF(AJ$8=99,AI70,IF(AJ$8=0,INDEX($E70:$I70,0,AJ$6),(INDEX($E70:$I70,0,AJ$8+1)-INDEX($E70:$I70,0,AJ$8))/(INDEX($D$5:$H$5,0,AJ$8+1)-INDEX($D$5:$H$5,0,AJ$8))+AI70)))</f>
        <v>863.94535743263168</v>
      </c>
      <c r="AK70" s="8" cm="1">
        <f t="array" ref="AK70">IF(AK$8=-1,AL70,IF(AK$8=99,AJ70,IF(AK$8=0,INDEX($E70:$I70,0,AK$6),(INDEX($E70:$I70,0,AK$8+1)-INDEX($E70:$I70,0,AK$8))/(INDEX($D$5:$H$5,0,AK$8+1)-INDEX($D$5:$H$5,0,AK$8))+AJ70)))</f>
        <v>863.94535743263168</v>
      </c>
      <c r="AL70" s="8" cm="1">
        <f t="array" ref="AL70">IF(AL$8=-1,AM70,IF(AL$8=99,AK70,IF(AL$8=0,INDEX($E70:$I70,0,AL$6),(INDEX($E70:$I70,0,AL$8+1)-INDEX($E70:$I70,0,AL$8))/(INDEX($D$5:$H$5,0,AL$8+1)-INDEX($D$5:$H$5,0,AL$8))+AK70)))</f>
        <v>863.94535743263168</v>
      </c>
      <c r="AM70" s="8" cm="1">
        <f t="array" ref="AM70">IF(AM$8=-1,AN70,IF(AM$8=99,AL70,IF(AM$8=0,INDEX($E70:$I70,0,AM$6),(INDEX($E70:$I70,0,AM$8+1)-INDEX($E70:$I70,0,AM$8))/(INDEX($D$5:$H$5,0,AM$8+1)-INDEX($D$5:$H$5,0,AM$8))+AL70)))</f>
        <v>863.94535743263168</v>
      </c>
      <c r="AN70" s="8" cm="1">
        <f t="array" ref="AN70">IF(AN$8=-1,AO70,IF(AN$8=99,AM70,IF(AN$8=0,INDEX($E70:$I70,0,AN$6),(INDEX($E70:$I70,0,AN$8+1)-INDEX($E70:$I70,0,AN$8))/(INDEX($D$5:$H$5,0,AN$8+1)-INDEX($D$5:$H$5,0,AN$8))+AM70)))</f>
        <v>863.94535743263168</v>
      </c>
      <c r="AO70" s="8" cm="1">
        <f t="array" ref="AO70">IF(AO$8=-1,AP70,IF(AO$8=99,AN70,IF(AO$8=0,INDEX($E70:$I70,0,AO$6),(INDEX($E70:$I70,0,AO$8+1)-INDEX($E70:$I70,0,AO$8))/(INDEX($D$5:$H$5,0,AO$8+1)-INDEX($D$5:$H$5,0,AO$8))+AN70)))</f>
        <v>863.94535743263168</v>
      </c>
      <c r="AP70" s="8" cm="1">
        <f t="array" ref="AP70">IF(AP$8=-1,AQ70,IF(AP$8=99,AO70,IF(AP$8=0,INDEX($E70:$I70,0,AP$6),(INDEX($E70:$I70,0,AP$8+1)-INDEX($E70:$I70,0,AP$8))/(INDEX($D$5:$H$5,0,AP$8+1)-INDEX($D$5:$H$5,0,AP$8))+AO70)))</f>
        <v>863.94535743263168</v>
      </c>
      <c r="AQ70" s="8" cm="1">
        <f t="array" ref="AQ70">IF(AQ$8=-1,AR70,IF(AQ$8=99,AP70,IF(AQ$8=0,INDEX($E70:$I70,0,AQ$6),(INDEX($E70:$I70,0,AQ$8+1)-INDEX($E70:$I70,0,AQ$8))/(INDEX($D$5:$H$5,0,AQ$8+1)-INDEX($D$5:$H$5,0,AQ$8))+AP70)))</f>
        <v>863.94535743263168</v>
      </c>
      <c r="AR70" s="8" cm="1">
        <f t="array" ref="AR70">IF(AR$8=-1,AS70,IF(AR$8=99,AQ70,IF(AR$8=0,INDEX($E70:$I70,0,AR$6),(INDEX($E70:$I70,0,AR$8+1)-INDEX($E70:$I70,0,AR$8))/(INDEX($D$5:$H$5,0,AR$8+1)-INDEX($D$5:$H$5,0,AR$8))+AQ70)))</f>
        <v>863.94535743263168</v>
      </c>
      <c r="AS70" s="8" cm="1">
        <f t="array" ref="AS70">IF(AS$8=-1,AT70,IF(AS$8=99,AR70,IF(AS$8=0,INDEX($E70:$I70,0,AS$6),(INDEX($E70:$I70,0,AS$8+1)-INDEX($E70:$I70,0,AS$8))/(INDEX($D$5:$H$5,0,AS$8+1)-INDEX($D$5:$H$5,0,AS$8))+AR70)))</f>
        <v>863.94535743263168</v>
      </c>
      <c r="AT70" s="8" cm="1">
        <f t="array" ref="AT70">IF(AT$8=-1,AU70,IF(AT$8=99,AS70,IF(AT$8=0,INDEX($E70:$I70,0,AT$6),(INDEX($E70:$I70,0,AT$8+1)-INDEX($E70:$I70,0,AT$8))/(INDEX($D$5:$H$5,0,AT$8+1)-INDEX($D$5:$H$5,0,AT$8))+AS70)))</f>
        <v>863.94535743263168</v>
      </c>
      <c r="AU70" s="8" cm="1">
        <f t="array" ref="AU70">IF(AU$8=-1,AV70,IF(AU$8=99,AT70,IF(AU$8=0,INDEX($E70:$I70,0,AU$6),(INDEX($E70:$I70,0,AU$8+1)-INDEX($E70:$I70,0,AU$8))/(INDEX($D$5:$H$5,0,AU$8+1)-INDEX($D$5:$H$5,0,AU$8))+AT70)))</f>
        <v>863.94535743263168</v>
      </c>
      <c r="AV70" s="8" cm="1">
        <f t="array" ref="AV70">IF(AV$8=-1,AW70,IF(AV$8=99,AU70,IF(AV$8=0,INDEX($E70:$I70,0,AV$6),(INDEX($E70:$I70,0,AV$8+1)-INDEX($E70:$I70,0,AV$8))/(INDEX($D$5:$H$5,0,AV$8+1)-INDEX($D$5:$H$5,0,AV$8))+AU70)))</f>
        <v>863.94535743263168</v>
      </c>
    </row>
    <row r="71" spans="1:48">
      <c r="A71" s="185" t="s">
        <v>16</v>
      </c>
      <c r="B71" s="263" t="s">
        <v>240</v>
      </c>
      <c r="C71" s="87" t="str">
        <f t="shared" si="23"/>
        <v>Commercial - Space Heating</v>
      </c>
      <c r="D71" s="87" t="s">
        <v>75</v>
      </c>
      <c r="E71" s="96">
        <f t="shared" ref="E71:E75" si="25">$D57/J$23</f>
        <v>59.117764859369188</v>
      </c>
      <c r="F71" s="104">
        <f t="shared" ref="F71:F78" si="26">E57/$O$23</f>
        <v>82.391305130342559</v>
      </c>
      <c r="G71" s="104">
        <f t="shared" si="24"/>
        <v>82.391305130342559</v>
      </c>
      <c r="H71" s="104">
        <f t="shared" ref="H71:H78" si="27">IF($L$57=-1,G71,((F71-E71)*2/5+E71)*(1+$H$69))</f>
        <v>82.391305130342559</v>
      </c>
      <c r="I71" s="150">
        <f t="shared" si="24"/>
        <v>82.391305130342559</v>
      </c>
      <c r="J71" s="8" cm="1">
        <f t="array" ref="J71">IF(J$8=-1,K71,IF(J$8=99,I71,IF(J$8=0,INDEX($E71:$I71,0,J$6),(INDEX($E71:$I71,0,J$8+1)-INDEX($E71:$I71,0,J$8))/(INDEX($D$5:$H$5,0,J$8+1)-INDEX($D$5:$H$5,0,J$8))+I71)))</f>
        <v>59.117764859369188</v>
      </c>
      <c r="K71" s="8" cm="1">
        <f t="array" ref="K71">IF(K$8=-1,L71,IF(K$8=99,J71,IF(K$8=0,INDEX($E71:$I71,0,K$6),(INDEX($E71:$I71,0,K$8+1)-INDEX($E71:$I71,0,K$8))/(INDEX($D$5:$H$5,0,K$8+1)-INDEX($D$5:$H$5,0,K$8))+J71)))</f>
        <v>63.77247291356386</v>
      </c>
      <c r="L71" s="8" cm="1">
        <f t="array" ref="L71">IF(L$8=-1,M71,IF(L$8=99,K71,IF(L$8=0,INDEX($E71:$I71,0,L$6),(INDEX($E71:$I71,0,L$8+1)-INDEX($E71:$I71,0,L$8))/(INDEX($D$5:$H$5,0,L$8+1)-INDEX($D$5:$H$5,0,L$8))+K71)))</f>
        <v>68.427180967758531</v>
      </c>
      <c r="M71" s="8" cm="1">
        <f t="array" ref="M71">IF(M$8=-1,N71,IF(M$8=99,L71,IF(M$8=0,INDEX($E71:$I71,0,M$6),(INDEX($E71:$I71,0,M$8+1)-INDEX($E71:$I71,0,M$8))/(INDEX($D$5:$H$5,0,M$8+1)-INDEX($D$5:$H$5,0,M$8))+L71)))</f>
        <v>73.081889021953202</v>
      </c>
      <c r="N71" s="8" cm="1">
        <f t="array" ref="N71">IF(N$8=-1,O71,IF(N$8=99,M71,IF(N$8=0,INDEX($E71:$I71,0,N$6),(INDEX($E71:$I71,0,N$8+1)-INDEX($E71:$I71,0,N$8))/(INDEX($D$5:$H$5,0,N$8+1)-INDEX($D$5:$H$5,0,N$8))+M71)))</f>
        <v>77.736597076147874</v>
      </c>
      <c r="O71" s="8" cm="1">
        <f t="array" ref="O71">IF(O$8=-1,P71,IF(O$8=99,N71,IF(O$8=0,INDEX($E71:$I71,0,O$6),(INDEX($E71:$I71,0,O$8+1)-INDEX($E71:$I71,0,O$8))/(INDEX($D$5:$H$5,0,O$8+1)-INDEX($D$5:$H$5,0,O$8))+N71)))</f>
        <v>82.391305130342559</v>
      </c>
      <c r="P71" s="8" cm="1">
        <f t="array" ref="P71">IF(P$8=-1,Q71,IF(P$8=99,O71,IF(P$8=0,INDEX($E71:$I71,0,P$6),(INDEX($E71:$I71,0,P$8+1)-INDEX($E71:$I71,0,P$8))/(INDEX($D$5:$H$5,0,P$8+1)-INDEX($D$5:$H$5,0,P$8))+O71)))</f>
        <v>82.391305130342559</v>
      </c>
      <c r="Q71" s="8" cm="1">
        <f t="array" ref="Q71">IF(Q$8=-1,R71,IF(Q$8=99,P71,IF(Q$8=0,INDEX($E71:$I71,0,Q$6),(INDEX($E71:$I71,0,Q$8+1)-INDEX($E71:$I71,0,Q$8))/(INDEX($D$5:$H$5,0,Q$8+1)-INDEX($D$5:$H$5,0,Q$8))+P71)))</f>
        <v>82.391305130342559</v>
      </c>
      <c r="R71" s="8" cm="1">
        <f t="array" ref="R71">IF(R$8=-1,S71,IF(R$8=99,Q71,IF(R$8=0,INDEX($E71:$I71,0,R$6),(INDEX($E71:$I71,0,R$8+1)-INDEX($E71:$I71,0,R$8))/(INDEX($D$5:$H$5,0,R$8+1)-INDEX($D$5:$H$5,0,R$8))+Q71)))</f>
        <v>82.391305130342559</v>
      </c>
      <c r="S71" s="8" cm="1">
        <f t="array" ref="S71">IF(S$8=-1,T71,IF(S$8=99,R71,IF(S$8=0,INDEX($E71:$I71,0,S$6),(INDEX($E71:$I71,0,S$8+1)-INDEX($E71:$I71,0,S$8))/(INDEX($D$5:$H$5,0,S$8+1)-INDEX($D$5:$H$5,0,S$8))+R71)))</f>
        <v>82.391305130342559</v>
      </c>
      <c r="T71" s="8" cm="1">
        <f t="array" ref="T71">IF(T$8=-1,U71,IF(T$8=99,S71,IF(T$8=0,INDEX($E71:$I71,0,T$6),(INDEX($E71:$I71,0,T$8+1)-INDEX($E71:$I71,0,T$8))/(INDEX($D$5:$H$5,0,T$8+1)-INDEX($D$5:$H$5,0,T$8))+S71)))</f>
        <v>82.391305130342559</v>
      </c>
      <c r="U71" s="8" cm="1">
        <f t="array" ref="U71">IF(U$8=-1,V71,IF(U$8=99,T71,IF(U$8=0,INDEX($E71:$I71,0,U$6),(INDEX($E71:$I71,0,U$8+1)-INDEX($E71:$I71,0,U$8))/(INDEX($D$5:$H$5,0,U$8+1)-INDEX($D$5:$H$5,0,U$8))+T71)))</f>
        <v>82.391305130342559</v>
      </c>
      <c r="V71" s="8" cm="1">
        <f t="array" ref="V71">IF(V$8=-1,W71,IF(V$8=99,U71,IF(V$8=0,INDEX($E71:$I71,0,V$6),(INDEX($E71:$I71,0,V$8+1)-INDEX($E71:$I71,0,V$8))/(INDEX($D$5:$H$5,0,V$8+1)-INDEX($D$5:$H$5,0,V$8))+U71)))</f>
        <v>82.391305130342559</v>
      </c>
      <c r="W71" s="8" cm="1">
        <f t="array" ref="W71">IF(W$8=-1,X71,IF(W$8=99,V71,IF(W$8=0,INDEX($E71:$I71,0,W$6),(INDEX($E71:$I71,0,W$8+1)-INDEX($E71:$I71,0,W$8))/(INDEX($D$5:$H$5,0,W$8+1)-INDEX($D$5:$H$5,0,W$8))+V71)))</f>
        <v>82.391305130342559</v>
      </c>
      <c r="X71" s="8" cm="1">
        <f t="array" ref="X71">IF(X$8=-1,Y71,IF(X$8=99,W71,IF(X$8=0,INDEX($E71:$I71,0,X$6),(INDEX($E71:$I71,0,X$8+1)-INDEX($E71:$I71,0,X$8))/(INDEX($D$5:$H$5,0,X$8+1)-INDEX($D$5:$H$5,0,X$8))+W71)))</f>
        <v>82.391305130342559</v>
      </c>
      <c r="Y71" s="8" cm="1">
        <f t="array" ref="Y71">IF(Y$8=-1,Z71,IF(Y$8=99,X71,IF(Y$8=0,INDEX($E71:$I71,0,Y$6),(INDEX($E71:$I71,0,Y$8+1)-INDEX($E71:$I71,0,Y$8))/(INDEX($D$5:$H$5,0,Y$8+1)-INDEX($D$5:$H$5,0,Y$8))+X71)))</f>
        <v>82.391305130342559</v>
      </c>
      <c r="Z71" s="8" cm="1">
        <f t="array" ref="Z71">IF(Z$8=-1,AA71,IF(Z$8=99,Y71,IF(Z$8=0,INDEX($E71:$I71,0,Z$6),(INDEX($E71:$I71,0,Z$8+1)-INDEX($E71:$I71,0,Z$8))/(INDEX($D$5:$H$5,0,Z$8+1)-INDEX($D$5:$H$5,0,Z$8))+Y71)))</f>
        <v>82.391305130342559</v>
      </c>
      <c r="AA71" s="8" cm="1">
        <f t="array" ref="AA71">IF(AA$8=-1,AB71,IF(AA$8=99,Z71,IF(AA$8=0,INDEX($E71:$I71,0,AA$6),(INDEX($E71:$I71,0,AA$8+1)-INDEX($E71:$I71,0,AA$8))/(INDEX($D$5:$H$5,0,AA$8+1)-INDEX($D$5:$H$5,0,AA$8))+Z71)))</f>
        <v>82.391305130342559</v>
      </c>
      <c r="AB71" s="8" cm="1">
        <f t="array" ref="AB71">IF(AB$8=-1,AC71,IF(AB$8=99,AA71,IF(AB$8=0,INDEX($E71:$I71,0,AB$6),(INDEX($E71:$I71,0,AB$8+1)-INDEX($E71:$I71,0,AB$8))/(INDEX($D$5:$H$5,0,AB$8+1)-INDEX($D$5:$H$5,0,AB$8))+AA71)))</f>
        <v>82.391305130342559</v>
      </c>
      <c r="AC71" s="8" cm="1">
        <f t="array" ref="AC71">IF(AC$8=-1,AD71,IF(AC$8=99,AB71,IF(AC$8=0,INDEX($E71:$I71,0,AC$6),(INDEX($E71:$I71,0,AC$8+1)-INDEX($E71:$I71,0,AC$8))/(INDEX($D$5:$H$5,0,AC$8+1)-INDEX($D$5:$H$5,0,AC$8))+AB71)))</f>
        <v>82.391305130342559</v>
      </c>
      <c r="AD71" s="8" cm="1">
        <f t="array" ref="AD71">IF(AD$8=-1,AE71,IF(AD$8=99,AC71,IF(AD$8=0,INDEX($E71:$I71,0,AD$6),(INDEX($E71:$I71,0,AD$8+1)-INDEX($E71:$I71,0,AD$8))/(INDEX($D$5:$H$5,0,AD$8+1)-INDEX($D$5:$H$5,0,AD$8))+AC71)))</f>
        <v>82.391305130342559</v>
      </c>
      <c r="AE71" s="8" cm="1">
        <f t="array" ref="AE71">IF(AE$8=-1,AF71,IF(AE$8=99,AD71,IF(AE$8=0,INDEX($E71:$I71,0,AE$6),(INDEX($E71:$I71,0,AE$8+1)-INDEX($E71:$I71,0,AE$8))/(INDEX($D$5:$H$5,0,AE$8+1)-INDEX($D$5:$H$5,0,AE$8))+AD71)))</f>
        <v>82.391305130342559</v>
      </c>
      <c r="AF71" s="8" cm="1">
        <f t="array" ref="AF71">IF(AF$8=-1,AG71,IF(AF$8=99,AE71,IF(AF$8=0,INDEX($E71:$I71,0,AF$6),(INDEX($E71:$I71,0,AF$8+1)-INDEX($E71:$I71,0,AF$8))/(INDEX($D$5:$H$5,0,AF$8+1)-INDEX($D$5:$H$5,0,AF$8))+AE71)))</f>
        <v>82.391305130342559</v>
      </c>
      <c r="AG71" s="8" cm="1">
        <f t="array" ref="AG71">IF(AG$8=-1,AH71,IF(AG$8=99,AF71,IF(AG$8=0,INDEX($E71:$I71,0,AG$6),(INDEX($E71:$I71,0,AG$8+1)-INDEX($E71:$I71,0,AG$8))/(INDEX($D$5:$H$5,0,AG$8+1)-INDEX($D$5:$H$5,0,AG$8))+AF71)))</f>
        <v>82.391305130342559</v>
      </c>
      <c r="AH71" s="8" cm="1">
        <f t="array" ref="AH71">IF(AH$8=-1,AI71,IF(AH$8=99,AG71,IF(AH$8=0,INDEX($E71:$I71,0,AH$6),(INDEX($E71:$I71,0,AH$8+1)-INDEX($E71:$I71,0,AH$8))/(INDEX($D$5:$H$5,0,AH$8+1)-INDEX($D$5:$H$5,0,AH$8))+AG71)))</f>
        <v>82.391305130342559</v>
      </c>
      <c r="AI71" s="8" cm="1">
        <f t="array" ref="AI71">IF(AI$8=-1,AJ71,IF(AI$8=99,AH71,IF(AI$8=0,INDEX($E71:$I71,0,AI$6),(INDEX($E71:$I71,0,AI$8+1)-INDEX($E71:$I71,0,AI$8))/(INDEX($D$5:$H$5,0,AI$8+1)-INDEX($D$5:$H$5,0,AI$8))+AH71)))</f>
        <v>82.391305130342559</v>
      </c>
      <c r="AJ71" s="8" cm="1">
        <f t="array" ref="AJ71">IF(AJ$8=-1,AK71,IF(AJ$8=99,AI71,IF(AJ$8=0,INDEX($E71:$I71,0,AJ$6),(INDEX($E71:$I71,0,AJ$8+1)-INDEX($E71:$I71,0,AJ$8))/(INDEX($D$5:$H$5,0,AJ$8+1)-INDEX($D$5:$H$5,0,AJ$8))+AI71)))</f>
        <v>82.391305130342559</v>
      </c>
      <c r="AK71" s="8" cm="1">
        <f t="array" ref="AK71">IF(AK$8=-1,AL71,IF(AK$8=99,AJ71,IF(AK$8=0,INDEX($E71:$I71,0,AK$6),(INDEX($E71:$I71,0,AK$8+1)-INDEX($E71:$I71,0,AK$8))/(INDEX($D$5:$H$5,0,AK$8+1)-INDEX($D$5:$H$5,0,AK$8))+AJ71)))</f>
        <v>82.391305130342559</v>
      </c>
      <c r="AL71" s="8" cm="1">
        <f t="array" ref="AL71">IF(AL$8=-1,AM71,IF(AL$8=99,AK71,IF(AL$8=0,INDEX($E71:$I71,0,AL$6),(INDEX($E71:$I71,0,AL$8+1)-INDEX($E71:$I71,0,AL$8))/(INDEX($D$5:$H$5,0,AL$8+1)-INDEX($D$5:$H$5,0,AL$8))+AK71)))</f>
        <v>82.391305130342559</v>
      </c>
      <c r="AM71" s="8" cm="1">
        <f t="array" ref="AM71">IF(AM$8=-1,AN71,IF(AM$8=99,AL71,IF(AM$8=0,INDEX($E71:$I71,0,AM$6),(INDEX($E71:$I71,0,AM$8+1)-INDEX($E71:$I71,0,AM$8))/(INDEX($D$5:$H$5,0,AM$8+1)-INDEX($D$5:$H$5,0,AM$8))+AL71)))</f>
        <v>82.391305130342559</v>
      </c>
      <c r="AN71" s="8" cm="1">
        <f t="array" ref="AN71">IF(AN$8=-1,AO71,IF(AN$8=99,AM71,IF(AN$8=0,INDEX($E71:$I71,0,AN$6),(INDEX($E71:$I71,0,AN$8+1)-INDEX($E71:$I71,0,AN$8))/(INDEX($D$5:$H$5,0,AN$8+1)-INDEX($D$5:$H$5,0,AN$8))+AM71)))</f>
        <v>82.391305130342559</v>
      </c>
      <c r="AO71" s="8" cm="1">
        <f t="array" ref="AO71">IF(AO$8=-1,AP71,IF(AO$8=99,AN71,IF(AO$8=0,INDEX($E71:$I71,0,AO$6),(INDEX($E71:$I71,0,AO$8+1)-INDEX($E71:$I71,0,AO$8))/(INDEX($D$5:$H$5,0,AO$8+1)-INDEX($D$5:$H$5,0,AO$8))+AN71)))</f>
        <v>82.391305130342559</v>
      </c>
      <c r="AP71" s="8" cm="1">
        <f t="array" ref="AP71">IF(AP$8=-1,AQ71,IF(AP$8=99,AO71,IF(AP$8=0,INDEX($E71:$I71,0,AP$6),(INDEX($E71:$I71,0,AP$8+1)-INDEX($E71:$I71,0,AP$8))/(INDEX($D$5:$H$5,0,AP$8+1)-INDEX($D$5:$H$5,0,AP$8))+AO71)))</f>
        <v>82.391305130342559</v>
      </c>
      <c r="AQ71" s="8" cm="1">
        <f t="array" ref="AQ71">IF(AQ$8=-1,AR71,IF(AQ$8=99,AP71,IF(AQ$8=0,INDEX($E71:$I71,0,AQ$6),(INDEX($E71:$I71,0,AQ$8+1)-INDEX($E71:$I71,0,AQ$8))/(INDEX($D$5:$H$5,0,AQ$8+1)-INDEX($D$5:$H$5,0,AQ$8))+AP71)))</f>
        <v>82.391305130342559</v>
      </c>
      <c r="AR71" s="8" cm="1">
        <f t="array" ref="AR71">IF(AR$8=-1,AS71,IF(AR$8=99,AQ71,IF(AR$8=0,INDEX($E71:$I71,0,AR$6),(INDEX($E71:$I71,0,AR$8+1)-INDEX($E71:$I71,0,AR$8))/(INDEX($D$5:$H$5,0,AR$8+1)-INDEX($D$5:$H$5,0,AR$8))+AQ71)))</f>
        <v>82.391305130342559</v>
      </c>
      <c r="AS71" s="8" cm="1">
        <f t="array" ref="AS71">IF(AS$8=-1,AT71,IF(AS$8=99,AR71,IF(AS$8=0,INDEX($E71:$I71,0,AS$6),(INDEX($E71:$I71,0,AS$8+1)-INDEX($E71:$I71,0,AS$8))/(INDEX($D$5:$H$5,0,AS$8+1)-INDEX($D$5:$H$5,0,AS$8))+AR71)))</f>
        <v>82.391305130342559</v>
      </c>
      <c r="AT71" s="8" cm="1">
        <f t="array" ref="AT71">IF(AT$8=-1,AU71,IF(AT$8=99,AS71,IF(AT$8=0,INDEX($E71:$I71,0,AT$6),(INDEX($E71:$I71,0,AT$8+1)-INDEX($E71:$I71,0,AT$8))/(INDEX($D$5:$H$5,0,AT$8+1)-INDEX($D$5:$H$5,0,AT$8))+AS71)))</f>
        <v>82.391305130342559</v>
      </c>
      <c r="AU71" s="8" cm="1">
        <f t="array" ref="AU71">IF(AU$8=-1,AV71,IF(AU$8=99,AT71,IF(AU$8=0,INDEX($E71:$I71,0,AU$6),(INDEX($E71:$I71,0,AU$8+1)-INDEX($E71:$I71,0,AU$8))/(INDEX($D$5:$H$5,0,AU$8+1)-INDEX($D$5:$H$5,0,AU$8))+AT71)))</f>
        <v>82.391305130342559</v>
      </c>
      <c r="AV71" s="8" cm="1">
        <f t="array" ref="AV71">IF(AV$8=-1,AW71,IF(AV$8=99,AU71,IF(AV$8=0,INDEX($E71:$I71,0,AV$6),(INDEX($E71:$I71,0,AV$8+1)-INDEX($E71:$I71,0,AV$8))/(INDEX($D$5:$H$5,0,AV$8+1)-INDEX($D$5:$H$5,0,AV$8))+AU71)))</f>
        <v>82.391305130342559</v>
      </c>
    </row>
    <row r="72" spans="1:48">
      <c r="A72" s="185" t="s">
        <v>16</v>
      </c>
      <c r="B72" s="263" t="s">
        <v>241</v>
      </c>
      <c r="C72" s="87" t="str">
        <f t="shared" si="23"/>
        <v>Commercial - Cooking</v>
      </c>
      <c r="D72" s="87" t="s">
        <v>75</v>
      </c>
      <c r="E72" s="96">
        <f t="shared" si="25"/>
        <v>74.498085701673531</v>
      </c>
      <c r="F72" s="104">
        <f t="shared" si="26"/>
        <v>59.276589186426349</v>
      </c>
      <c r="G72" s="104">
        <f t="shared" si="24"/>
        <v>59.276589186426349</v>
      </c>
      <c r="H72" s="104">
        <f t="shared" si="27"/>
        <v>59.276589186426349</v>
      </c>
      <c r="I72" s="150">
        <f t="shared" si="24"/>
        <v>59.276589186426349</v>
      </c>
      <c r="J72" s="8" cm="1">
        <f t="array" ref="J72">IF(J$8=-1,K72,IF(J$8=99,I72,IF(J$8=0,INDEX($E72:$I72,0,J$6),(INDEX($E72:$I72,0,J$8+1)-INDEX($E72:$I72,0,J$8))/(INDEX($D$5:$H$5,0,J$8+1)-INDEX($D$5:$H$5,0,J$8))+I72)))</f>
        <v>74.498085701673531</v>
      </c>
      <c r="K72" s="8" cm="1">
        <f t="array" ref="K72">IF(K$8=-1,L72,IF(K$8=99,J72,IF(K$8=0,INDEX($E72:$I72,0,K$6),(INDEX($E72:$I72,0,K$8+1)-INDEX($E72:$I72,0,K$8))/(INDEX($D$5:$H$5,0,K$8+1)-INDEX($D$5:$H$5,0,K$8))+J72)))</f>
        <v>71.453786398624089</v>
      </c>
      <c r="L72" s="8" cm="1">
        <f t="array" ref="L72">IF(L$8=-1,M72,IF(L$8=99,K72,IF(L$8=0,INDEX($E72:$I72,0,L$6),(INDEX($E72:$I72,0,L$8+1)-INDEX($E72:$I72,0,L$8))/(INDEX($D$5:$H$5,0,L$8+1)-INDEX($D$5:$H$5,0,L$8))+K72)))</f>
        <v>68.409487095574647</v>
      </c>
      <c r="M72" s="8" cm="1">
        <f t="array" ref="M72">IF(M$8=-1,N72,IF(M$8=99,L72,IF(M$8=0,INDEX($E72:$I72,0,M$6),(INDEX($E72:$I72,0,M$8+1)-INDEX($E72:$I72,0,M$8))/(INDEX($D$5:$H$5,0,M$8+1)-INDEX($D$5:$H$5,0,M$8))+L72)))</f>
        <v>65.365187792525205</v>
      </c>
      <c r="N72" s="8" cm="1">
        <f t="array" ref="N72">IF(N$8=-1,O72,IF(N$8=99,M72,IF(N$8=0,INDEX($E72:$I72,0,N$6),(INDEX($E72:$I72,0,N$8+1)-INDEX($E72:$I72,0,N$8))/(INDEX($D$5:$H$5,0,N$8+1)-INDEX($D$5:$H$5,0,N$8))+M72)))</f>
        <v>62.32088848947577</v>
      </c>
      <c r="O72" s="8" cm="1">
        <f t="array" ref="O72">IF(O$8=-1,P72,IF(O$8=99,N72,IF(O$8=0,INDEX($E72:$I72,0,O$6),(INDEX($E72:$I72,0,O$8+1)-INDEX($E72:$I72,0,O$8))/(INDEX($D$5:$H$5,0,O$8+1)-INDEX($D$5:$H$5,0,O$8))+N72)))</f>
        <v>59.276589186426349</v>
      </c>
      <c r="P72" s="8" cm="1">
        <f t="array" ref="P72">IF(P$8=-1,Q72,IF(P$8=99,O72,IF(P$8=0,INDEX($E72:$I72,0,P$6),(INDEX($E72:$I72,0,P$8+1)-INDEX($E72:$I72,0,P$8))/(INDEX($D$5:$H$5,0,P$8+1)-INDEX($D$5:$H$5,0,P$8))+O72)))</f>
        <v>59.276589186426349</v>
      </c>
      <c r="Q72" s="8" cm="1">
        <f t="array" ref="Q72">IF(Q$8=-1,R72,IF(Q$8=99,P72,IF(Q$8=0,INDEX($E72:$I72,0,Q$6),(INDEX($E72:$I72,0,Q$8+1)-INDEX($E72:$I72,0,Q$8))/(INDEX($D$5:$H$5,0,Q$8+1)-INDEX($D$5:$H$5,0,Q$8))+P72)))</f>
        <v>59.276589186426349</v>
      </c>
      <c r="R72" s="8" cm="1">
        <f t="array" ref="R72">IF(R$8=-1,S72,IF(R$8=99,Q72,IF(R$8=0,INDEX($E72:$I72,0,R$6),(INDEX($E72:$I72,0,R$8+1)-INDEX($E72:$I72,0,R$8))/(INDEX($D$5:$H$5,0,R$8+1)-INDEX($D$5:$H$5,0,R$8))+Q72)))</f>
        <v>59.276589186426349</v>
      </c>
      <c r="S72" s="8" cm="1">
        <f t="array" ref="S72">IF(S$8=-1,T72,IF(S$8=99,R72,IF(S$8=0,INDEX($E72:$I72,0,S$6),(INDEX($E72:$I72,0,S$8+1)-INDEX($E72:$I72,0,S$8))/(INDEX($D$5:$H$5,0,S$8+1)-INDEX($D$5:$H$5,0,S$8))+R72)))</f>
        <v>59.276589186426349</v>
      </c>
      <c r="T72" s="8" cm="1">
        <f t="array" ref="T72">IF(T$8=-1,U72,IF(T$8=99,S72,IF(T$8=0,INDEX($E72:$I72,0,T$6),(INDEX($E72:$I72,0,T$8+1)-INDEX($E72:$I72,0,T$8))/(INDEX($D$5:$H$5,0,T$8+1)-INDEX($D$5:$H$5,0,T$8))+S72)))</f>
        <v>59.276589186426349</v>
      </c>
      <c r="U72" s="8" cm="1">
        <f t="array" ref="U72">IF(U$8=-1,V72,IF(U$8=99,T72,IF(U$8=0,INDEX($E72:$I72,0,U$6),(INDEX($E72:$I72,0,U$8+1)-INDEX($E72:$I72,0,U$8))/(INDEX($D$5:$H$5,0,U$8+1)-INDEX($D$5:$H$5,0,U$8))+T72)))</f>
        <v>59.276589186426349</v>
      </c>
      <c r="V72" s="8" cm="1">
        <f t="array" ref="V72">IF(V$8=-1,W72,IF(V$8=99,U72,IF(V$8=0,INDEX($E72:$I72,0,V$6),(INDEX($E72:$I72,0,V$8+1)-INDEX($E72:$I72,0,V$8))/(INDEX($D$5:$H$5,0,V$8+1)-INDEX($D$5:$H$5,0,V$8))+U72)))</f>
        <v>59.276589186426349</v>
      </c>
      <c r="W72" s="8" cm="1">
        <f t="array" ref="W72">IF(W$8=-1,X72,IF(W$8=99,V72,IF(W$8=0,INDEX($E72:$I72,0,W$6),(INDEX($E72:$I72,0,W$8+1)-INDEX($E72:$I72,0,W$8))/(INDEX($D$5:$H$5,0,W$8+1)-INDEX($D$5:$H$5,0,W$8))+V72)))</f>
        <v>59.276589186426349</v>
      </c>
      <c r="X72" s="8" cm="1">
        <f t="array" ref="X72">IF(X$8=-1,Y72,IF(X$8=99,W72,IF(X$8=0,INDEX($E72:$I72,0,X$6),(INDEX($E72:$I72,0,X$8+1)-INDEX($E72:$I72,0,X$8))/(INDEX($D$5:$H$5,0,X$8+1)-INDEX($D$5:$H$5,0,X$8))+W72)))</f>
        <v>59.276589186426349</v>
      </c>
      <c r="Y72" s="8" cm="1">
        <f t="array" ref="Y72">IF(Y$8=-1,Z72,IF(Y$8=99,X72,IF(Y$8=0,INDEX($E72:$I72,0,Y$6),(INDEX($E72:$I72,0,Y$8+1)-INDEX($E72:$I72,0,Y$8))/(INDEX($D$5:$H$5,0,Y$8+1)-INDEX($D$5:$H$5,0,Y$8))+X72)))</f>
        <v>59.276589186426349</v>
      </c>
      <c r="Z72" s="8" cm="1">
        <f t="array" ref="Z72">IF(Z$8=-1,AA72,IF(Z$8=99,Y72,IF(Z$8=0,INDEX($E72:$I72,0,Z$6),(INDEX($E72:$I72,0,Z$8+1)-INDEX($E72:$I72,0,Z$8))/(INDEX($D$5:$H$5,0,Z$8+1)-INDEX($D$5:$H$5,0,Z$8))+Y72)))</f>
        <v>59.276589186426349</v>
      </c>
      <c r="AA72" s="8" cm="1">
        <f t="array" ref="AA72">IF(AA$8=-1,AB72,IF(AA$8=99,Z72,IF(AA$8=0,INDEX($E72:$I72,0,AA$6),(INDEX($E72:$I72,0,AA$8+1)-INDEX($E72:$I72,0,AA$8))/(INDEX($D$5:$H$5,0,AA$8+1)-INDEX($D$5:$H$5,0,AA$8))+Z72)))</f>
        <v>59.276589186426349</v>
      </c>
      <c r="AB72" s="8" cm="1">
        <f t="array" ref="AB72">IF(AB$8=-1,AC72,IF(AB$8=99,AA72,IF(AB$8=0,INDEX($E72:$I72,0,AB$6),(INDEX($E72:$I72,0,AB$8+1)-INDEX($E72:$I72,0,AB$8))/(INDEX($D$5:$H$5,0,AB$8+1)-INDEX($D$5:$H$5,0,AB$8))+AA72)))</f>
        <v>59.276589186426349</v>
      </c>
      <c r="AC72" s="8" cm="1">
        <f t="array" ref="AC72">IF(AC$8=-1,AD72,IF(AC$8=99,AB72,IF(AC$8=0,INDEX($E72:$I72,0,AC$6),(INDEX($E72:$I72,0,AC$8+1)-INDEX($E72:$I72,0,AC$8))/(INDEX($D$5:$H$5,0,AC$8+1)-INDEX($D$5:$H$5,0,AC$8))+AB72)))</f>
        <v>59.276589186426349</v>
      </c>
      <c r="AD72" s="8" cm="1">
        <f t="array" ref="AD72">IF(AD$8=-1,AE72,IF(AD$8=99,AC72,IF(AD$8=0,INDEX($E72:$I72,0,AD$6),(INDEX($E72:$I72,0,AD$8+1)-INDEX($E72:$I72,0,AD$8))/(INDEX($D$5:$H$5,0,AD$8+1)-INDEX($D$5:$H$5,0,AD$8))+AC72)))</f>
        <v>59.276589186426349</v>
      </c>
      <c r="AE72" s="8" cm="1">
        <f t="array" ref="AE72">IF(AE$8=-1,AF72,IF(AE$8=99,AD72,IF(AE$8=0,INDEX($E72:$I72,0,AE$6),(INDEX($E72:$I72,0,AE$8+1)-INDEX($E72:$I72,0,AE$8))/(INDEX($D$5:$H$5,0,AE$8+1)-INDEX($D$5:$H$5,0,AE$8))+AD72)))</f>
        <v>59.276589186426349</v>
      </c>
      <c r="AF72" s="8" cm="1">
        <f t="array" ref="AF72">IF(AF$8=-1,AG72,IF(AF$8=99,AE72,IF(AF$8=0,INDEX($E72:$I72,0,AF$6),(INDEX($E72:$I72,0,AF$8+1)-INDEX($E72:$I72,0,AF$8))/(INDEX($D$5:$H$5,0,AF$8+1)-INDEX($D$5:$H$5,0,AF$8))+AE72)))</f>
        <v>59.276589186426349</v>
      </c>
      <c r="AG72" s="8" cm="1">
        <f t="array" ref="AG72">IF(AG$8=-1,AH72,IF(AG$8=99,AF72,IF(AG$8=0,INDEX($E72:$I72,0,AG$6),(INDEX($E72:$I72,0,AG$8+1)-INDEX($E72:$I72,0,AG$8))/(INDEX($D$5:$H$5,0,AG$8+1)-INDEX($D$5:$H$5,0,AG$8))+AF72)))</f>
        <v>59.276589186426349</v>
      </c>
      <c r="AH72" s="8" cm="1">
        <f t="array" ref="AH72">IF(AH$8=-1,AI72,IF(AH$8=99,AG72,IF(AH$8=0,INDEX($E72:$I72,0,AH$6),(INDEX($E72:$I72,0,AH$8+1)-INDEX($E72:$I72,0,AH$8))/(INDEX($D$5:$H$5,0,AH$8+1)-INDEX($D$5:$H$5,0,AH$8))+AG72)))</f>
        <v>59.276589186426349</v>
      </c>
      <c r="AI72" s="8" cm="1">
        <f t="array" ref="AI72">IF(AI$8=-1,AJ72,IF(AI$8=99,AH72,IF(AI$8=0,INDEX($E72:$I72,0,AI$6),(INDEX($E72:$I72,0,AI$8+1)-INDEX($E72:$I72,0,AI$8))/(INDEX($D$5:$H$5,0,AI$8+1)-INDEX($D$5:$H$5,0,AI$8))+AH72)))</f>
        <v>59.276589186426349</v>
      </c>
      <c r="AJ72" s="8" cm="1">
        <f t="array" ref="AJ72">IF(AJ$8=-1,AK72,IF(AJ$8=99,AI72,IF(AJ$8=0,INDEX($E72:$I72,0,AJ$6),(INDEX($E72:$I72,0,AJ$8+1)-INDEX($E72:$I72,0,AJ$8))/(INDEX($D$5:$H$5,0,AJ$8+1)-INDEX($D$5:$H$5,0,AJ$8))+AI72)))</f>
        <v>59.276589186426349</v>
      </c>
      <c r="AK72" s="8" cm="1">
        <f t="array" ref="AK72">IF(AK$8=-1,AL72,IF(AK$8=99,AJ72,IF(AK$8=0,INDEX($E72:$I72,0,AK$6),(INDEX($E72:$I72,0,AK$8+1)-INDEX($E72:$I72,0,AK$8))/(INDEX($D$5:$H$5,0,AK$8+1)-INDEX($D$5:$H$5,0,AK$8))+AJ72)))</f>
        <v>59.276589186426349</v>
      </c>
      <c r="AL72" s="8" cm="1">
        <f t="array" ref="AL72">IF(AL$8=-1,AM72,IF(AL$8=99,AK72,IF(AL$8=0,INDEX($E72:$I72,0,AL$6),(INDEX($E72:$I72,0,AL$8+1)-INDEX($E72:$I72,0,AL$8))/(INDEX($D$5:$H$5,0,AL$8+1)-INDEX($D$5:$H$5,0,AL$8))+AK72)))</f>
        <v>59.276589186426349</v>
      </c>
      <c r="AM72" s="8" cm="1">
        <f t="array" ref="AM72">IF(AM$8=-1,AN72,IF(AM$8=99,AL72,IF(AM$8=0,INDEX($E72:$I72,0,AM$6),(INDEX($E72:$I72,0,AM$8+1)-INDEX($E72:$I72,0,AM$8))/(INDEX($D$5:$H$5,0,AM$8+1)-INDEX($D$5:$H$5,0,AM$8))+AL72)))</f>
        <v>59.276589186426349</v>
      </c>
      <c r="AN72" s="8" cm="1">
        <f t="array" ref="AN72">IF(AN$8=-1,AO72,IF(AN$8=99,AM72,IF(AN$8=0,INDEX($E72:$I72,0,AN$6),(INDEX($E72:$I72,0,AN$8+1)-INDEX($E72:$I72,0,AN$8))/(INDEX($D$5:$H$5,0,AN$8+1)-INDEX($D$5:$H$5,0,AN$8))+AM72)))</f>
        <v>59.276589186426349</v>
      </c>
      <c r="AO72" s="8" cm="1">
        <f t="array" ref="AO72">IF(AO$8=-1,AP72,IF(AO$8=99,AN72,IF(AO$8=0,INDEX($E72:$I72,0,AO$6),(INDEX($E72:$I72,0,AO$8+1)-INDEX($E72:$I72,0,AO$8))/(INDEX($D$5:$H$5,0,AO$8+1)-INDEX($D$5:$H$5,0,AO$8))+AN72)))</f>
        <v>59.276589186426349</v>
      </c>
      <c r="AP72" s="8" cm="1">
        <f t="array" ref="AP72">IF(AP$8=-1,AQ72,IF(AP$8=99,AO72,IF(AP$8=0,INDEX($E72:$I72,0,AP$6),(INDEX($E72:$I72,0,AP$8+1)-INDEX($E72:$I72,0,AP$8))/(INDEX($D$5:$H$5,0,AP$8+1)-INDEX($D$5:$H$5,0,AP$8))+AO72)))</f>
        <v>59.276589186426349</v>
      </c>
      <c r="AQ72" s="8" cm="1">
        <f t="array" ref="AQ72">IF(AQ$8=-1,AR72,IF(AQ$8=99,AP72,IF(AQ$8=0,INDEX($E72:$I72,0,AQ$6),(INDEX($E72:$I72,0,AQ$8+1)-INDEX($E72:$I72,0,AQ$8))/(INDEX($D$5:$H$5,0,AQ$8+1)-INDEX($D$5:$H$5,0,AQ$8))+AP72)))</f>
        <v>59.276589186426349</v>
      </c>
      <c r="AR72" s="8" cm="1">
        <f t="array" ref="AR72">IF(AR$8=-1,AS72,IF(AR$8=99,AQ72,IF(AR$8=0,INDEX($E72:$I72,0,AR$6),(INDEX($E72:$I72,0,AR$8+1)-INDEX($E72:$I72,0,AR$8))/(INDEX($D$5:$H$5,0,AR$8+1)-INDEX($D$5:$H$5,0,AR$8))+AQ72)))</f>
        <v>59.276589186426349</v>
      </c>
      <c r="AS72" s="8" cm="1">
        <f t="array" ref="AS72">IF(AS$8=-1,AT72,IF(AS$8=99,AR72,IF(AS$8=0,INDEX($E72:$I72,0,AS$6),(INDEX($E72:$I72,0,AS$8+1)-INDEX($E72:$I72,0,AS$8))/(INDEX($D$5:$H$5,0,AS$8+1)-INDEX($D$5:$H$5,0,AS$8))+AR72)))</f>
        <v>59.276589186426349</v>
      </c>
      <c r="AT72" s="8" cm="1">
        <f t="array" ref="AT72">IF(AT$8=-1,AU72,IF(AT$8=99,AS72,IF(AT$8=0,INDEX($E72:$I72,0,AT$6),(INDEX($E72:$I72,0,AT$8+1)-INDEX($E72:$I72,0,AT$8))/(INDEX($D$5:$H$5,0,AT$8+1)-INDEX($D$5:$H$5,0,AT$8))+AS72)))</f>
        <v>59.276589186426349</v>
      </c>
      <c r="AU72" s="8" cm="1">
        <f t="array" ref="AU72">IF(AU$8=-1,AV72,IF(AU$8=99,AT72,IF(AU$8=0,INDEX($E72:$I72,0,AU$6),(INDEX($E72:$I72,0,AU$8+1)-INDEX($E72:$I72,0,AU$8))/(INDEX($D$5:$H$5,0,AU$8+1)-INDEX($D$5:$H$5,0,AU$8))+AT72)))</f>
        <v>59.276589186426349</v>
      </c>
      <c r="AV72" s="8" cm="1">
        <f t="array" ref="AV72">IF(AV$8=-1,AW72,IF(AV$8=99,AU72,IF(AV$8=0,INDEX($E72:$I72,0,AV$6),(INDEX($E72:$I72,0,AV$8+1)-INDEX($E72:$I72,0,AV$8))/(INDEX($D$5:$H$5,0,AV$8+1)-INDEX($D$5:$H$5,0,AV$8))+AU72)))</f>
        <v>59.276589186426349</v>
      </c>
    </row>
    <row r="73" spans="1:48">
      <c r="A73" s="185" t="s">
        <v>16</v>
      </c>
      <c r="B73" s="263" t="s">
        <v>242</v>
      </c>
      <c r="C73" s="87" t="str">
        <f t="shared" si="23"/>
        <v>Commercial - Lighting</v>
      </c>
      <c r="D73" s="87" t="s">
        <v>75</v>
      </c>
      <c r="E73" s="96">
        <f t="shared" si="25"/>
        <v>915.10615144128838</v>
      </c>
      <c r="F73" s="104">
        <f t="shared" si="26"/>
        <v>751.83194786180138</v>
      </c>
      <c r="G73" s="104">
        <f t="shared" si="24"/>
        <v>751.83194786180138</v>
      </c>
      <c r="H73" s="104">
        <f t="shared" si="27"/>
        <v>751.83194786180138</v>
      </c>
      <c r="I73" s="150">
        <f t="shared" si="24"/>
        <v>751.83194786180138</v>
      </c>
      <c r="J73" s="8" cm="1">
        <f t="array" ref="J73">IF(J$8=-1,K73,IF(J$8=99,I73,IF(J$8=0,INDEX($E73:$I73,0,J$6),(INDEX($E73:$I73,0,J$8+1)-INDEX($E73:$I73,0,J$8))/(INDEX($D$5:$H$5,0,J$8+1)-INDEX($D$5:$H$5,0,J$8))+I73)))</f>
        <v>915.10615144128838</v>
      </c>
      <c r="K73" s="8" cm="1">
        <f t="array" ref="K73">IF(K$8=-1,L73,IF(K$8=99,J73,IF(K$8=0,INDEX($E73:$I73,0,K$6),(INDEX($E73:$I73,0,K$8+1)-INDEX($E73:$I73,0,K$8))/(INDEX($D$5:$H$5,0,K$8+1)-INDEX($D$5:$H$5,0,K$8))+J73)))</f>
        <v>882.45131072539095</v>
      </c>
      <c r="L73" s="8" cm="1">
        <f t="array" ref="L73">IF(L$8=-1,M73,IF(L$8=99,K73,IF(L$8=0,INDEX($E73:$I73,0,L$6),(INDEX($E73:$I73,0,L$8+1)-INDEX($E73:$I73,0,L$8))/(INDEX($D$5:$H$5,0,L$8+1)-INDEX($D$5:$H$5,0,L$8))+K73)))</f>
        <v>849.79647000949353</v>
      </c>
      <c r="M73" s="8" cm="1">
        <f t="array" ref="M73">IF(M$8=-1,N73,IF(M$8=99,L73,IF(M$8=0,INDEX($E73:$I73,0,M$6),(INDEX($E73:$I73,0,M$8+1)-INDEX($E73:$I73,0,M$8))/(INDEX($D$5:$H$5,0,M$8+1)-INDEX($D$5:$H$5,0,M$8))+L73)))</f>
        <v>817.14162929359611</v>
      </c>
      <c r="N73" s="8" cm="1">
        <f t="array" ref="N73">IF(N$8=-1,O73,IF(N$8=99,M73,IF(N$8=0,INDEX($E73:$I73,0,N$6),(INDEX($E73:$I73,0,N$8+1)-INDEX($E73:$I73,0,N$8))/(INDEX($D$5:$H$5,0,N$8+1)-INDEX($D$5:$H$5,0,N$8))+M73)))</f>
        <v>784.48678857769869</v>
      </c>
      <c r="O73" s="8" cm="1">
        <f t="array" ref="O73">IF(O$8=-1,P73,IF(O$8=99,N73,IF(O$8=0,INDEX($E73:$I73,0,O$6),(INDEX($E73:$I73,0,O$8+1)-INDEX($E73:$I73,0,O$8))/(INDEX($D$5:$H$5,0,O$8+1)-INDEX($D$5:$H$5,0,O$8))+N73)))</f>
        <v>751.83194786180138</v>
      </c>
      <c r="P73" s="8" cm="1">
        <f t="array" ref="P73">IF(P$8=-1,Q73,IF(P$8=99,O73,IF(P$8=0,INDEX($E73:$I73,0,P$6),(INDEX($E73:$I73,0,P$8+1)-INDEX($E73:$I73,0,P$8))/(INDEX($D$5:$H$5,0,P$8+1)-INDEX($D$5:$H$5,0,P$8))+O73)))</f>
        <v>751.83194786180138</v>
      </c>
      <c r="Q73" s="8" cm="1">
        <f t="array" ref="Q73">IF(Q$8=-1,R73,IF(Q$8=99,P73,IF(Q$8=0,INDEX($E73:$I73,0,Q$6),(INDEX($E73:$I73,0,Q$8+1)-INDEX($E73:$I73,0,Q$8))/(INDEX($D$5:$H$5,0,Q$8+1)-INDEX($D$5:$H$5,0,Q$8))+P73)))</f>
        <v>751.83194786180138</v>
      </c>
      <c r="R73" s="8" cm="1">
        <f t="array" ref="R73">IF(R$8=-1,S73,IF(R$8=99,Q73,IF(R$8=0,INDEX($E73:$I73,0,R$6),(INDEX($E73:$I73,0,R$8+1)-INDEX($E73:$I73,0,R$8))/(INDEX($D$5:$H$5,0,R$8+1)-INDEX($D$5:$H$5,0,R$8))+Q73)))</f>
        <v>751.83194786180138</v>
      </c>
      <c r="S73" s="8" cm="1">
        <f t="array" ref="S73">IF(S$8=-1,T73,IF(S$8=99,R73,IF(S$8=0,INDEX($E73:$I73,0,S$6),(INDEX($E73:$I73,0,S$8+1)-INDEX($E73:$I73,0,S$8))/(INDEX($D$5:$H$5,0,S$8+1)-INDEX($D$5:$H$5,0,S$8))+R73)))</f>
        <v>751.83194786180138</v>
      </c>
      <c r="T73" s="8" cm="1">
        <f t="array" ref="T73">IF(T$8=-1,U73,IF(T$8=99,S73,IF(T$8=0,INDEX($E73:$I73,0,T$6),(INDEX($E73:$I73,0,T$8+1)-INDEX($E73:$I73,0,T$8))/(INDEX($D$5:$H$5,0,T$8+1)-INDEX($D$5:$H$5,0,T$8))+S73)))</f>
        <v>751.83194786180138</v>
      </c>
      <c r="U73" s="8" cm="1">
        <f t="array" ref="U73">IF(U$8=-1,V73,IF(U$8=99,T73,IF(U$8=0,INDEX($E73:$I73,0,U$6),(INDEX($E73:$I73,0,U$8+1)-INDEX($E73:$I73,0,U$8))/(INDEX($D$5:$H$5,0,U$8+1)-INDEX($D$5:$H$5,0,U$8))+T73)))</f>
        <v>751.83194786180138</v>
      </c>
      <c r="V73" s="8" cm="1">
        <f t="array" ref="V73">IF(V$8=-1,W73,IF(V$8=99,U73,IF(V$8=0,INDEX($E73:$I73,0,V$6),(INDEX($E73:$I73,0,V$8+1)-INDEX($E73:$I73,0,V$8))/(INDEX($D$5:$H$5,0,V$8+1)-INDEX($D$5:$H$5,0,V$8))+U73)))</f>
        <v>751.83194786180138</v>
      </c>
      <c r="W73" s="8" cm="1">
        <f t="array" ref="W73">IF(W$8=-1,X73,IF(W$8=99,V73,IF(W$8=0,INDEX($E73:$I73,0,W$6),(INDEX($E73:$I73,0,W$8+1)-INDEX($E73:$I73,0,W$8))/(INDEX($D$5:$H$5,0,W$8+1)-INDEX($D$5:$H$5,0,W$8))+V73)))</f>
        <v>751.83194786180138</v>
      </c>
      <c r="X73" s="8" cm="1">
        <f t="array" ref="X73">IF(X$8=-1,Y73,IF(X$8=99,W73,IF(X$8=0,INDEX($E73:$I73,0,X$6),(INDEX($E73:$I73,0,X$8+1)-INDEX($E73:$I73,0,X$8))/(INDEX($D$5:$H$5,0,X$8+1)-INDEX($D$5:$H$5,0,X$8))+W73)))</f>
        <v>751.83194786180138</v>
      </c>
      <c r="Y73" s="8" cm="1">
        <f t="array" ref="Y73">IF(Y$8=-1,Z73,IF(Y$8=99,X73,IF(Y$8=0,INDEX($E73:$I73,0,Y$6),(INDEX($E73:$I73,0,Y$8+1)-INDEX($E73:$I73,0,Y$8))/(INDEX($D$5:$H$5,0,Y$8+1)-INDEX($D$5:$H$5,0,Y$8))+X73)))</f>
        <v>751.83194786180138</v>
      </c>
      <c r="Z73" s="8" cm="1">
        <f t="array" ref="Z73">IF(Z$8=-1,AA73,IF(Z$8=99,Y73,IF(Z$8=0,INDEX($E73:$I73,0,Z$6),(INDEX($E73:$I73,0,Z$8+1)-INDEX($E73:$I73,0,Z$8))/(INDEX($D$5:$H$5,0,Z$8+1)-INDEX($D$5:$H$5,0,Z$8))+Y73)))</f>
        <v>751.83194786180138</v>
      </c>
      <c r="AA73" s="8" cm="1">
        <f t="array" ref="AA73">IF(AA$8=-1,AB73,IF(AA$8=99,Z73,IF(AA$8=0,INDEX($E73:$I73,0,AA$6),(INDEX($E73:$I73,0,AA$8+1)-INDEX($E73:$I73,0,AA$8))/(INDEX($D$5:$H$5,0,AA$8+1)-INDEX($D$5:$H$5,0,AA$8))+Z73)))</f>
        <v>751.83194786180138</v>
      </c>
      <c r="AB73" s="8" cm="1">
        <f t="array" ref="AB73">IF(AB$8=-1,AC73,IF(AB$8=99,AA73,IF(AB$8=0,INDEX($E73:$I73,0,AB$6),(INDEX($E73:$I73,0,AB$8+1)-INDEX($E73:$I73,0,AB$8))/(INDEX($D$5:$H$5,0,AB$8+1)-INDEX($D$5:$H$5,0,AB$8))+AA73)))</f>
        <v>751.83194786180138</v>
      </c>
      <c r="AC73" s="8" cm="1">
        <f t="array" ref="AC73">IF(AC$8=-1,AD73,IF(AC$8=99,AB73,IF(AC$8=0,INDEX($E73:$I73,0,AC$6),(INDEX($E73:$I73,0,AC$8+1)-INDEX($E73:$I73,0,AC$8))/(INDEX($D$5:$H$5,0,AC$8+1)-INDEX($D$5:$H$5,0,AC$8))+AB73)))</f>
        <v>751.83194786180138</v>
      </c>
      <c r="AD73" s="8" cm="1">
        <f t="array" ref="AD73">IF(AD$8=-1,AE73,IF(AD$8=99,AC73,IF(AD$8=0,INDEX($E73:$I73,0,AD$6),(INDEX($E73:$I73,0,AD$8+1)-INDEX($E73:$I73,0,AD$8))/(INDEX($D$5:$H$5,0,AD$8+1)-INDEX($D$5:$H$5,0,AD$8))+AC73)))</f>
        <v>751.83194786180138</v>
      </c>
      <c r="AE73" s="8" cm="1">
        <f t="array" ref="AE73">IF(AE$8=-1,AF73,IF(AE$8=99,AD73,IF(AE$8=0,INDEX($E73:$I73,0,AE$6),(INDEX($E73:$I73,0,AE$8+1)-INDEX($E73:$I73,0,AE$8))/(INDEX($D$5:$H$5,0,AE$8+1)-INDEX($D$5:$H$5,0,AE$8))+AD73)))</f>
        <v>751.83194786180138</v>
      </c>
      <c r="AF73" s="8" cm="1">
        <f t="array" ref="AF73">IF(AF$8=-1,AG73,IF(AF$8=99,AE73,IF(AF$8=0,INDEX($E73:$I73,0,AF$6),(INDEX($E73:$I73,0,AF$8+1)-INDEX($E73:$I73,0,AF$8))/(INDEX($D$5:$H$5,0,AF$8+1)-INDEX($D$5:$H$5,0,AF$8))+AE73)))</f>
        <v>751.83194786180138</v>
      </c>
      <c r="AG73" s="8" cm="1">
        <f t="array" ref="AG73">IF(AG$8=-1,AH73,IF(AG$8=99,AF73,IF(AG$8=0,INDEX($E73:$I73,0,AG$6),(INDEX($E73:$I73,0,AG$8+1)-INDEX($E73:$I73,0,AG$8))/(INDEX($D$5:$H$5,0,AG$8+1)-INDEX($D$5:$H$5,0,AG$8))+AF73)))</f>
        <v>751.83194786180138</v>
      </c>
      <c r="AH73" s="8" cm="1">
        <f t="array" ref="AH73">IF(AH$8=-1,AI73,IF(AH$8=99,AG73,IF(AH$8=0,INDEX($E73:$I73,0,AH$6),(INDEX($E73:$I73,0,AH$8+1)-INDEX($E73:$I73,0,AH$8))/(INDEX($D$5:$H$5,0,AH$8+1)-INDEX($D$5:$H$5,0,AH$8))+AG73)))</f>
        <v>751.83194786180138</v>
      </c>
      <c r="AI73" s="8" cm="1">
        <f t="array" ref="AI73">IF(AI$8=-1,AJ73,IF(AI$8=99,AH73,IF(AI$8=0,INDEX($E73:$I73,0,AI$6),(INDEX($E73:$I73,0,AI$8+1)-INDEX($E73:$I73,0,AI$8))/(INDEX($D$5:$H$5,0,AI$8+1)-INDEX($D$5:$H$5,0,AI$8))+AH73)))</f>
        <v>751.83194786180138</v>
      </c>
      <c r="AJ73" s="8" cm="1">
        <f t="array" ref="AJ73">IF(AJ$8=-1,AK73,IF(AJ$8=99,AI73,IF(AJ$8=0,INDEX($E73:$I73,0,AJ$6),(INDEX($E73:$I73,0,AJ$8+1)-INDEX($E73:$I73,0,AJ$8))/(INDEX($D$5:$H$5,0,AJ$8+1)-INDEX($D$5:$H$5,0,AJ$8))+AI73)))</f>
        <v>751.83194786180138</v>
      </c>
      <c r="AK73" s="8" cm="1">
        <f t="array" ref="AK73">IF(AK$8=-1,AL73,IF(AK$8=99,AJ73,IF(AK$8=0,INDEX($E73:$I73,0,AK$6),(INDEX($E73:$I73,0,AK$8+1)-INDEX($E73:$I73,0,AK$8))/(INDEX($D$5:$H$5,0,AK$8+1)-INDEX($D$5:$H$5,0,AK$8))+AJ73)))</f>
        <v>751.83194786180138</v>
      </c>
      <c r="AL73" s="8" cm="1">
        <f t="array" ref="AL73">IF(AL$8=-1,AM73,IF(AL$8=99,AK73,IF(AL$8=0,INDEX($E73:$I73,0,AL$6),(INDEX($E73:$I73,0,AL$8+1)-INDEX($E73:$I73,0,AL$8))/(INDEX($D$5:$H$5,0,AL$8+1)-INDEX($D$5:$H$5,0,AL$8))+AK73)))</f>
        <v>751.83194786180138</v>
      </c>
      <c r="AM73" s="8" cm="1">
        <f t="array" ref="AM73">IF(AM$8=-1,AN73,IF(AM$8=99,AL73,IF(AM$8=0,INDEX($E73:$I73,0,AM$6),(INDEX($E73:$I73,0,AM$8+1)-INDEX($E73:$I73,0,AM$8))/(INDEX($D$5:$H$5,0,AM$8+1)-INDEX($D$5:$H$5,0,AM$8))+AL73)))</f>
        <v>751.83194786180138</v>
      </c>
      <c r="AN73" s="8" cm="1">
        <f t="array" ref="AN73">IF(AN$8=-1,AO73,IF(AN$8=99,AM73,IF(AN$8=0,INDEX($E73:$I73,0,AN$6),(INDEX($E73:$I73,0,AN$8+1)-INDEX($E73:$I73,0,AN$8))/(INDEX($D$5:$H$5,0,AN$8+1)-INDEX($D$5:$H$5,0,AN$8))+AM73)))</f>
        <v>751.83194786180138</v>
      </c>
      <c r="AO73" s="8" cm="1">
        <f t="array" ref="AO73">IF(AO$8=-1,AP73,IF(AO$8=99,AN73,IF(AO$8=0,INDEX($E73:$I73,0,AO$6),(INDEX($E73:$I73,0,AO$8+1)-INDEX($E73:$I73,0,AO$8))/(INDEX($D$5:$H$5,0,AO$8+1)-INDEX($D$5:$H$5,0,AO$8))+AN73)))</f>
        <v>751.83194786180138</v>
      </c>
      <c r="AP73" s="8" cm="1">
        <f t="array" ref="AP73">IF(AP$8=-1,AQ73,IF(AP$8=99,AO73,IF(AP$8=0,INDEX($E73:$I73,0,AP$6),(INDEX($E73:$I73,0,AP$8+1)-INDEX($E73:$I73,0,AP$8))/(INDEX($D$5:$H$5,0,AP$8+1)-INDEX($D$5:$H$5,0,AP$8))+AO73)))</f>
        <v>751.83194786180138</v>
      </c>
      <c r="AQ73" s="8" cm="1">
        <f t="array" ref="AQ73">IF(AQ$8=-1,AR73,IF(AQ$8=99,AP73,IF(AQ$8=0,INDEX($E73:$I73,0,AQ$6),(INDEX($E73:$I73,0,AQ$8+1)-INDEX($E73:$I73,0,AQ$8))/(INDEX($D$5:$H$5,0,AQ$8+1)-INDEX($D$5:$H$5,0,AQ$8))+AP73)))</f>
        <v>751.83194786180138</v>
      </c>
      <c r="AR73" s="8" cm="1">
        <f t="array" ref="AR73">IF(AR$8=-1,AS73,IF(AR$8=99,AQ73,IF(AR$8=0,INDEX($E73:$I73,0,AR$6),(INDEX($E73:$I73,0,AR$8+1)-INDEX($E73:$I73,0,AR$8))/(INDEX($D$5:$H$5,0,AR$8+1)-INDEX($D$5:$H$5,0,AR$8))+AQ73)))</f>
        <v>751.83194786180138</v>
      </c>
      <c r="AS73" s="8" cm="1">
        <f t="array" ref="AS73">IF(AS$8=-1,AT73,IF(AS$8=99,AR73,IF(AS$8=0,INDEX($E73:$I73,0,AS$6),(INDEX($E73:$I73,0,AS$8+1)-INDEX($E73:$I73,0,AS$8))/(INDEX($D$5:$H$5,0,AS$8+1)-INDEX($D$5:$H$5,0,AS$8))+AR73)))</f>
        <v>751.83194786180138</v>
      </c>
      <c r="AT73" s="8" cm="1">
        <f t="array" ref="AT73">IF(AT$8=-1,AU73,IF(AT$8=99,AS73,IF(AT$8=0,INDEX($E73:$I73,0,AT$6),(INDEX($E73:$I73,0,AT$8+1)-INDEX($E73:$I73,0,AT$8))/(INDEX($D$5:$H$5,0,AT$8+1)-INDEX($D$5:$H$5,0,AT$8))+AS73)))</f>
        <v>751.83194786180138</v>
      </c>
      <c r="AU73" s="8" cm="1">
        <f t="array" ref="AU73">IF(AU$8=-1,AV73,IF(AU$8=99,AT73,IF(AU$8=0,INDEX($E73:$I73,0,AU$6),(INDEX($E73:$I73,0,AU$8+1)-INDEX($E73:$I73,0,AU$8))/(INDEX($D$5:$H$5,0,AU$8+1)-INDEX($D$5:$H$5,0,AU$8))+AT73)))</f>
        <v>751.83194786180138</v>
      </c>
      <c r="AV73" s="8" cm="1">
        <f t="array" ref="AV73">IF(AV$8=-1,AW73,IF(AV$8=99,AU73,IF(AV$8=0,INDEX($E73:$I73,0,AV$6),(INDEX($E73:$I73,0,AV$8+1)-INDEX($E73:$I73,0,AV$8))/(INDEX($D$5:$H$5,0,AV$8+1)-INDEX($D$5:$H$5,0,AV$8))+AU73)))</f>
        <v>751.83194786180138</v>
      </c>
    </row>
    <row r="74" spans="1:48">
      <c r="A74" s="185" t="s">
        <v>16</v>
      </c>
      <c r="B74" s="263" t="s">
        <v>243</v>
      </c>
      <c r="C74" s="87" t="str">
        <f t="shared" si="23"/>
        <v>Commercial - Refrigeration</v>
      </c>
      <c r="D74" s="87" t="s">
        <v>75</v>
      </c>
      <c r="E74" s="96">
        <f t="shared" si="25"/>
        <v>222.61251585750318</v>
      </c>
      <c r="F74" s="104">
        <f t="shared" si="26"/>
        <v>182.89375626200317</v>
      </c>
      <c r="G74" s="104">
        <f t="shared" si="24"/>
        <v>182.89375626200317</v>
      </c>
      <c r="H74" s="104">
        <f t="shared" si="27"/>
        <v>182.89375626200317</v>
      </c>
      <c r="I74" s="150">
        <f t="shared" si="24"/>
        <v>182.89375626200317</v>
      </c>
      <c r="J74" s="8" cm="1">
        <f t="array" ref="J74">IF(J$8=-1,K74,IF(J$8=99,I74,IF(J$8=0,INDEX($E74:$I74,0,J$6),(INDEX($E74:$I74,0,J$8+1)-INDEX($E74:$I74,0,J$8))/(INDEX($D$5:$H$5,0,J$8+1)-INDEX($D$5:$H$5,0,J$8))+I74)))</f>
        <v>222.61251585750318</v>
      </c>
      <c r="K74" s="8" cm="1">
        <f t="array" ref="K74">IF(K$8=-1,L74,IF(K$8=99,J74,IF(K$8=0,INDEX($E74:$I74,0,K$6),(INDEX($E74:$I74,0,K$8+1)-INDEX($E74:$I74,0,K$8))/(INDEX($D$5:$H$5,0,K$8+1)-INDEX($D$5:$H$5,0,K$8))+J74)))</f>
        <v>214.66876393840317</v>
      </c>
      <c r="L74" s="8" cm="1">
        <f t="array" ref="L74">IF(L$8=-1,M74,IF(L$8=99,K74,IF(L$8=0,INDEX($E74:$I74,0,L$6),(INDEX($E74:$I74,0,L$8+1)-INDEX($E74:$I74,0,L$8))/(INDEX($D$5:$H$5,0,L$8+1)-INDEX($D$5:$H$5,0,L$8))+K74)))</f>
        <v>206.72501201930316</v>
      </c>
      <c r="M74" s="8" cm="1">
        <f t="array" ref="M74">IF(M$8=-1,N74,IF(M$8=99,L74,IF(M$8=0,INDEX($E74:$I74,0,M$6),(INDEX($E74:$I74,0,M$8+1)-INDEX($E74:$I74,0,M$8))/(INDEX($D$5:$H$5,0,M$8+1)-INDEX($D$5:$H$5,0,M$8))+L74)))</f>
        <v>198.78126010020316</v>
      </c>
      <c r="N74" s="8" cm="1">
        <f t="array" ref="N74">IF(N$8=-1,O74,IF(N$8=99,M74,IF(N$8=0,INDEX($E74:$I74,0,N$6),(INDEX($E74:$I74,0,N$8+1)-INDEX($E74:$I74,0,N$8))/(INDEX($D$5:$H$5,0,N$8+1)-INDEX($D$5:$H$5,0,N$8))+M74)))</f>
        <v>190.83750818110315</v>
      </c>
      <c r="O74" s="8" cm="1">
        <f t="array" ref="O74">IF(O$8=-1,P74,IF(O$8=99,N74,IF(O$8=0,INDEX($E74:$I74,0,O$6),(INDEX($E74:$I74,0,O$8+1)-INDEX($E74:$I74,0,O$8))/(INDEX($D$5:$H$5,0,O$8+1)-INDEX($D$5:$H$5,0,O$8))+N74)))</f>
        <v>182.89375626200317</v>
      </c>
      <c r="P74" s="8" cm="1">
        <f t="array" ref="P74">IF(P$8=-1,Q74,IF(P$8=99,O74,IF(P$8=0,INDEX($E74:$I74,0,P$6),(INDEX($E74:$I74,0,P$8+1)-INDEX($E74:$I74,0,P$8))/(INDEX($D$5:$H$5,0,P$8+1)-INDEX($D$5:$H$5,0,P$8))+O74)))</f>
        <v>182.89375626200317</v>
      </c>
      <c r="Q74" s="8" cm="1">
        <f t="array" ref="Q74">IF(Q$8=-1,R74,IF(Q$8=99,P74,IF(Q$8=0,INDEX($E74:$I74,0,Q$6),(INDEX($E74:$I74,0,Q$8+1)-INDEX($E74:$I74,0,Q$8))/(INDEX($D$5:$H$5,0,Q$8+1)-INDEX($D$5:$H$5,0,Q$8))+P74)))</f>
        <v>182.89375626200317</v>
      </c>
      <c r="R74" s="8" cm="1">
        <f t="array" ref="R74">IF(R$8=-1,S74,IF(R$8=99,Q74,IF(R$8=0,INDEX($E74:$I74,0,R$6),(INDEX($E74:$I74,0,R$8+1)-INDEX($E74:$I74,0,R$8))/(INDEX($D$5:$H$5,0,R$8+1)-INDEX($D$5:$H$5,0,R$8))+Q74)))</f>
        <v>182.89375626200317</v>
      </c>
      <c r="S74" s="8" cm="1">
        <f t="array" ref="S74">IF(S$8=-1,T74,IF(S$8=99,R74,IF(S$8=0,INDEX($E74:$I74,0,S$6),(INDEX($E74:$I74,0,S$8+1)-INDEX($E74:$I74,0,S$8))/(INDEX($D$5:$H$5,0,S$8+1)-INDEX($D$5:$H$5,0,S$8))+R74)))</f>
        <v>182.89375626200317</v>
      </c>
      <c r="T74" s="8" cm="1">
        <f t="array" ref="T74">IF(T$8=-1,U74,IF(T$8=99,S74,IF(T$8=0,INDEX($E74:$I74,0,T$6),(INDEX($E74:$I74,0,T$8+1)-INDEX($E74:$I74,0,T$8))/(INDEX($D$5:$H$5,0,T$8+1)-INDEX($D$5:$H$5,0,T$8))+S74)))</f>
        <v>182.89375626200317</v>
      </c>
      <c r="U74" s="8" cm="1">
        <f t="array" ref="U74">IF(U$8=-1,V74,IF(U$8=99,T74,IF(U$8=0,INDEX($E74:$I74,0,U$6),(INDEX($E74:$I74,0,U$8+1)-INDEX($E74:$I74,0,U$8))/(INDEX($D$5:$H$5,0,U$8+1)-INDEX($D$5:$H$5,0,U$8))+T74)))</f>
        <v>182.89375626200317</v>
      </c>
      <c r="V74" s="8" cm="1">
        <f t="array" ref="V74">IF(V$8=-1,W74,IF(V$8=99,U74,IF(V$8=0,INDEX($E74:$I74,0,V$6),(INDEX($E74:$I74,0,V$8+1)-INDEX($E74:$I74,0,V$8))/(INDEX($D$5:$H$5,0,V$8+1)-INDEX($D$5:$H$5,0,V$8))+U74)))</f>
        <v>182.89375626200317</v>
      </c>
      <c r="W74" s="8" cm="1">
        <f t="array" ref="W74">IF(W$8=-1,X74,IF(W$8=99,V74,IF(W$8=0,INDEX($E74:$I74,0,W$6),(INDEX($E74:$I74,0,W$8+1)-INDEX($E74:$I74,0,W$8))/(INDEX($D$5:$H$5,0,W$8+1)-INDEX($D$5:$H$5,0,W$8))+V74)))</f>
        <v>182.89375626200317</v>
      </c>
      <c r="X74" s="8" cm="1">
        <f t="array" ref="X74">IF(X$8=-1,Y74,IF(X$8=99,W74,IF(X$8=0,INDEX($E74:$I74,0,X$6),(INDEX($E74:$I74,0,X$8+1)-INDEX($E74:$I74,0,X$8))/(INDEX($D$5:$H$5,0,X$8+1)-INDEX($D$5:$H$5,0,X$8))+W74)))</f>
        <v>182.89375626200317</v>
      </c>
      <c r="Y74" s="8" cm="1">
        <f t="array" ref="Y74">IF(Y$8=-1,Z74,IF(Y$8=99,X74,IF(Y$8=0,INDEX($E74:$I74,0,Y$6),(INDEX($E74:$I74,0,Y$8+1)-INDEX($E74:$I74,0,Y$8))/(INDEX($D$5:$H$5,0,Y$8+1)-INDEX($D$5:$H$5,0,Y$8))+X74)))</f>
        <v>182.89375626200317</v>
      </c>
      <c r="Z74" s="8" cm="1">
        <f t="array" ref="Z74">IF(Z$8=-1,AA74,IF(Z$8=99,Y74,IF(Z$8=0,INDEX($E74:$I74,0,Z$6),(INDEX($E74:$I74,0,Z$8+1)-INDEX($E74:$I74,0,Z$8))/(INDEX($D$5:$H$5,0,Z$8+1)-INDEX($D$5:$H$5,0,Z$8))+Y74)))</f>
        <v>182.89375626200317</v>
      </c>
      <c r="AA74" s="8" cm="1">
        <f t="array" ref="AA74">IF(AA$8=-1,AB74,IF(AA$8=99,Z74,IF(AA$8=0,INDEX($E74:$I74,0,AA$6),(INDEX($E74:$I74,0,AA$8+1)-INDEX($E74:$I74,0,AA$8))/(INDEX($D$5:$H$5,0,AA$8+1)-INDEX($D$5:$H$5,0,AA$8))+Z74)))</f>
        <v>182.89375626200317</v>
      </c>
      <c r="AB74" s="8" cm="1">
        <f t="array" ref="AB74">IF(AB$8=-1,AC74,IF(AB$8=99,AA74,IF(AB$8=0,INDEX($E74:$I74,0,AB$6),(INDEX($E74:$I74,0,AB$8+1)-INDEX($E74:$I74,0,AB$8))/(INDEX($D$5:$H$5,0,AB$8+1)-INDEX($D$5:$H$5,0,AB$8))+AA74)))</f>
        <v>182.89375626200317</v>
      </c>
      <c r="AC74" s="8" cm="1">
        <f t="array" ref="AC74">IF(AC$8=-1,AD74,IF(AC$8=99,AB74,IF(AC$8=0,INDEX($E74:$I74,0,AC$6),(INDEX($E74:$I74,0,AC$8+1)-INDEX($E74:$I74,0,AC$8))/(INDEX($D$5:$H$5,0,AC$8+1)-INDEX($D$5:$H$5,0,AC$8))+AB74)))</f>
        <v>182.89375626200317</v>
      </c>
      <c r="AD74" s="8" cm="1">
        <f t="array" ref="AD74">IF(AD$8=-1,AE74,IF(AD$8=99,AC74,IF(AD$8=0,INDEX($E74:$I74,0,AD$6),(INDEX($E74:$I74,0,AD$8+1)-INDEX($E74:$I74,0,AD$8))/(INDEX($D$5:$H$5,0,AD$8+1)-INDEX($D$5:$H$5,0,AD$8))+AC74)))</f>
        <v>182.89375626200317</v>
      </c>
      <c r="AE74" s="8" cm="1">
        <f t="array" ref="AE74">IF(AE$8=-1,AF74,IF(AE$8=99,AD74,IF(AE$8=0,INDEX($E74:$I74,0,AE$6),(INDEX($E74:$I74,0,AE$8+1)-INDEX($E74:$I74,0,AE$8))/(INDEX($D$5:$H$5,0,AE$8+1)-INDEX($D$5:$H$5,0,AE$8))+AD74)))</f>
        <v>182.89375626200317</v>
      </c>
      <c r="AF74" s="8" cm="1">
        <f t="array" ref="AF74">IF(AF$8=-1,AG74,IF(AF$8=99,AE74,IF(AF$8=0,INDEX($E74:$I74,0,AF$6),(INDEX($E74:$I74,0,AF$8+1)-INDEX($E74:$I74,0,AF$8))/(INDEX($D$5:$H$5,0,AF$8+1)-INDEX($D$5:$H$5,0,AF$8))+AE74)))</f>
        <v>182.89375626200317</v>
      </c>
      <c r="AG74" s="8" cm="1">
        <f t="array" ref="AG74">IF(AG$8=-1,AH74,IF(AG$8=99,AF74,IF(AG$8=0,INDEX($E74:$I74,0,AG$6),(INDEX($E74:$I74,0,AG$8+1)-INDEX($E74:$I74,0,AG$8))/(INDEX($D$5:$H$5,0,AG$8+1)-INDEX($D$5:$H$5,0,AG$8))+AF74)))</f>
        <v>182.89375626200317</v>
      </c>
      <c r="AH74" s="8" cm="1">
        <f t="array" ref="AH74">IF(AH$8=-1,AI74,IF(AH$8=99,AG74,IF(AH$8=0,INDEX($E74:$I74,0,AH$6),(INDEX($E74:$I74,0,AH$8+1)-INDEX($E74:$I74,0,AH$8))/(INDEX($D$5:$H$5,0,AH$8+1)-INDEX($D$5:$H$5,0,AH$8))+AG74)))</f>
        <v>182.89375626200317</v>
      </c>
      <c r="AI74" s="8" cm="1">
        <f t="array" ref="AI74">IF(AI$8=-1,AJ74,IF(AI$8=99,AH74,IF(AI$8=0,INDEX($E74:$I74,0,AI$6),(INDEX($E74:$I74,0,AI$8+1)-INDEX($E74:$I74,0,AI$8))/(INDEX($D$5:$H$5,0,AI$8+1)-INDEX($D$5:$H$5,0,AI$8))+AH74)))</f>
        <v>182.89375626200317</v>
      </c>
      <c r="AJ74" s="8" cm="1">
        <f t="array" ref="AJ74">IF(AJ$8=-1,AK74,IF(AJ$8=99,AI74,IF(AJ$8=0,INDEX($E74:$I74,0,AJ$6),(INDEX($E74:$I74,0,AJ$8+1)-INDEX($E74:$I74,0,AJ$8))/(INDEX($D$5:$H$5,0,AJ$8+1)-INDEX($D$5:$H$5,0,AJ$8))+AI74)))</f>
        <v>182.89375626200317</v>
      </c>
      <c r="AK74" s="8" cm="1">
        <f t="array" ref="AK74">IF(AK$8=-1,AL74,IF(AK$8=99,AJ74,IF(AK$8=0,INDEX($E74:$I74,0,AK$6),(INDEX($E74:$I74,0,AK$8+1)-INDEX($E74:$I74,0,AK$8))/(INDEX($D$5:$H$5,0,AK$8+1)-INDEX($D$5:$H$5,0,AK$8))+AJ74)))</f>
        <v>182.89375626200317</v>
      </c>
      <c r="AL74" s="8" cm="1">
        <f t="array" ref="AL74">IF(AL$8=-1,AM74,IF(AL$8=99,AK74,IF(AL$8=0,INDEX($E74:$I74,0,AL$6),(INDEX($E74:$I74,0,AL$8+1)-INDEX($E74:$I74,0,AL$8))/(INDEX($D$5:$H$5,0,AL$8+1)-INDEX($D$5:$H$5,0,AL$8))+AK74)))</f>
        <v>182.89375626200317</v>
      </c>
      <c r="AM74" s="8" cm="1">
        <f t="array" ref="AM74">IF(AM$8=-1,AN74,IF(AM$8=99,AL74,IF(AM$8=0,INDEX($E74:$I74,0,AM$6),(INDEX($E74:$I74,0,AM$8+1)-INDEX($E74:$I74,0,AM$8))/(INDEX($D$5:$H$5,0,AM$8+1)-INDEX($D$5:$H$5,0,AM$8))+AL74)))</f>
        <v>182.89375626200317</v>
      </c>
      <c r="AN74" s="8" cm="1">
        <f t="array" ref="AN74">IF(AN$8=-1,AO74,IF(AN$8=99,AM74,IF(AN$8=0,INDEX($E74:$I74,0,AN$6),(INDEX($E74:$I74,0,AN$8+1)-INDEX($E74:$I74,0,AN$8))/(INDEX($D$5:$H$5,0,AN$8+1)-INDEX($D$5:$H$5,0,AN$8))+AM74)))</f>
        <v>182.89375626200317</v>
      </c>
      <c r="AO74" s="8" cm="1">
        <f t="array" ref="AO74">IF(AO$8=-1,AP74,IF(AO$8=99,AN74,IF(AO$8=0,INDEX($E74:$I74,0,AO$6),(INDEX($E74:$I74,0,AO$8+1)-INDEX($E74:$I74,0,AO$8))/(INDEX($D$5:$H$5,0,AO$8+1)-INDEX($D$5:$H$5,0,AO$8))+AN74)))</f>
        <v>182.89375626200317</v>
      </c>
      <c r="AP74" s="8" cm="1">
        <f t="array" ref="AP74">IF(AP$8=-1,AQ74,IF(AP$8=99,AO74,IF(AP$8=0,INDEX($E74:$I74,0,AP$6),(INDEX($E74:$I74,0,AP$8+1)-INDEX($E74:$I74,0,AP$8))/(INDEX($D$5:$H$5,0,AP$8+1)-INDEX($D$5:$H$5,0,AP$8))+AO74)))</f>
        <v>182.89375626200317</v>
      </c>
      <c r="AQ74" s="8" cm="1">
        <f t="array" ref="AQ74">IF(AQ$8=-1,AR74,IF(AQ$8=99,AP74,IF(AQ$8=0,INDEX($E74:$I74,0,AQ$6),(INDEX($E74:$I74,0,AQ$8+1)-INDEX($E74:$I74,0,AQ$8))/(INDEX($D$5:$H$5,0,AQ$8+1)-INDEX($D$5:$H$5,0,AQ$8))+AP74)))</f>
        <v>182.89375626200317</v>
      </c>
      <c r="AR74" s="8" cm="1">
        <f t="array" ref="AR74">IF(AR$8=-1,AS74,IF(AR$8=99,AQ74,IF(AR$8=0,INDEX($E74:$I74,0,AR$6),(INDEX($E74:$I74,0,AR$8+1)-INDEX($E74:$I74,0,AR$8))/(INDEX($D$5:$H$5,0,AR$8+1)-INDEX($D$5:$H$5,0,AR$8))+AQ74)))</f>
        <v>182.89375626200317</v>
      </c>
      <c r="AS74" s="8" cm="1">
        <f t="array" ref="AS74">IF(AS$8=-1,AT74,IF(AS$8=99,AR74,IF(AS$8=0,INDEX($E74:$I74,0,AS$6),(INDEX($E74:$I74,0,AS$8+1)-INDEX($E74:$I74,0,AS$8))/(INDEX($D$5:$H$5,0,AS$8+1)-INDEX($D$5:$H$5,0,AS$8))+AR74)))</f>
        <v>182.89375626200317</v>
      </c>
      <c r="AT74" s="8" cm="1">
        <f t="array" ref="AT74">IF(AT$8=-1,AU74,IF(AT$8=99,AS74,IF(AT$8=0,INDEX($E74:$I74,0,AT$6),(INDEX($E74:$I74,0,AT$8+1)-INDEX($E74:$I74,0,AT$8))/(INDEX($D$5:$H$5,0,AT$8+1)-INDEX($D$5:$H$5,0,AT$8))+AS74)))</f>
        <v>182.89375626200317</v>
      </c>
      <c r="AU74" s="8" cm="1">
        <f t="array" ref="AU74">IF(AU$8=-1,AV74,IF(AU$8=99,AT74,IF(AU$8=0,INDEX($E74:$I74,0,AU$6),(INDEX($E74:$I74,0,AU$8+1)-INDEX($E74:$I74,0,AU$8))/(INDEX($D$5:$H$5,0,AU$8+1)-INDEX($D$5:$H$5,0,AU$8))+AT74)))</f>
        <v>182.89375626200317</v>
      </c>
      <c r="AV74" s="8" cm="1">
        <f t="array" ref="AV74">IF(AV$8=-1,AW74,IF(AV$8=99,AU74,IF(AV$8=0,INDEX($E74:$I74,0,AV$6),(INDEX($E74:$I74,0,AV$8+1)-INDEX($E74:$I74,0,AV$8))/(INDEX($D$5:$H$5,0,AV$8+1)-INDEX($D$5:$H$5,0,AV$8))+AU74)))</f>
        <v>182.89375626200317</v>
      </c>
    </row>
    <row r="75" spans="1:48">
      <c r="A75" s="185" t="s">
        <v>16</v>
      </c>
      <c r="B75" s="263" t="s">
        <v>244</v>
      </c>
      <c r="C75" s="87" t="str">
        <f t="shared" si="23"/>
        <v>Commercial - Water Heating</v>
      </c>
      <c r="D75" s="87" t="s">
        <v>75</v>
      </c>
      <c r="E75" s="96">
        <f t="shared" si="25"/>
        <v>72.906473658117989</v>
      </c>
      <c r="F75" s="104">
        <f t="shared" si="26"/>
        <v>69.309069222923057</v>
      </c>
      <c r="G75" s="104">
        <f t="shared" si="24"/>
        <v>69.309069222923057</v>
      </c>
      <c r="H75" s="104">
        <f t="shared" si="27"/>
        <v>69.309069222923057</v>
      </c>
      <c r="I75" s="150">
        <f t="shared" si="24"/>
        <v>69.309069222923057</v>
      </c>
      <c r="J75" s="8" cm="1">
        <f t="array" ref="J75">IF(J$8=-1,K75,IF(J$8=99,I75,IF(J$8=0,INDEX($E75:$I75,0,J$6),(INDEX($E75:$I75,0,J$8+1)-INDEX($E75:$I75,0,J$8))/(INDEX($D$5:$H$5,0,J$8+1)-INDEX($D$5:$H$5,0,J$8))+I75)))</f>
        <v>72.906473658117989</v>
      </c>
      <c r="K75" s="8" cm="1">
        <f t="array" ref="K75">IF(K$8=-1,L75,IF(K$8=99,J75,IF(K$8=0,INDEX($E75:$I75,0,K$6),(INDEX($E75:$I75,0,K$8+1)-INDEX($E75:$I75,0,K$8))/(INDEX($D$5:$H$5,0,K$8+1)-INDEX($D$5:$H$5,0,K$8))+J75)))</f>
        <v>72.186992771079005</v>
      </c>
      <c r="L75" s="8" cm="1">
        <f t="array" ref="L75">IF(L$8=-1,M75,IF(L$8=99,K75,IF(L$8=0,INDEX($E75:$I75,0,L$6),(INDEX($E75:$I75,0,L$8+1)-INDEX($E75:$I75,0,L$8))/(INDEX($D$5:$H$5,0,L$8+1)-INDEX($D$5:$H$5,0,L$8))+K75)))</f>
        <v>71.467511884040022</v>
      </c>
      <c r="M75" s="8" cm="1">
        <f t="array" ref="M75">IF(M$8=-1,N75,IF(M$8=99,L75,IF(M$8=0,INDEX($E75:$I75,0,M$6),(INDEX($E75:$I75,0,M$8+1)-INDEX($E75:$I75,0,M$8))/(INDEX($D$5:$H$5,0,M$8+1)-INDEX($D$5:$H$5,0,M$8))+L75)))</f>
        <v>70.748030997001038</v>
      </c>
      <c r="N75" s="8" cm="1">
        <f t="array" ref="N75">IF(N$8=-1,O75,IF(N$8=99,M75,IF(N$8=0,INDEX($E75:$I75,0,N$6),(INDEX($E75:$I75,0,N$8+1)-INDEX($E75:$I75,0,N$8))/(INDEX($D$5:$H$5,0,N$8+1)-INDEX($D$5:$H$5,0,N$8))+M75)))</f>
        <v>70.028550109962055</v>
      </c>
      <c r="O75" s="8" cm="1">
        <f t="array" ref="O75">IF(O$8=-1,P75,IF(O$8=99,N75,IF(O$8=0,INDEX($E75:$I75,0,O$6),(INDEX($E75:$I75,0,O$8+1)-INDEX($E75:$I75,0,O$8))/(INDEX($D$5:$H$5,0,O$8+1)-INDEX($D$5:$H$5,0,O$8))+N75)))</f>
        <v>69.309069222923057</v>
      </c>
      <c r="P75" s="8" cm="1">
        <f t="array" ref="P75">IF(P$8=-1,Q75,IF(P$8=99,O75,IF(P$8=0,INDEX($E75:$I75,0,P$6),(INDEX($E75:$I75,0,P$8+1)-INDEX($E75:$I75,0,P$8))/(INDEX($D$5:$H$5,0,P$8+1)-INDEX($D$5:$H$5,0,P$8))+O75)))</f>
        <v>69.309069222923057</v>
      </c>
      <c r="Q75" s="8" cm="1">
        <f t="array" ref="Q75">IF(Q$8=-1,R75,IF(Q$8=99,P75,IF(Q$8=0,INDEX($E75:$I75,0,Q$6),(INDEX($E75:$I75,0,Q$8+1)-INDEX($E75:$I75,0,Q$8))/(INDEX($D$5:$H$5,0,Q$8+1)-INDEX($D$5:$H$5,0,Q$8))+P75)))</f>
        <v>69.309069222923057</v>
      </c>
      <c r="R75" s="8" cm="1">
        <f t="array" ref="R75">IF(R$8=-1,S75,IF(R$8=99,Q75,IF(R$8=0,INDEX($E75:$I75,0,R$6),(INDEX($E75:$I75,0,R$8+1)-INDEX($E75:$I75,0,R$8))/(INDEX($D$5:$H$5,0,R$8+1)-INDEX($D$5:$H$5,0,R$8))+Q75)))</f>
        <v>69.309069222923057</v>
      </c>
      <c r="S75" s="8" cm="1">
        <f t="array" ref="S75">IF(S$8=-1,T75,IF(S$8=99,R75,IF(S$8=0,INDEX($E75:$I75,0,S$6),(INDEX($E75:$I75,0,S$8+1)-INDEX($E75:$I75,0,S$8))/(INDEX($D$5:$H$5,0,S$8+1)-INDEX($D$5:$H$5,0,S$8))+R75)))</f>
        <v>69.309069222923057</v>
      </c>
      <c r="T75" s="8" cm="1">
        <f t="array" ref="T75">IF(T$8=-1,U75,IF(T$8=99,S75,IF(T$8=0,INDEX($E75:$I75,0,T$6),(INDEX($E75:$I75,0,T$8+1)-INDEX($E75:$I75,0,T$8))/(INDEX($D$5:$H$5,0,T$8+1)-INDEX($D$5:$H$5,0,T$8))+S75)))</f>
        <v>69.309069222923057</v>
      </c>
      <c r="U75" s="8" cm="1">
        <f t="array" ref="U75">IF(U$8=-1,V75,IF(U$8=99,T75,IF(U$8=0,INDEX($E75:$I75,0,U$6),(INDEX($E75:$I75,0,U$8+1)-INDEX($E75:$I75,0,U$8))/(INDEX($D$5:$H$5,0,U$8+1)-INDEX($D$5:$H$5,0,U$8))+T75)))</f>
        <v>69.309069222923057</v>
      </c>
      <c r="V75" s="8" cm="1">
        <f t="array" ref="V75">IF(V$8=-1,W75,IF(V$8=99,U75,IF(V$8=0,INDEX($E75:$I75,0,V$6),(INDEX($E75:$I75,0,V$8+1)-INDEX($E75:$I75,0,V$8))/(INDEX($D$5:$H$5,0,V$8+1)-INDEX($D$5:$H$5,0,V$8))+U75)))</f>
        <v>69.309069222923057</v>
      </c>
      <c r="W75" s="8" cm="1">
        <f t="array" ref="W75">IF(W$8=-1,X75,IF(W$8=99,V75,IF(W$8=0,INDEX($E75:$I75,0,W$6),(INDEX($E75:$I75,0,W$8+1)-INDEX($E75:$I75,0,W$8))/(INDEX($D$5:$H$5,0,W$8+1)-INDEX($D$5:$H$5,0,W$8))+V75)))</f>
        <v>69.309069222923057</v>
      </c>
      <c r="X75" s="8" cm="1">
        <f t="array" ref="X75">IF(X$8=-1,Y75,IF(X$8=99,W75,IF(X$8=0,INDEX($E75:$I75,0,X$6),(INDEX($E75:$I75,0,X$8+1)-INDEX($E75:$I75,0,X$8))/(INDEX($D$5:$H$5,0,X$8+1)-INDEX($D$5:$H$5,0,X$8))+W75)))</f>
        <v>69.309069222923057</v>
      </c>
      <c r="Y75" s="8" cm="1">
        <f t="array" ref="Y75">IF(Y$8=-1,Z75,IF(Y$8=99,X75,IF(Y$8=0,INDEX($E75:$I75,0,Y$6),(INDEX($E75:$I75,0,Y$8+1)-INDEX($E75:$I75,0,Y$8))/(INDEX($D$5:$H$5,0,Y$8+1)-INDEX($D$5:$H$5,0,Y$8))+X75)))</f>
        <v>69.309069222923057</v>
      </c>
      <c r="Z75" s="8" cm="1">
        <f t="array" ref="Z75">IF(Z$8=-1,AA75,IF(Z$8=99,Y75,IF(Z$8=0,INDEX($E75:$I75,0,Z$6),(INDEX($E75:$I75,0,Z$8+1)-INDEX($E75:$I75,0,Z$8))/(INDEX($D$5:$H$5,0,Z$8+1)-INDEX($D$5:$H$5,0,Z$8))+Y75)))</f>
        <v>69.309069222923057</v>
      </c>
      <c r="AA75" s="8" cm="1">
        <f t="array" ref="AA75">IF(AA$8=-1,AB75,IF(AA$8=99,Z75,IF(AA$8=0,INDEX($E75:$I75,0,AA$6),(INDEX($E75:$I75,0,AA$8+1)-INDEX($E75:$I75,0,AA$8))/(INDEX($D$5:$H$5,0,AA$8+1)-INDEX($D$5:$H$5,0,AA$8))+Z75)))</f>
        <v>69.309069222923057</v>
      </c>
      <c r="AB75" s="8" cm="1">
        <f t="array" ref="AB75">IF(AB$8=-1,AC75,IF(AB$8=99,AA75,IF(AB$8=0,INDEX($E75:$I75,0,AB$6),(INDEX($E75:$I75,0,AB$8+1)-INDEX($E75:$I75,0,AB$8))/(INDEX($D$5:$H$5,0,AB$8+1)-INDEX($D$5:$H$5,0,AB$8))+AA75)))</f>
        <v>69.309069222923057</v>
      </c>
      <c r="AC75" s="8" cm="1">
        <f t="array" ref="AC75">IF(AC$8=-1,AD75,IF(AC$8=99,AB75,IF(AC$8=0,INDEX($E75:$I75,0,AC$6),(INDEX($E75:$I75,0,AC$8+1)-INDEX($E75:$I75,0,AC$8))/(INDEX($D$5:$H$5,0,AC$8+1)-INDEX($D$5:$H$5,0,AC$8))+AB75)))</f>
        <v>69.309069222923057</v>
      </c>
      <c r="AD75" s="8" cm="1">
        <f t="array" ref="AD75">IF(AD$8=-1,AE75,IF(AD$8=99,AC75,IF(AD$8=0,INDEX($E75:$I75,0,AD$6),(INDEX($E75:$I75,0,AD$8+1)-INDEX($E75:$I75,0,AD$8))/(INDEX($D$5:$H$5,0,AD$8+1)-INDEX($D$5:$H$5,0,AD$8))+AC75)))</f>
        <v>69.309069222923057</v>
      </c>
      <c r="AE75" s="8" cm="1">
        <f t="array" ref="AE75">IF(AE$8=-1,AF75,IF(AE$8=99,AD75,IF(AE$8=0,INDEX($E75:$I75,0,AE$6),(INDEX($E75:$I75,0,AE$8+1)-INDEX($E75:$I75,0,AE$8))/(INDEX($D$5:$H$5,0,AE$8+1)-INDEX($D$5:$H$5,0,AE$8))+AD75)))</f>
        <v>69.309069222923057</v>
      </c>
      <c r="AF75" s="8" cm="1">
        <f t="array" ref="AF75">IF(AF$8=-1,AG75,IF(AF$8=99,AE75,IF(AF$8=0,INDEX($E75:$I75,0,AF$6),(INDEX($E75:$I75,0,AF$8+1)-INDEX($E75:$I75,0,AF$8))/(INDEX($D$5:$H$5,0,AF$8+1)-INDEX($D$5:$H$5,0,AF$8))+AE75)))</f>
        <v>69.309069222923057</v>
      </c>
      <c r="AG75" s="8" cm="1">
        <f t="array" ref="AG75">IF(AG$8=-1,AH75,IF(AG$8=99,AF75,IF(AG$8=0,INDEX($E75:$I75,0,AG$6),(INDEX($E75:$I75,0,AG$8+1)-INDEX($E75:$I75,0,AG$8))/(INDEX($D$5:$H$5,0,AG$8+1)-INDEX($D$5:$H$5,0,AG$8))+AF75)))</f>
        <v>69.309069222923057</v>
      </c>
      <c r="AH75" s="8" cm="1">
        <f t="array" ref="AH75">IF(AH$8=-1,AI75,IF(AH$8=99,AG75,IF(AH$8=0,INDEX($E75:$I75,0,AH$6),(INDEX($E75:$I75,0,AH$8+1)-INDEX($E75:$I75,0,AH$8))/(INDEX($D$5:$H$5,0,AH$8+1)-INDEX($D$5:$H$5,0,AH$8))+AG75)))</f>
        <v>69.309069222923057</v>
      </c>
      <c r="AI75" s="8" cm="1">
        <f t="array" ref="AI75">IF(AI$8=-1,AJ75,IF(AI$8=99,AH75,IF(AI$8=0,INDEX($E75:$I75,0,AI$6),(INDEX($E75:$I75,0,AI$8+1)-INDEX($E75:$I75,0,AI$8))/(INDEX($D$5:$H$5,0,AI$8+1)-INDEX($D$5:$H$5,0,AI$8))+AH75)))</f>
        <v>69.309069222923057</v>
      </c>
      <c r="AJ75" s="8" cm="1">
        <f t="array" ref="AJ75">IF(AJ$8=-1,AK75,IF(AJ$8=99,AI75,IF(AJ$8=0,INDEX($E75:$I75,0,AJ$6),(INDEX($E75:$I75,0,AJ$8+1)-INDEX($E75:$I75,0,AJ$8))/(INDEX($D$5:$H$5,0,AJ$8+1)-INDEX($D$5:$H$5,0,AJ$8))+AI75)))</f>
        <v>69.309069222923057</v>
      </c>
      <c r="AK75" s="8" cm="1">
        <f t="array" ref="AK75">IF(AK$8=-1,AL75,IF(AK$8=99,AJ75,IF(AK$8=0,INDEX($E75:$I75,0,AK$6),(INDEX($E75:$I75,0,AK$8+1)-INDEX($E75:$I75,0,AK$8))/(INDEX($D$5:$H$5,0,AK$8+1)-INDEX($D$5:$H$5,0,AK$8))+AJ75)))</f>
        <v>69.309069222923057</v>
      </c>
      <c r="AL75" s="8" cm="1">
        <f t="array" ref="AL75">IF(AL$8=-1,AM75,IF(AL$8=99,AK75,IF(AL$8=0,INDEX($E75:$I75,0,AL$6),(INDEX($E75:$I75,0,AL$8+1)-INDEX($E75:$I75,0,AL$8))/(INDEX($D$5:$H$5,0,AL$8+1)-INDEX($D$5:$H$5,0,AL$8))+AK75)))</f>
        <v>69.309069222923057</v>
      </c>
      <c r="AM75" s="8" cm="1">
        <f t="array" ref="AM75">IF(AM$8=-1,AN75,IF(AM$8=99,AL75,IF(AM$8=0,INDEX($E75:$I75,0,AM$6),(INDEX($E75:$I75,0,AM$8+1)-INDEX($E75:$I75,0,AM$8))/(INDEX($D$5:$H$5,0,AM$8+1)-INDEX($D$5:$H$5,0,AM$8))+AL75)))</f>
        <v>69.309069222923057</v>
      </c>
      <c r="AN75" s="8" cm="1">
        <f t="array" ref="AN75">IF(AN$8=-1,AO75,IF(AN$8=99,AM75,IF(AN$8=0,INDEX($E75:$I75,0,AN$6),(INDEX($E75:$I75,0,AN$8+1)-INDEX($E75:$I75,0,AN$8))/(INDEX($D$5:$H$5,0,AN$8+1)-INDEX($D$5:$H$5,0,AN$8))+AM75)))</f>
        <v>69.309069222923057</v>
      </c>
      <c r="AO75" s="8" cm="1">
        <f t="array" ref="AO75">IF(AO$8=-1,AP75,IF(AO$8=99,AN75,IF(AO$8=0,INDEX($E75:$I75,0,AO$6),(INDEX($E75:$I75,0,AO$8+1)-INDEX($E75:$I75,0,AO$8))/(INDEX($D$5:$H$5,0,AO$8+1)-INDEX($D$5:$H$5,0,AO$8))+AN75)))</f>
        <v>69.309069222923057</v>
      </c>
      <c r="AP75" s="8" cm="1">
        <f t="array" ref="AP75">IF(AP$8=-1,AQ75,IF(AP$8=99,AO75,IF(AP$8=0,INDEX($E75:$I75,0,AP$6),(INDEX($E75:$I75,0,AP$8+1)-INDEX($E75:$I75,0,AP$8))/(INDEX($D$5:$H$5,0,AP$8+1)-INDEX($D$5:$H$5,0,AP$8))+AO75)))</f>
        <v>69.309069222923057</v>
      </c>
      <c r="AQ75" s="8" cm="1">
        <f t="array" ref="AQ75">IF(AQ$8=-1,AR75,IF(AQ$8=99,AP75,IF(AQ$8=0,INDEX($E75:$I75,0,AQ$6),(INDEX($E75:$I75,0,AQ$8+1)-INDEX($E75:$I75,0,AQ$8))/(INDEX($D$5:$H$5,0,AQ$8+1)-INDEX($D$5:$H$5,0,AQ$8))+AP75)))</f>
        <v>69.309069222923057</v>
      </c>
      <c r="AR75" s="8" cm="1">
        <f t="array" ref="AR75">IF(AR$8=-1,AS75,IF(AR$8=99,AQ75,IF(AR$8=0,INDEX($E75:$I75,0,AR$6),(INDEX($E75:$I75,0,AR$8+1)-INDEX($E75:$I75,0,AR$8))/(INDEX($D$5:$H$5,0,AR$8+1)-INDEX($D$5:$H$5,0,AR$8))+AQ75)))</f>
        <v>69.309069222923057</v>
      </c>
      <c r="AS75" s="8" cm="1">
        <f t="array" ref="AS75">IF(AS$8=-1,AT75,IF(AS$8=99,AR75,IF(AS$8=0,INDEX($E75:$I75,0,AS$6),(INDEX($E75:$I75,0,AS$8+1)-INDEX($E75:$I75,0,AS$8))/(INDEX($D$5:$H$5,0,AS$8+1)-INDEX($D$5:$H$5,0,AS$8))+AR75)))</f>
        <v>69.309069222923057</v>
      </c>
      <c r="AT75" s="8" cm="1">
        <f t="array" ref="AT75">IF(AT$8=-1,AU75,IF(AT$8=99,AS75,IF(AT$8=0,INDEX($E75:$I75,0,AT$6),(INDEX($E75:$I75,0,AT$8+1)-INDEX($E75:$I75,0,AT$8))/(INDEX($D$5:$H$5,0,AT$8+1)-INDEX($D$5:$H$5,0,AT$8))+AS75)))</f>
        <v>69.309069222923057</v>
      </c>
      <c r="AU75" s="8" cm="1">
        <f t="array" ref="AU75">IF(AU$8=-1,AV75,IF(AU$8=99,AT75,IF(AU$8=0,INDEX($E75:$I75,0,AU$6),(INDEX($E75:$I75,0,AU$8+1)-INDEX($E75:$I75,0,AU$8))/(INDEX($D$5:$H$5,0,AU$8+1)-INDEX($D$5:$H$5,0,AU$8))+AT75)))</f>
        <v>69.309069222923057</v>
      </c>
      <c r="AV75" s="8" cm="1">
        <f t="array" ref="AV75">IF(AV$8=-1,AW75,IF(AV$8=99,AU75,IF(AV$8=0,INDEX($E75:$I75,0,AV$6),(INDEX($E75:$I75,0,AV$8+1)-INDEX($E75:$I75,0,AV$8))/(INDEX($D$5:$H$5,0,AV$8+1)-INDEX($D$5:$H$5,0,AV$8))+AU75)))</f>
        <v>69.309069222923057</v>
      </c>
    </row>
    <row r="76" spans="1:48">
      <c r="A76" s="185" t="s">
        <v>16</v>
      </c>
      <c r="B76" s="263" t="s">
        <v>245</v>
      </c>
      <c r="C76" s="107" t="str">
        <f t="shared" si="23"/>
        <v>Commercial - Public lights</v>
      </c>
      <c r="D76" s="107" t="s">
        <v>75</v>
      </c>
      <c r="E76" s="167">
        <v>0</v>
      </c>
      <c r="F76" s="104">
        <v>0</v>
      </c>
      <c r="G76" s="168">
        <f t="shared" si="24"/>
        <v>0</v>
      </c>
      <c r="H76" s="104">
        <f t="shared" si="27"/>
        <v>0</v>
      </c>
      <c r="I76" s="169">
        <f t="shared" si="24"/>
        <v>0</v>
      </c>
      <c r="J76" s="8" cm="1">
        <f t="array" ref="J76">IF(J$8=-1,K76,IF(J$8=99,I76,IF(J$8=0,INDEX($E76:$I76,0,J$6),(INDEX($E76:$I76,0,J$8+1)-INDEX($E76:$I76,0,J$8))/(INDEX($D$5:$H$5,0,J$8+1)-INDEX($D$5:$H$5,0,J$8))+I76)))</f>
        <v>0</v>
      </c>
      <c r="K76" s="8" cm="1">
        <f t="array" ref="K76">IF(K$8=-1,L76,IF(K$8=99,J76,IF(K$8=0,INDEX($E76:$I76,0,K$6),(INDEX($E76:$I76,0,K$8+1)-INDEX($E76:$I76,0,K$8))/(INDEX($D$5:$H$5,0,K$8+1)-INDEX($D$5:$H$5,0,K$8))+J76)))</f>
        <v>0</v>
      </c>
      <c r="L76" s="8" cm="1">
        <f t="array" ref="L76">IF(L$8=-1,M76,IF(L$8=99,K76,IF(L$8=0,INDEX($E76:$I76,0,L$6),(INDEX($E76:$I76,0,L$8+1)-INDEX($E76:$I76,0,L$8))/(INDEX($D$5:$H$5,0,L$8+1)-INDEX($D$5:$H$5,0,L$8))+K76)))</f>
        <v>0</v>
      </c>
      <c r="M76" s="8" cm="1">
        <f t="array" ref="M76">IF(M$8=-1,N76,IF(M$8=99,L76,IF(M$8=0,INDEX($E76:$I76,0,M$6),(INDEX($E76:$I76,0,M$8+1)-INDEX($E76:$I76,0,M$8))/(INDEX($D$5:$H$5,0,M$8+1)-INDEX($D$5:$H$5,0,M$8))+L76)))</f>
        <v>0</v>
      </c>
      <c r="N76" s="8" cm="1">
        <f t="array" ref="N76">IF(N$8=-1,O76,IF(N$8=99,M76,IF(N$8=0,INDEX($E76:$I76,0,N$6),(INDEX($E76:$I76,0,N$8+1)-INDEX($E76:$I76,0,N$8))/(INDEX($D$5:$H$5,0,N$8+1)-INDEX($D$5:$H$5,0,N$8))+M76)))</f>
        <v>0</v>
      </c>
      <c r="O76" s="8" cm="1">
        <f t="array" ref="O76">IF(O$8=-1,P76,IF(O$8=99,N76,IF(O$8=0,INDEX($E76:$I76,0,O$6),(INDEX($E76:$I76,0,O$8+1)-INDEX($E76:$I76,0,O$8))/(INDEX($D$5:$H$5,0,O$8+1)-INDEX($D$5:$H$5,0,O$8))+N76)))</f>
        <v>0</v>
      </c>
      <c r="P76" s="8" cm="1">
        <f t="array" ref="P76">IF(P$8=-1,Q76,IF(P$8=99,O76,IF(P$8=0,INDEX($E76:$I76,0,P$6),(INDEX($E76:$I76,0,P$8+1)-INDEX($E76:$I76,0,P$8))/(INDEX($D$5:$H$5,0,P$8+1)-INDEX($D$5:$H$5,0,P$8))+O76)))</f>
        <v>0</v>
      </c>
      <c r="Q76" s="8" cm="1">
        <f t="array" ref="Q76">IF(Q$8=-1,R76,IF(Q$8=99,P76,IF(Q$8=0,INDEX($E76:$I76,0,Q$6),(INDEX($E76:$I76,0,Q$8+1)-INDEX($E76:$I76,0,Q$8))/(INDEX($D$5:$H$5,0,Q$8+1)-INDEX($D$5:$H$5,0,Q$8))+P76)))</f>
        <v>0</v>
      </c>
      <c r="R76" s="8" cm="1">
        <f t="array" ref="R76">IF(R$8=-1,S76,IF(R$8=99,Q76,IF(R$8=0,INDEX($E76:$I76,0,R$6),(INDEX($E76:$I76,0,R$8+1)-INDEX($E76:$I76,0,R$8))/(INDEX($D$5:$H$5,0,R$8+1)-INDEX($D$5:$H$5,0,R$8))+Q76)))</f>
        <v>0</v>
      </c>
      <c r="S76" s="8" cm="1">
        <f t="array" ref="S76">IF(S$8=-1,T76,IF(S$8=99,R76,IF(S$8=0,INDEX($E76:$I76,0,S$6),(INDEX($E76:$I76,0,S$8+1)-INDEX($E76:$I76,0,S$8))/(INDEX($D$5:$H$5,0,S$8+1)-INDEX($D$5:$H$5,0,S$8))+R76)))</f>
        <v>0</v>
      </c>
      <c r="T76" s="8" cm="1">
        <f t="array" ref="T76">IF(T$8=-1,U76,IF(T$8=99,S76,IF(T$8=0,INDEX($E76:$I76,0,T$6),(INDEX($E76:$I76,0,T$8+1)-INDEX($E76:$I76,0,T$8))/(INDEX($D$5:$H$5,0,T$8+1)-INDEX($D$5:$H$5,0,T$8))+S76)))</f>
        <v>0</v>
      </c>
      <c r="U76" s="8" cm="1">
        <f t="array" ref="U76">IF(U$8=-1,V76,IF(U$8=99,T76,IF(U$8=0,INDEX($E76:$I76,0,U$6),(INDEX($E76:$I76,0,U$8+1)-INDEX($E76:$I76,0,U$8))/(INDEX($D$5:$H$5,0,U$8+1)-INDEX($D$5:$H$5,0,U$8))+T76)))</f>
        <v>0</v>
      </c>
      <c r="V76" s="8" cm="1">
        <f t="array" ref="V76">IF(V$8=-1,W76,IF(V$8=99,U76,IF(V$8=0,INDEX($E76:$I76,0,V$6),(INDEX($E76:$I76,0,V$8+1)-INDEX($E76:$I76,0,V$8))/(INDEX($D$5:$H$5,0,V$8+1)-INDEX($D$5:$H$5,0,V$8))+U76)))</f>
        <v>0</v>
      </c>
      <c r="W76" s="8" cm="1">
        <f t="array" ref="W76">IF(W$8=-1,X76,IF(W$8=99,V76,IF(W$8=0,INDEX($E76:$I76,0,W$6),(INDEX($E76:$I76,0,W$8+1)-INDEX($E76:$I76,0,W$8))/(INDEX($D$5:$H$5,0,W$8+1)-INDEX($D$5:$H$5,0,W$8))+V76)))</f>
        <v>0</v>
      </c>
      <c r="X76" s="8" cm="1">
        <f t="array" ref="X76">IF(X$8=-1,Y76,IF(X$8=99,W76,IF(X$8=0,INDEX($E76:$I76,0,X$6),(INDEX($E76:$I76,0,X$8+1)-INDEX($E76:$I76,0,X$8))/(INDEX($D$5:$H$5,0,X$8+1)-INDEX($D$5:$H$5,0,X$8))+W76)))</f>
        <v>0</v>
      </c>
      <c r="Y76" s="8" cm="1">
        <f t="array" ref="Y76">IF(Y$8=-1,Z76,IF(Y$8=99,X76,IF(Y$8=0,INDEX($E76:$I76,0,Y$6),(INDEX($E76:$I76,0,Y$8+1)-INDEX($E76:$I76,0,Y$8))/(INDEX($D$5:$H$5,0,Y$8+1)-INDEX($D$5:$H$5,0,Y$8))+X76)))</f>
        <v>0</v>
      </c>
      <c r="Z76" s="8" cm="1">
        <f t="array" ref="Z76">IF(Z$8=-1,AA76,IF(Z$8=99,Y76,IF(Z$8=0,INDEX($E76:$I76,0,Z$6),(INDEX($E76:$I76,0,Z$8+1)-INDEX($E76:$I76,0,Z$8))/(INDEX($D$5:$H$5,0,Z$8+1)-INDEX($D$5:$H$5,0,Z$8))+Y76)))</f>
        <v>0</v>
      </c>
      <c r="AA76" s="8" cm="1">
        <f t="array" ref="AA76">IF(AA$8=-1,AB76,IF(AA$8=99,Z76,IF(AA$8=0,INDEX($E76:$I76,0,AA$6),(INDEX($E76:$I76,0,AA$8+1)-INDEX($E76:$I76,0,AA$8))/(INDEX($D$5:$H$5,0,AA$8+1)-INDEX($D$5:$H$5,0,AA$8))+Z76)))</f>
        <v>0</v>
      </c>
      <c r="AB76" s="8" cm="1">
        <f t="array" ref="AB76">IF(AB$8=-1,AC76,IF(AB$8=99,AA76,IF(AB$8=0,INDEX($E76:$I76,0,AB$6),(INDEX($E76:$I76,0,AB$8+1)-INDEX($E76:$I76,0,AB$8))/(INDEX($D$5:$H$5,0,AB$8+1)-INDEX($D$5:$H$5,0,AB$8))+AA76)))</f>
        <v>0</v>
      </c>
      <c r="AC76" s="8" cm="1">
        <f t="array" ref="AC76">IF(AC$8=-1,AD76,IF(AC$8=99,AB76,IF(AC$8=0,INDEX($E76:$I76,0,AC$6),(INDEX($E76:$I76,0,AC$8+1)-INDEX($E76:$I76,0,AC$8))/(INDEX($D$5:$H$5,0,AC$8+1)-INDEX($D$5:$H$5,0,AC$8))+AB76)))</f>
        <v>0</v>
      </c>
      <c r="AD76" s="8" cm="1">
        <f t="array" ref="AD76">IF(AD$8=-1,AE76,IF(AD$8=99,AC76,IF(AD$8=0,INDEX($E76:$I76,0,AD$6),(INDEX($E76:$I76,0,AD$8+1)-INDEX($E76:$I76,0,AD$8))/(INDEX($D$5:$H$5,0,AD$8+1)-INDEX($D$5:$H$5,0,AD$8))+AC76)))</f>
        <v>0</v>
      </c>
      <c r="AE76" s="8" cm="1">
        <f t="array" ref="AE76">IF(AE$8=-1,AF76,IF(AE$8=99,AD76,IF(AE$8=0,INDEX($E76:$I76,0,AE$6),(INDEX($E76:$I76,0,AE$8+1)-INDEX($E76:$I76,0,AE$8))/(INDEX($D$5:$H$5,0,AE$8+1)-INDEX($D$5:$H$5,0,AE$8))+AD76)))</f>
        <v>0</v>
      </c>
      <c r="AF76" s="8" cm="1">
        <f t="array" ref="AF76">IF(AF$8=-1,AG76,IF(AF$8=99,AE76,IF(AF$8=0,INDEX($E76:$I76,0,AF$6),(INDEX($E76:$I76,0,AF$8+1)-INDEX($E76:$I76,0,AF$8))/(INDEX($D$5:$H$5,0,AF$8+1)-INDEX($D$5:$H$5,0,AF$8))+AE76)))</f>
        <v>0</v>
      </c>
      <c r="AG76" s="8" cm="1">
        <f t="array" ref="AG76">IF(AG$8=-1,AH76,IF(AG$8=99,AF76,IF(AG$8=0,INDEX($E76:$I76,0,AG$6),(INDEX($E76:$I76,0,AG$8+1)-INDEX($E76:$I76,0,AG$8))/(INDEX($D$5:$H$5,0,AG$8+1)-INDEX($D$5:$H$5,0,AG$8))+AF76)))</f>
        <v>0</v>
      </c>
      <c r="AH76" s="8" cm="1">
        <f t="array" ref="AH76">IF(AH$8=-1,AI76,IF(AH$8=99,AG76,IF(AH$8=0,INDEX($E76:$I76,0,AH$6),(INDEX($E76:$I76,0,AH$8+1)-INDEX($E76:$I76,0,AH$8))/(INDEX($D$5:$H$5,0,AH$8+1)-INDEX($D$5:$H$5,0,AH$8))+AG76)))</f>
        <v>0</v>
      </c>
      <c r="AI76" s="8" cm="1">
        <f t="array" ref="AI76">IF(AI$8=-1,AJ76,IF(AI$8=99,AH76,IF(AI$8=0,INDEX($E76:$I76,0,AI$6),(INDEX($E76:$I76,0,AI$8+1)-INDEX($E76:$I76,0,AI$8))/(INDEX($D$5:$H$5,0,AI$8+1)-INDEX($D$5:$H$5,0,AI$8))+AH76)))</f>
        <v>0</v>
      </c>
      <c r="AJ76" s="8" cm="1">
        <f t="array" ref="AJ76">IF(AJ$8=-1,AK76,IF(AJ$8=99,AI76,IF(AJ$8=0,INDEX($E76:$I76,0,AJ$6),(INDEX($E76:$I76,0,AJ$8+1)-INDEX($E76:$I76,0,AJ$8))/(INDEX($D$5:$H$5,0,AJ$8+1)-INDEX($D$5:$H$5,0,AJ$8))+AI76)))</f>
        <v>0</v>
      </c>
      <c r="AK76" s="8" cm="1">
        <f t="array" ref="AK76">IF(AK$8=-1,AL76,IF(AK$8=99,AJ76,IF(AK$8=0,INDEX($E76:$I76,0,AK$6),(INDEX($E76:$I76,0,AK$8+1)-INDEX($E76:$I76,0,AK$8))/(INDEX($D$5:$H$5,0,AK$8+1)-INDEX($D$5:$H$5,0,AK$8))+AJ76)))</f>
        <v>0</v>
      </c>
      <c r="AL76" s="8" cm="1">
        <f t="array" ref="AL76">IF(AL$8=-1,AM76,IF(AL$8=99,AK76,IF(AL$8=0,INDEX($E76:$I76,0,AL$6),(INDEX($E76:$I76,0,AL$8+1)-INDEX($E76:$I76,0,AL$8))/(INDEX($D$5:$H$5,0,AL$8+1)-INDEX($D$5:$H$5,0,AL$8))+AK76)))</f>
        <v>0</v>
      </c>
      <c r="AM76" s="8" cm="1">
        <f t="array" ref="AM76">IF(AM$8=-1,AN76,IF(AM$8=99,AL76,IF(AM$8=0,INDEX($E76:$I76,0,AM$6),(INDEX($E76:$I76,0,AM$8+1)-INDEX($E76:$I76,0,AM$8))/(INDEX($D$5:$H$5,0,AM$8+1)-INDEX($D$5:$H$5,0,AM$8))+AL76)))</f>
        <v>0</v>
      </c>
      <c r="AN76" s="8" cm="1">
        <f t="array" ref="AN76">IF(AN$8=-1,AO76,IF(AN$8=99,AM76,IF(AN$8=0,INDEX($E76:$I76,0,AN$6),(INDEX($E76:$I76,0,AN$8+1)-INDEX($E76:$I76,0,AN$8))/(INDEX($D$5:$H$5,0,AN$8+1)-INDEX($D$5:$H$5,0,AN$8))+AM76)))</f>
        <v>0</v>
      </c>
      <c r="AO76" s="8" cm="1">
        <f t="array" ref="AO76">IF(AO$8=-1,AP76,IF(AO$8=99,AN76,IF(AO$8=0,INDEX($E76:$I76,0,AO$6),(INDEX($E76:$I76,0,AO$8+1)-INDEX($E76:$I76,0,AO$8))/(INDEX($D$5:$H$5,0,AO$8+1)-INDEX($D$5:$H$5,0,AO$8))+AN76)))</f>
        <v>0</v>
      </c>
      <c r="AP76" s="8" cm="1">
        <f t="array" ref="AP76">IF(AP$8=-1,AQ76,IF(AP$8=99,AO76,IF(AP$8=0,INDEX($E76:$I76,0,AP$6),(INDEX($E76:$I76,0,AP$8+1)-INDEX($E76:$I76,0,AP$8))/(INDEX($D$5:$H$5,0,AP$8+1)-INDEX($D$5:$H$5,0,AP$8))+AO76)))</f>
        <v>0</v>
      </c>
      <c r="AQ76" s="8" cm="1">
        <f t="array" ref="AQ76">IF(AQ$8=-1,AR76,IF(AQ$8=99,AP76,IF(AQ$8=0,INDEX($E76:$I76,0,AQ$6),(INDEX($E76:$I76,0,AQ$8+1)-INDEX($E76:$I76,0,AQ$8))/(INDEX($D$5:$H$5,0,AQ$8+1)-INDEX($D$5:$H$5,0,AQ$8))+AP76)))</f>
        <v>0</v>
      </c>
      <c r="AR76" s="8" cm="1">
        <f t="array" ref="AR76">IF(AR$8=-1,AS76,IF(AR$8=99,AQ76,IF(AR$8=0,INDEX($E76:$I76,0,AR$6),(INDEX($E76:$I76,0,AR$8+1)-INDEX($E76:$I76,0,AR$8))/(INDEX($D$5:$H$5,0,AR$8+1)-INDEX($D$5:$H$5,0,AR$8))+AQ76)))</f>
        <v>0</v>
      </c>
      <c r="AS76" s="8" cm="1">
        <f t="array" ref="AS76">IF(AS$8=-1,AT76,IF(AS$8=99,AR76,IF(AS$8=0,INDEX($E76:$I76,0,AS$6),(INDEX($E76:$I76,0,AS$8+1)-INDEX($E76:$I76,0,AS$8))/(INDEX($D$5:$H$5,0,AS$8+1)-INDEX($D$5:$H$5,0,AS$8))+AR76)))</f>
        <v>0</v>
      </c>
      <c r="AT76" s="8" cm="1">
        <f t="array" ref="AT76">IF(AT$8=-1,AU76,IF(AT$8=99,AS76,IF(AT$8=0,INDEX($E76:$I76,0,AT$6),(INDEX($E76:$I76,0,AT$8+1)-INDEX($E76:$I76,0,AT$8))/(INDEX($D$5:$H$5,0,AT$8+1)-INDEX($D$5:$H$5,0,AT$8))+AS76)))</f>
        <v>0</v>
      </c>
      <c r="AU76" s="8" cm="1">
        <f t="array" ref="AU76">IF(AU$8=-1,AV76,IF(AU$8=99,AT76,IF(AU$8=0,INDEX($E76:$I76,0,AU$6),(INDEX($E76:$I76,0,AU$8+1)-INDEX($E76:$I76,0,AU$8))/(INDEX($D$5:$H$5,0,AU$8+1)-INDEX($D$5:$H$5,0,AU$8))+AT76)))</f>
        <v>0</v>
      </c>
      <c r="AV76" s="8" cm="1">
        <f t="array" ref="AV76">IF(AV$8=-1,AW76,IF(AV$8=99,AU76,IF(AV$8=0,INDEX($E76:$I76,0,AV$6),(INDEX($E76:$I76,0,AV$8+1)-INDEX($E76:$I76,0,AV$8))/(INDEX($D$5:$H$5,0,AV$8+1)-INDEX($D$5:$H$5,0,AV$8))+AU76)))</f>
        <v>0</v>
      </c>
    </row>
    <row r="77" spans="1:48">
      <c r="A77" s="185" t="s">
        <v>16</v>
      </c>
      <c r="B77" s="263" t="s">
        <v>246</v>
      </c>
      <c r="C77" s="107" t="str">
        <f t="shared" si="23"/>
        <v>Commercial - Public Water</v>
      </c>
      <c r="D77" s="107" t="s">
        <v>75</v>
      </c>
      <c r="E77" s="167">
        <v>0</v>
      </c>
      <c r="F77" s="104">
        <v>0</v>
      </c>
      <c r="G77" s="168">
        <f t="shared" si="24"/>
        <v>0</v>
      </c>
      <c r="H77" s="104">
        <f t="shared" si="27"/>
        <v>0</v>
      </c>
      <c r="I77" s="169">
        <f t="shared" si="24"/>
        <v>0</v>
      </c>
      <c r="J77" s="8" cm="1">
        <f t="array" ref="J77">IF(J$8=-1,K77,IF(J$8=99,I77,IF(J$8=0,INDEX($E77:$I77,0,J$6),(INDEX($E77:$I77,0,J$8+1)-INDEX($E77:$I77,0,J$8))/(INDEX($D$5:$H$5,0,J$8+1)-INDEX($D$5:$H$5,0,J$8))+I77)))</f>
        <v>0</v>
      </c>
      <c r="K77" s="8" cm="1">
        <f t="array" ref="K77">IF(K$8=-1,L77,IF(K$8=99,J77,IF(K$8=0,INDEX($E77:$I77,0,K$6),(INDEX($E77:$I77,0,K$8+1)-INDEX($E77:$I77,0,K$8))/(INDEX($D$5:$H$5,0,K$8+1)-INDEX($D$5:$H$5,0,K$8))+J77)))</f>
        <v>0</v>
      </c>
      <c r="L77" s="8" cm="1">
        <f t="array" ref="L77">IF(L$8=-1,M77,IF(L$8=99,K77,IF(L$8=0,INDEX($E77:$I77,0,L$6),(INDEX($E77:$I77,0,L$8+1)-INDEX($E77:$I77,0,L$8))/(INDEX($D$5:$H$5,0,L$8+1)-INDEX($D$5:$H$5,0,L$8))+K77)))</f>
        <v>0</v>
      </c>
      <c r="M77" s="8" cm="1">
        <f t="array" ref="M77">IF(M$8=-1,N77,IF(M$8=99,L77,IF(M$8=0,INDEX($E77:$I77,0,M$6),(INDEX($E77:$I77,0,M$8+1)-INDEX($E77:$I77,0,M$8))/(INDEX($D$5:$H$5,0,M$8+1)-INDEX($D$5:$H$5,0,M$8))+L77)))</f>
        <v>0</v>
      </c>
      <c r="N77" s="8" cm="1">
        <f t="array" ref="N77">IF(N$8=-1,O77,IF(N$8=99,M77,IF(N$8=0,INDEX($E77:$I77,0,N$6),(INDEX($E77:$I77,0,N$8+1)-INDEX($E77:$I77,0,N$8))/(INDEX($D$5:$H$5,0,N$8+1)-INDEX($D$5:$H$5,0,N$8))+M77)))</f>
        <v>0</v>
      </c>
      <c r="O77" s="8" cm="1">
        <f t="array" ref="O77">IF(O$8=-1,P77,IF(O$8=99,N77,IF(O$8=0,INDEX($E77:$I77,0,O$6),(INDEX($E77:$I77,0,O$8+1)-INDEX($E77:$I77,0,O$8))/(INDEX($D$5:$H$5,0,O$8+1)-INDEX($D$5:$H$5,0,O$8))+N77)))</f>
        <v>0</v>
      </c>
      <c r="P77" s="8" cm="1">
        <f t="array" ref="P77">IF(P$8=-1,Q77,IF(P$8=99,O77,IF(P$8=0,INDEX($E77:$I77,0,P$6),(INDEX($E77:$I77,0,P$8+1)-INDEX($E77:$I77,0,P$8))/(INDEX($D$5:$H$5,0,P$8+1)-INDEX($D$5:$H$5,0,P$8))+O77)))</f>
        <v>0</v>
      </c>
      <c r="Q77" s="8" cm="1">
        <f t="array" ref="Q77">IF(Q$8=-1,R77,IF(Q$8=99,P77,IF(Q$8=0,INDEX($E77:$I77,0,Q$6),(INDEX($E77:$I77,0,Q$8+1)-INDEX($E77:$I77,0,Q$8))/(INDEX($D$5:$H$5,0,Q$8+1)-INDEX($D$5:$H$5,0,Q$8))+P77)))</f>
        <v>0</v>
      </c>
      <c r="R77" s="8" cm="1">
        <f t="array" ref="R77">IF(R$8=-1,S77,IF(R$8=99,Q77,IF(R$8=0,INDEX($E77:$I77,0,R$6),(INDEX($E77:$I77,0,R$8+1)-INDEX($E77:$I77,0,R$8))/(INDEX($D$5:$H$5,0,R$8+1)-INDEX($D$5:$H$5,0,R$8))+Q77)))</f>
        <v>0</v>
      </c>
      <c r="S77" s="8" cm="1">
        <f t="array" ref="S77">IF(S$8=-1,T77,IF(S$8=99,R77,IF(S$8=0,INDEX($E77:$I77,0,S$6),(INDEX($E77:$I77,0,S$8+1)-INDEX($E77:$I77,0,S$8))/(INDEX($D$5:$H$5,0,S$8+1)-INDEX($D$5:$H$5,0,S$8))+R77)))</f>
        <v>0</v>
      </c>
      <c r="T77" s="8" cm="1">
        <f t="array" ref="T77">IF(T$8=-1,U77,IF(T$8=99,S77,IF(T$8=0,INDEX($E77:$I77,0,T$6),(INDEX($E77:$I77,0,T$8+1)-INDEX($E77:$I77,0,T$8))/(INDEX($D$5:$H$5,0,T$8+1)-INDEX($D$5:$H$5,0,T$8))+S77)))</f>
        <v>0</v>
      </c>
      <c r="U77" s="8" cm="1">
        <f t="array" ref="U77">IF(U$8=-1,V77,IF(U$8=99,T77,IF(U$8=0,INDEX($E77:$I77,0,U$6),(INDEX($E77:$I77,0,U$8+1)-INDEX($E77:$I77,0,U$8))/(INDEX($D$5:$H$5,0,U$8+1)-INDEX($D$5:$H$5,0,U$8))+T77)))</f>
        <v>0</v>
      </c>
      <c r="V77" s="8" cm="1">
        <f t="array" ref="V77">IF(V$8=-1,W77,IF(V$8=99,U77,IF(V$8=0,INDEX($E77:$I77,0,V$6),(INDEX($E77:$I77,0,V$8+1)-INDEX($E77:$I77,0,V$8))/(INDEX($D$5:$H$5,0,V$8+1)-INDEX($D$5:$H$5,0,V$8))+U77)))</f>
        <v>0</v>
      </c>
      <c r="W77" s="8" cm="1">
        <f t="array" ref="W77">IF(W$8=-1,X77,IF(W$8=99,V77,IF(W$8=0,INDEX($E77:$I77,0,W$6),(INDEX($E77:$I77,0,W$8+1)-INDEX($E77:$I77,0,W$8))/(INDEX($D$5:$H$5,0,W$8+1)-INDEX($D$5:$H$5,0,W$8))+V77)))</f>
        <v>0</v>
      </c>
      <c r="X77" s="8" cm="1">
        <f t="array" ref="X77">IF(X$8=-1,Y77,IF(X$8=99,W77,IF(X$8=0,INDEX($E77:$I77,0,X$6),(INDEX($E77:$I77,0,X$8+1)-INDEX($E77:$I77,0,X$8))/(INDEX($D$5:$H$5,0,X$8+1)-INDEX($D$5:$H$5,0,X$8))+W77)))</f>
        <v>0</v>
      </c>
      <c r="Y77" s="8" cm="1">
        <f t="array" ref="Y77">IF(Y$8=-1,Z77,IF(Y$8=99,X77,IF(Y$8=0,INDEX($E77:$I77,0,Y$6),(INDEX($E77:$I77,0,Y$8+1)-INDEX($E77:$I77,0,Y$8))/(INDEX($D$5:$H$5,0,Y$8+1)-INDEX($D$5:$H$5,0,Y$8))+X77)))</f>
        <v>0</v>
      </c>
      <c r="Z77" s="8" cm="1">
        <f t="array" ref="Z77">IF(Z$8=-1,AA77,IF(Z$8=99,Y77,IF(Z$8=0,INDEX($E77:$I77,0,Z$6),(INDEX($E77:$I77,0,Z$8+1)-INDEX($E77:$I77,0,Z$8))/(INDEX($D$5:$H$5,0,Z$8+1)-INDEX($D$5:$H$5,0,Z$8))+Y77)))</f>
        <v>0</v>
      </c>
      <c r="AA77" s="8" cm="1">
        <f t="array" ref="AA77">IF(AA$8=-1,AB77,IF(AA$8=99,Z77,IF(AA$8=0,INDEX($E77:$I77,0,AA$6),(INDEX($E77:$I77,0,AA$8+1)-INDEX($E77:$I77,0,AA$8))/(INDEX($D$5:$H$5,0,AA$8+1)-INDEX($D$5:$H$5,0,AA$8))+Z77)))</f>
        <v>0</v>
      </c>
      <c r="AB77" s="8" cm="1">
        <f t="array" ref="AB77">IF(AB$8=-1,AC77,IF(AB$8=99,AA77,IF(AB$8=0,INDEX($E77:$I77,0,AB$6),(INDEX($E77:$I77,0,AB$8+1)-INDEX($E77:$I77,0,AB$8))/(INDEX($D$5:$H$5,0,AB$8+1)-INDEX($D$5:$H$5,0,AB$8))+AA77)))</f>
        <v>0</v>
      </c>
      <c r="AC77" s="8" cm="1">
        <f t="array" ref="AC77">IF(AC$8=-1,AD77,IF(AC$8=99,AB77,IF(AC$8=0,INDEX($E77:$I77,0,AC$6),(INDEX($E77:$I77,0,AC$8+1)-INDEX($E77:$I77,0,AC$8))/(INDEX($D$5:$H$5,0,AC$8+1)-INDEX($D$5:$H$5,0,AC$8))+AB77)))</f>
        <v>0</v>
      </c>
      <c r="AD77" s="8" cm="1">
        <f t="array" ref="AD77">IF(AD$8=-1,AE77,IF(AD$8=99,AC77,IF(AD$8=0,INDEX($E77:$I77,0,AD$6),(INDEX($E77:$I77,0,AD$8+1)-INDEX($E77:$I77,0,AD$8))/(INDEX($D$5:$H$5,0,AD$8+1)-INDEX($D$5:$H$5,0,AD$8))+AC77)))</f>
        <v>0</v>
      </c>
      <c r="AE77" s="8" cm="1">
        <f t="array" ref="AE77">IF(AE$8=-1,AF77,IF(AE$8=99,AD77,IF(AE$8=0,INDEX($E77:$I77,0,AE$6),(INDEX($E77:$I77,0,AE$8+1)-INDEX($E77:$I77,0,AE$8))/(INDEX($D$5:$H$5,0,AE$8+1)-INDEX($D$5:$H$5,0,AE$8))+AD77)))</f>
        <v>0</v>
      </c>
      <c r="AF77" s="8" cm="1">
        <f t="array" ref="AF77">IF(AF$8=-1,AG77,IF(AF$8=99,AE77,IF(AF$8=0,INDEX($E77:$I77,0,AF$6),(INDEX($E77:$I77,0,AF$8+1)-INDEX($E77:$I77,0,AF$8))/(INDEX($D$5:$H$5,0,AF$8+1)-INDEX($D$5:$H$5,0,AF$8))+AE77)))</f>
        <v>0</v>
      </c>
      <c r="AG77" s="8" cm="1">
        <f t="array" ref="AG77">IF(AG$8=-1,AH77,IF(AG$8=99,AF77,IF(AG$8=0,INDEX($E77:$I77,0,AG$6),(INDEX($E77:$I77,0,AG$8+1)-INDEX($E77:$I77,0,AG$8))/(INDEX($D$5:$H$5,0,AG$8+1)-INDEX($D$5:$H$5,0,AG$8))+AF77)))</f>
        <v>0</v>
      </c>
      <c r="AH77" s="8" cm="1">
        <f t="array" ref="AH77">IF(AH$8=-1,AI77,IF(AH$8=99,AG77,IF(AH$8=0,INDEX($E77:$I77,0,AH$6),(INDEX($E77:$I77,0,AH$8+1)-INDEX($E77:$I77,0,AH$8))/(INDEX($D$5:$H$5,0,AH$8+1)-INDEX($D$5:$H$5,0,AH$8))+AG77)))</f>
        <v>0</v>
      </c>
      <c r="AI77" s="8" cm="1">
        <f t="array" ref="AI77">IF(AI$8=-1,AJ77,IF(AI$8=99,AH77,IF(AI$8=0,INDEX($E77:$I77,0,AI$6),(INDEX($E77:$I77,0,AI$8+1)-INDEX($E77:$I77,0,AI$8))/(INDEX($D$5:$H$5,0,AI$8+1)-INDEX($D$5:$H$5,0,AI$8))+AH77)))</f>
        <v>0</v>
      </c>
      <c r="AJ77" s="8" cm="1">
        <f t="array" ref="AJ77">IF(AJ$8=-1,AK77,IF(AJ$8=99,AI77,IF(AJ$8=0,INDEX($E77:$I77,0,AJ$6),(INDEX($E77:$I77,0,AJ$8+1)-INDEX($E77:$I77,0,AJ$8))/(INDEX($D$5:$H$5,0,AJ$8+1)-INDEX($D$5:$H$5,0,AJ$8))+AI77)))</f>
        <v>0</v>
      </c>
      <c r="AK77" s="8" cm="1">
        <f t="array" ref="AK77">IF(AK$8=-1,AL77,IF(AK$8=99,AJ77,IF(AK$8=0,INDEX($E77:$I77,0,AK$6),(INDEX($E77:$I77,0,AK$8+1)-INDEX($E77:$I77,0,AK$8))/(INDEX($D$5:$H$5,0,AK$8+1)-INDEX($D$5:$H$5,0,AK$8))+AJ77)))</f>
        <v>0</v>
      </c>
      <c r="AL77" s="8" cm="1">
        <f t="array" ref="AL77">IF(AL$8=-1,AM77,IF(AL$8=99,AK77,IF(AL$8=0,INDEX($E77:$I77,0,AL$6),(INDEX($E77:$I77,0,AL$8+1)-INDEX($E77:$I77,0,AL$8))/(INDEX($D$5:$H$5,0,AL$8+1)-INDEX($D$5:$H$5,0,AL$8))+AK77)))</f>
        <v>0</v>
      </c>
      <c r="AM77" s="8" cm="1">
        <f t="array" ref="AM77">IF(AM$8=-1,AN77,IF(AM$8=99,AL77,IF(AM$8=0,INDEX($E77:$I77,0,AM$6),(INDEX($E77:$I77,0,AM$8+1)-INDEX($E77:$I77,0,AM$8))/(INDEX($D$5:$H$5,0,AM$8+1)-INDEX($D$5:$H$5,0,AM$8))+AL77)))</f>
        <v>0</v>
      </c>
      <c r="AN77" s="8" cm="1">
        <f t="array" ref="AN77">IF(AN$8=-1,AO77,IF(AN$8=99,AM77,IF(AN$8=0,INDEX($E77:$I77,0,AN$6),(INDEX($E77:$I77,0,AN$8+1)-INDEX($E77:$I77,0,AN$8))/(INDEX($D$5:$H$5,0,AN$8+1)-INDEX($D$5:$H$5,0,AN$8))+AM77)))</f>
        <v>0</v>
      </c>
      <c r="AO77" s="8" cm="1">
        <f t="array" ref="AO77">IF(AO$8=-1,AP77,IF(AO$8=99,AN77,IF(AO$8=0,INDEX($E77:$I77,0,AO$6),(INDEX($E77:$I77,0,AO$8+1)-INDEX($E77:$I77,0,AO$8))/(INDEX($D$5:$H$5,0,AO$8+1)-INDEX($D$5:$H$5,0,AO$8))+AN77)))</f>
        <v>0</v>
      </c>
      <c r="AP77" s="8" cm="1">
        <f t="array" ref="AP77">IF(AP$8=-1,AQ77,IF(AP$8=99,AO77,IF(AP$8=0,INDEX($E77:$I77,0,AP$6),(INDEX($E77:$I77,0,AP$8+1)-INDEX($E77:$I77,0,AP$8))/(INDEX($D$5:$H$5,0,AP$8+1)-INDEX($D$5:$H$5,0,AP$8))+AO77)))</f>
        <v>0</v>
      </c>
      <c r="AQ77" s="8" cm="1">
        <f t="array" ref="AQ77">IF(AQ$8=-1,AR77,IF(AQ$8=99,AP77,IF(AQ$8=0,INDEX($E77:$I77,0,AQ$6),(INDEX($E77:$I77,0,AQ$8+1)-INDEX($E77:$I77,0,AQ$8))/(INDEX($D$5:$H$5,0,AQ$8+1)-INDEX($D$5:$H$5,0,AQ$8))+AP77)))</f>
        <v>0</v>
      </c>
      <c r="AR77" s="8" cm="1">
        <f t="array" ref="AR77">IF(AR$8=-1,AS77,IF(AR$8=99,AQ77,IF(AR$8=0,INDEX($E77:$I77,0,AR$6),(INDEX($E77:$I77,0,AR$8+1)-INDEX($E77:$I77,0,AR$8))/(INDEX($D$5:$H$5,0,AR$8+1)-INDEX($D$5:$H$5,0,AR$8))+AQ77)))</f>
        <v>0</v>
      </c>
      <c r="AS77" s="8" cm="1">
        <f t="array" ref="AS77">IF(AS$8=-1,AT77,IF(AS$8=99,AR77,IF(AS$8=0,INDEX($E77:$I77,0,AS$6),(INDEX($E77:$I77,0,AS$8+1)-INDEX($E77:$I77,0,AS$8))/(INDEX($D$5:$H$5,0,AS$8+1)-INDEX($D$5:$H$5,0,AS$8))+AR77)))</f>
        <v>0</v>
      </c>
      <c r="AT77" s="8" cm="1">
        <f t="array" ref="AT77">IF(AT$8=-1,AU77,IF(AT$8=99,AS77,IF(AT$8=0,INDEX($E77:$I77,0,AT$6),(INDEX($E77:$I77,0,AT$8+1)-INDEX($E77:$I77,0,AT$8))/(INDEX($D$5:$H$5,0,AT$8+1)-INDEX($D$5:$H$5,0,AT$8))+AS77)))</f>
        <v>0</v>
      </c>
      <c r="AU77" s="8" cm="1">
        <f t="array" ref="AU77">IF(AU$8=-1,AV77,IF(AU$8=99,AT77,IF(AU$8=0,INDEX($E77:$I77,0,AU$6),(INDEX($E77:$I77,0,AU$8+1)-INDEX($E77:$I77,0,AU$8))/(INDEX($D$5:$H$5,0,AU$8+1)-INDEX($D$5:$H$5,0,AU$8))+AT77)))</f>
        <v>0</v>
      </c>
      <c r="AV77" s="8" cm="1">
        <f t="array" ref="AV77">IF(AV$8=-1,AW77,IF(AV$8=99,AU77,IF(AV$8=0,INDEX($E77:$I77,0,AV$6),(INDEX($E77:$I77,0,AV$8+1)-INDEX($E77:$I77,0,AV$8))/(INDEX($D$5:$H$5,0,AV$8+1)-INDEX($D$5:$H$5,0,AV$8))+AU77)))</f>
        <v>0</v>
      </c>
    </row>
    <row r="78" spans="1:48">
      <c r="A78" s="185" t="s">
        <v>16</v>
      </c>
      <c r="B78" s="263" t="s">
        <v>247</v>
      </c>
      <c r="C78" s="87" t="str">
        <f t="shared" si="23"/>
        <v>Commercial - Other</v>
      </c>
      <c r="D78" s="87" t="s">
        <v>75</v>
      </c>
      <c r="E78" s="96">
        <f>$D64/J$23</f>
        <v>141.24997285391134</v>
      </c>
      <c r="F78" s="104">
        <f t="shared" si="26"/>
        <v>122.09850463575508</v>
      </c>
      <c r="G78" s="104">
        <f t="shared" si="24"/>
        <v>122.09850463575508</v>
      </c>
      <c r="H78" s="104">
        <f t="shared" si="27"/>
        <v>122.09850463575508</v>
      </c>
      <c r="I78" s="150">
        <f t="shared" si="24"/>
        <v>122.09850463575508</v>
      </c>
      <c r="J78" s="8" cm="1">
        <f t="array" ref="J78">IF(J$8=-1,K78,IF(J$8=99,I78,IF(J$8=0,INDEX($E78:$I78,0,J$6),(INDEX($E78:$I78,0,J$8+1)-INDEX($E78:$I78,0,J$8))/(INDEX($D$5:$H$5,0,J$8+1)-INDEX($D$5:$H$5,0,J$8))+I78)))</f>
        <v>141.24997285391134</v>
      </c>
      <c r="K78" s="8" cm="1">
        <f t="array" ref="K78">IF(K$8=-1,L78,IF(K$8=99,J78,IF(K$8=0,INDEX($E78:$I78,0,K$6),(INDEX($E78:$I78,0,K$8+1)-INDEX($E78:$I78,0,K$8))/(INDEX($D$5:$H$5,0,K$8+1)-INDEX($D$5:$H$5,0,K$8))+J78)))</f>
        <v>137.41967921028009</v>
      </c>
      <c r="L78" s="8" cm="1">
        <f t="array" ref="L78">IF(L$8=-1,M78,IF(L$8=99,K78,IF(L$8=0,INDEX($E78:$I78,0,L$6),(INDEX($E78:$I78,0,L$8+1)-INDEX($E78:$I78,0,L$8))/(INDEX($D$5:$H$5,0,L$8+1)-INDEX($D$5:$H$5,0,L$8))+K78)))</f>
        <v>133.58938556664884</v>
      </c>
      <c r="M78" s="8" cm="1">
        <f t="array" ref="M78">IF(M$8=-1,N78,IF(M$8=99,L78,IF(M$8=0,INDEX($E78:$I78,0,M$6),(INDEX($E78:$I78,0,M$8+1)-INDEX($E78:$I78,0,M$8))/(INDEX($D$5:$H$5,0,M$8+1)-INDEX($D$5:$H$5,0,M$8))+L78)))</f>
        <v>129.75909192301759</v>
      </c>
      <c r="N78" s="8" cm="1">
        <f t="array" ref="N78">IF(N$8=-1,O78,IF(N$8=99,M78,IF(N$8=0,INDEX($E78:$I78,0,N$6),(INDEX($E78:$I78,0,N$8+1)-INDEX($E78:$I78,0,N$8))/(INDEX($D$5:$H$5,0,N$8+1)-INDEX($D$5:$H$5,0,N$8))+M78)))</f>
        <v>125.92879827938634</v>
      </c>
      <c r="O78" s="8" cm="1">
        <f t="array" ref="O78">IF(O$8=-1,P78,IF(O$8=99,N78,IF(O$8=0,INDEX($E78:$I78,0,O$6),(INDEX($E78:$I78,0,O$8+1)-INDEX($E78:$I78,0,O$8))/(INDEX($D$5:$H$5,0,O$8+1)-INDEX($D$5:$H$5,0,O$8))+N78)))</f>
        <v>122.09850463575508</v>
      </c>
      <c r="P78" s="8" cm="1">
        <f t="array" ref="P78">IF(P$8=-1,Q78,IF(P$8=99,O78,IF(P$8=0,INDEX($E78:$I78,0,P$6),(INDEX($E78:$I78,0,P$8+1)-INDEX($E78:$I78,0,P$8))/(INDEX($D$5:$H$5,0,P$8+1)-INDEX($D$5:$H$5,0,P$8))+O78)))</f>
        <v>122.09850463575508</v>
      </c>
      <c r="Q78" s="8" cm="1">
        <f t="array" ref="Q78">IF(Q$8=-1,R78,IF(Q$8=99,P78,IF(Q$8=0,INDEX($E78:$I78,0,Q$6),(INDEX($E78:$I78,0,Q$8+1)-INDEX($E78:$I78,0,Q$8))/(INDEX($D$5:$H$5,0,Q$8+1)-INDEX($D$5:$H$5,0,Q$8))+P78)))</f>
        <v>122.09850463575508</v>
      </c>
      <c r="R78" s="8" cm="1">
        <f t="array" ref="R78">IF(R$8=-1,S78,IF(R$8=99,Q78,IF(R$8=0,INDEX($E78:$I78,0,R$6),(INDEX($E78:$I78,0,R$8+1)-INDEX($E78:$I78,0,R$8))/(INDEX($D$5:$H$5,0,R$8+1)-INDEX($D$5:$H$5,0,R$8))+Q78)))</f>
        <v>122.09850463575508</v>
      </c>
      <c r="S78" s="8" cm="1">
        <f t="array" ref="S78">IF(S$8=-1,T78,IF(S$8=99,R78,IF(S$8=0,INDEX($E78:$I78,0,S$6),(INDEX($E78:$I78,0,S$8+1)-INDEX($E78:$I78,0,S$8))/(INDEX($D$5:$H$5,0,S$8+1)-INDEX($D$5:$H$5,0,S$8))+R78)))</f>
        <v>122.09850463575508</v>
      </c>
      <c r="T78" s="8" cm="1">
        <f t="array" ref="T78">IF(T$8=-1,U78,IF(T$8=99,S78,IF(T$8=0,INDEX($E78:$I78,0,T$6),(INDEX($E78:$I78,0,T$8+1)-INDEX($E78:$I78,0,T$8))/(INDEX($D$5:$H$5,0,T$8+1)-INDEX($D$5:$H$5,0,T$8))+S78)))</f>
        <v>122.09850463575508</v>
      </c>
      <c r="U78" s="8" cm="1">
        <f t="array" ref="U78">IF(U$8=-1,V78,IF(U$8=99,T78,IF(U$8=0,INDEX($E78:$I78,0,U$6),(INDEX($E78:$I78,0,U$8+1)-INDEX($E78:$I78,0,U$8))/(INDEX($D$5:$H$5,0,U$8+1)-INDEX($D$5:$H$5,0,U$8))+T78)))</f>
        <v>122.09850463575508</v>
      </c>
      <c r="V78" s="8" cm="1">
        <f t="array" ref="V78">IF(V$8=-1,W78,IF(V$8=99,U78,IF(V$8=0,INDEX($E78:$I78,0,V$6),(INDEX($E78:$I78,0,V$8+1)-INDEX($E78:$I78,0,V$8))/(INDEX($D$5:$H$5,0,V$8+1)-INDEX($D$5:$H$5,0,V$8))+U78)))</f>
        <v>122.09850463575508</v>
      </c>
      <c r="W78" s="8" cm="1">
        <f t="array" ref="W78">IF(W$8=-1,X78,IF(W$8=99,V78,IF(W$8=0,INDEX($E78:$I78,0,W$6),(INDEX($E78:$I78,0,W$8+1)-INDEX($E78:$I78,0,W$8))/(INDEX($D$5:$H$5,0,W$8+1)-INDEX($D$5:$H$5,0,W$8))+V78)))</f>
        <v>122.09850463575508</v>
      </c>
      <c r="X78" s="8" cm="1">
        <f t="array" ref="X78">IF(X$8=-1,Y78,IF(X$8=99,W78,IF(X$8=0,INDEX($E78:$I78,0,X$6),(INDEX($E78:$I78,0,X$8+1)-INDEX($E78:$I78,0,X$8))/(INDEX($D$5:$H$5,0,X$8+1)-INDEX($D$5:$H$5,0,X$8))+W78)))</f>
        <v>122.09850463575508</v>
      </c>
      <c r="Y78" s="8" cm="1">
        <f t="array" ref="Y78">IF(Y$8=-1,Z78,IF(Y$8=99,X78,IF(Y$8=0,INDEX($E78:$I78,0,Y$6),(INDEX($E78:$I78,0,Y$8+1)-INDEX($E78:$I78,0,Y$8))/(INDEX($D$5:$H$5,0,Y$8+1)-INDEX($D$5:$H$5,0,Y$8))+X78)))</f>
        <v>122.09850463575508</v>
      </c>
      <c r="Z78" s="8" cm="1">
        <f t="array" ref="Z78">IF(Z$8=-1,AA78,IF(Z$8=99,Y78,IF(Z$8=0,INDEX($E78:$I78,0,Z$6),(INDEX($E78:$I78,0,Z$8+1)-INDEX($E78:$I78,0,Z$8))/(INDEX($D$5:$H$5,0,Z$8+1)-INDEX($D$5:$H$5,0,Z$8))+Y78)))</f>
        <v>122.09850463575508</v>
      </c>
      <c r="AA78" s="8" cm="1">
        <f t="array" ref="AA78">IF(AA$8=-1,AB78,IF(AA$8=99,Z78,IF(AA$8=0,INDEX($E78:$I78,0,AA$6),(INDEX($E78:$I78,0,AA$8+1)-INDEX($E78:$I78,0,AA$8))/(INDEX($D$5:$H$5,0,AA$8+1)-INDEX($D$5:$H$5,0,AA$8))+Z78)))</f>
        <v>122.09850463575508</v>
      </c>
      <c r="AB78" s="8" cm="1">
        <f t="array" ref="AB78">IF(AB$8=-1,AC78,IF(AB$8=99,AA78,IF(AB$8=0,INDEX($E78:$I78,0,AB$6),(INDEX($E78:$I78,0,AB$8+1)-INDEX($E78:$I78,0,AB$8))/(INDEX($D$5:$H$5,0,AB$8+1)-INDEX($D$5:$H$5,0,AB$8))+AA78)))</f>
        <v>122.09850463575508</v>
      </c>
      <c r="AC78" s="8" cm="1">
        <f t="array" ref="AC78">IF(AC$8=-1,AD78,IF(AC$8=99,AB78,IF(AC$8=0,INDEX($E78:$I78,0,AC$6),(INDEX($E78:$I78,0,AC$8+1)-INDEX($E78:$I78,0,AC$8))/(INDEX($D$5:$H$5,0,AC$8+1)-INDEX($D$5:$H$5,0,AC$8))+AB78)))</f>
        <v>122.09850463575508</v>
      </c>
      <c r="AD78" s="8" cm="1">
        <f t="array" ref="AD78">IF(AD$8=-1,AE78,IF(AD$8=99,AC78,IF(AD$8=0,INDEX($E78:$I78,0,AD$6),(INDEX($E78:$I78,0,AD$8+1)-INDEX($E78:$I78,0,AD$8))/(INDEX($D$5:$H$5,0,AD$8+1)-INDEX($D$5:$H$5,0,AD$8))+AC78)))</f>
        <v>122.09850463575508</v>
      </c>
      <c r="AE78" s="8" cm="1">
        <f t="array" ref="AE78">IF(AE$8=-1,AF78,IF(AE$8=99,AD78,IF(AE$8=0,INDEX($E78:$I78,0,AE$6),(INDEX($E78:$I78,0,AE$8+1)-INDEX($E78:$I78,0,AE$8))/(INDEX($D$5:$H$5,0,AE$8+1)-INDEX($D$5:$H$5,0,AE$8))+AD78)))</f>
        <v>122.09850463575508</v>
      </c>
      <c r="AF78" s="8" cm="1">
        <f t="array" ref="AF78">IF(AF$8=-1,AG78,IF(AF$8=99,AE78,IF(AF$8=0,INDEX($E78:$I78,0,AF$6),(INDEX($E78:$I78,0,AF$8+1)-INDEX($E78:$I78,0,AF$8))/(INDEX($D$5:$H$5,0,AF$8+1)-INDEX($D$5:$H$5,0,AF$8))+AE78)))</f>
        <v>122.09850463575508</v>
      </c>
      <c r="AG78" s="8" cm="1">
        <f t="array" ref="AG78">IF(AG$8=-1,AH78,IF(AG$8=99,AF78,IF(AG$8=0,INDEX($E78:$I78,0,AG$6),(INDEX($E78:$I78,0,AG$8+1)-INDEX($E78:$I78,0,AG$8))/(INDEX($D$5:$H$5,0,AG$8+1)-INDEX($D$5:$H$5,0,AG$8))+AF78)))</f>
        <v>122.09850463575508</v>
      </c>
      <c r="AH78" s="8" cm="1">
        <f t="array" ref="AH78">IF(AH$8=-1,AI78,IF(AH$8=99,AG78,IF(AH$8=0,INDEX($E78:$I78,0,AH$6),(INDEX($E78:$I78,0,AH$8+1)-INDEX($E78:$I78,0,AH$8))/(INDEX($D$5:$H$5,0,AH$8+1)-INDEX($D$5:$H$5,0,AH$8))+AG78)))</f>
        <v>122.09850463575508</v>
      </c>
      <c r="AI78" s="8" cm="1">
        <f t="array" ref="AI78">IF(AI$8=-1,AJ78,IF(AI$8=99,AH78,IF(AI$8=0,INDEX($E78:$I78,0,AI$6),(INDEX($E78:$I78,0,AI$8+1)-INDEX($E78:$I78,0,AI$8))/(INDEX($D$5:$H$5,0,AI$8+1)-INDEX($D$5:$H$5,0,AI$8))+AH78)))</f>
        <v>122.09850463575508</v>
      </c>
      <c r="AJ78" s="8" cm="1">
        <f t="array" ref="AJ78">IF(AJ$8=-1,AK78,IF(AJ$8=99,AI78,IF(AJ$8=0,INDEX($E78:$I78,0,AJ$6),(INDEX($E78:$I78,0,AJ$8+1)-INDEX($E78:$I78,0,AJ$8))/(INDEX($D$5:$H$5,0,AJ$8+1)-INDEX($D$5:$H$5,0,AJ$8))+AI78)))</f>
        <v>122.09850463575508</v>
      </c>
      <c r="AK78" s="8" cm="1">
        <f t="array" ref="AK78">IF(AK$8=-1,AL78,IF(AK$8=99,AJ78,IF(AK$8=0,INDEX($E78:$I78,0,AK$6),(INDEX($E78:$I78,0,AK$8+1)-INDEX($E78:$I78,0,AK$8))/(INDEX($D$5:$H$5,0,AK$8+1)-INDEX($D$5:$H$5,0,AK$8))+AJ78)))</f>
        <v>122.09850463575508</v>
      </c>
      <c r="AL78" s="8" cm="1">
        <f t="array" ref="AL78">IF(AL$8=-1,AM78,IF(AL$8=99,AK78,IF(AL$8=0,INDEX($E78:$I78,0,AL$6),(INDEX($E78:$I78,0,AL$8+1)-INDEX($E78:$I78,0,AL$8))/(INDEX($D$5:$H$5,0,AL$8+1)-INDEX($D$5:$H$5,0,AL$8))+AK78)))</f>
        <v>122.09850463575508</v>
      </c>
      <c r="AM78" s="8" cm="1">
        <f t="array" ref="AM78">IF(AM$8=-1,AN78,IF(AM$8=99,AL78,IF(AM$8=0,INDEX($E78:$I78,0,AM$6),(INDEX($E78:$I78,0,AM$8+1)-INDEX($E78:$I78,0,AM$8))/(INDEX($D$5:$H$5,0,AM$8+1)-INDEX($D$5:$H$5,0,AM$8))+AL78)))</f>
        <v>122.09850463575508</v>
      </c>
      <c r="AN78" s="8" cm="1">
        <f t="array" ref="AN78">IF(AN$8=-1,AO78,IF(AN$8=99,AM78,IF(AN$8=0,INDEX($E78:$I78,0,AN$6),(INDEX($E78:$I78,0,AN$8+1)-INDEX($E78:$I78,0,AN$8))/(INDEX($D$5:$H$5,0,AN$8+1)-INDEX($D$5:$H$5,0,AN$8))+AM78)))</f>
        <v>122.09850463575508</v>
      </c>
      <c r="AO78" s="8" cm="1">
        <f t="array" ref="AO78">IF(AO$8=-1,AP78,IF(AO$8=99,AN78,IF(AO$8=0,INDEX($E78:$I78,0,AO$6),(INDEX($E78:$I78,0,AO$8+1)-INDEX($E78:$I78,0,AO$8))/(INDEX($D$5:$H$5,0,AO$8+1)-INDEX($D$5:$H$5,0,AO$8))+AN78)))</f>
        <v>122.09850463575508</v>
      </c>
      <c r="AP78" s="8" cm="1">
        <f t="array" ref="AP78">IF(AP$8=-1,AQ78,IF(AP$8=99,AO78,IF(AP$8=0,INDEX($E78:$I78,0,AP$6),(INDEX($E78:$I78,0,AP$8+1)-INDEX($E78:$I78,0,AP$8))/(INDEX($D$5:$H$5,0,AP$8+1)-INDEX($D$5:$H$5,0,AP$8))+AO78)))</f>
        <v>122.09850463575508</v>
      </c>
      <c r="AQ78" s="8" cm="1">
        <f t="array" ref="AQ78">IF(AQ$8=-1,AR78,IF(AQ$8=99,AP78,IF(AQ$8=0,INDEX($E78:$I78,0,AQ$6),(INDEX($E78:$I78,0,AQ$8+1)-INDEX($E78:$I78,0,AQ$8))/(INDEX($D$5:$H$5,0,AQ$8+1)-INDEX($D$5:$H$5,0,AQ$8))+AP78)))</f>
        <v>122.09850463575508</v>
      </c>
      <c r="AR78" s="8" cm="1">
        <f t="array" ref="AR78">IF(AR$8=-1,AS78,IF(AR$8=99,AQ78,IF(AR$8=0,INDEX($E78:$I78,0,AR$6),(INDEX($E78:$I78,0,AR$8+1)-INDEX($E78:$I78,0,AR$8))/(INDEX($D$5:$H$5,0,AR$8+1)-INDEX($D$5:$H$5,0,AR$8))+AQ78)))</f>
        <v>122.09850463575508</v>
      </c>
      <c r="AS78" s="8" cm="1">
        <f t="array" ref="AS78">IF(AS$8=-1,AT78,IF(AS$8=99,AR78,IF(AS$8=0,INDEX($E78:$I78,0,AS$6),(INDEX($E78:$I78,0,AS$8+1)-INDEX($E78:$I78,0,AS$8))/(INDEX($D$5:$H$5,0,AS$8+1)-INDEX($D$5:$H$5,0,AS$8))+AR78)))</f>
        <v>122.09850463575508</v>
      </c>
      <c r="AT78" s="8" cm="1">
        <f t="array" ref="AT78">IF(AT$8=-1,AU78,IF(AT$8=99,AS78,IF(AT$8=0,INDEX($E78:$I78,0,AT$6),(INDEX($E78:$I78,0,AT$8+1)-INDEX($E78:$I78,0,AT$8))/(INDEX($D$5:$H$5,0,AT$8+1)-INDEX($D$5:$H$5,0,AT$8))+AS78)))</f>
        <v>122.09850463575508</v>
      </c>
      <c r="AU78" s="8" cm="1">
        <f t="array" ref="AU78">IF(AU$8=-1,AV78,IF(AU$8=99,AT78,IF(AU$8=0,INDEX($E78:$I78,0,AU$6),(INDEX($E78:$I78,0,AU$8+1)-INDEX($E78:$I78,0,AU$8))/(INDEX($D$5:$H$5,0,AU$8+1)-INDEX($D$5:$H$5,0,AU$8))+AT78)))</f>
        <v>122.09850463575508</v>
      </c>
      <c r="AV78" s="8" cm="1">
        <f t="array" ref="AV78">IF(AV$8=-1,AW78,IF(AV$8=99,AU78,IF(AV$8=0,INDEX($E78:$I78,0,AV$6),(INDEX($E78:$I78,0,AV$8+1)-INDEX($E78:$I78,0,AV$8))/(INDEX($D$5:$H$5,0,AV$8+1)-INDEX($D$5:$H$5,0,AV$8))+AU78)))</f>
        <v>122.09850463575508</v>
      </c>
    </row>
    <row r="79" spans="1:48">
      <c r="A79" s="185" t="s">
        <v>16</v>
      </c>
      <c r="B79" s="263"/>
      <c r="I79" s="170"/>
      <c r="K79" s="185"/>
      <c r="L79" s="185"/>
      <c r="M79" s="185"/>
      <c r="N79" s="185"/>
      <c r="O79" s="185"/>
      <c r="P79" s="185"/>
      <c r="Q79" s="185"/>
      <c r="R79" s="8"/>
      <c r="S79" s="185"/>
      <c r="T79" s="185"/>
      <c r="U79" s="185"/>
      <c r="V79" s="185"/>
      <c r="W79" s="185"/>
      <c r="X79" s="185"/>
      <c r="Y79" s="185"/>
      <c r="Z79" s="185"/>
      <c r="AA79" s="185"/>
      <c r="AB79" s="185"/>
      <c r="AC79" s="185"/>
      <c r="AD79" s="185"/>
      <c r="AE79" s="185"/>
      <c r="AF79" s="185"/>
      <c r="AG79" s="185"/>
      <c r="AH79" s="185"/>
      <c r="AI79" s="185"/>
      <c r="AJ79" s="185"/>
      <c r="AK79" s="185"/>
      <c r="AL79" s="185"/>
      <c r="AM79" s="185"/>
      <c r="AN79" s="185"/>
      <c r="AO79" s="185"/>
      <c r="AP79" s="185"/>
      <c r="AQ79" s="185"/>
      <c r="AR79" s="185"/>
      <c r="AS79" s="185"/>
      <c r="AT79" s="185"/>
      <c r="AU79" s="185"/>
      <c r="AV79" s="185"/>
    </row>
    <row r="80" spans="1:48" ht="15.75" thickBot="1">
      <c r="A80" s="185" t="s">
        <v>16</v>
      </c>
      <c r="B80" s="103" t="s">
        <v>77</v>
      </c>
      <c r="C80" s="84"/>
      <c r="D80" s="85"/>
      <c r="H80" s="143"/>
      <c r="I80" s="151"/>
      <c r="K80" s="87"/>
    </row>
    <row r="81" spans="1:48">
      <c r="A81" s="185" t="s">
        <v>16</v>
      </c>
      <c r="B81" s="263" t="s">
        <v>248</v>
      </c>
      <c r="C81" s="87" t="str">
        <f t="shared" ref="C81:C89" si="28">C70</f>
        <v>Commercial - Cooling</v>
      </c>
      <c r="D81" s="87" t="s">
        <v>75</v>
      </c>
      <c r="E81" s="96">
        <f>E70</f>
        <v>1051.567060091292</v>
      </c>
      <c r="F81" s="104">
        <f>F70</f>
        <v>863.94535743263168</v>
      </c>
      <c r="G81" s="104">
        <f t="shared" ref="G81:G89" si="29">F81</f>
        <v>863.94535743263168</v>
      </c>
      <c r="H81" s="104">
        <f>IF($L$57=-1,G81,((F81-E81)*2/5+E81)*(1+$H$69))</f>
        <v>863.94535743263168</v>
      </c>
      <c r="I81" s="150">
        <f t="shared" ref="I81:I89" si="30">H81</f>
        <v>863.94535743263168</v>
      </c>
      <c r="J81" s="8" cm="1">
        <f t="array" ref="J81">IF(J$8=-1,K81,IF(J$8=99,I81,IF(J$8=0,INDEX($E81:$I81,0,J$6),(INDEX($E81:$I81,0,J$8+1)-INDEX($E81:$I81,0,J$8))/(INDEX($D$5:$H$5,0,J$8+1)-INDEX($D$5:$H$5,0,J$8))+I81)))</f>
        <v>1051.567060091292</v>
      </c>
      <c r="K81" s="8" cm="1">
        <f t="array" ref="K81">IF(K$8=-1,L81,IF(K$8=99,J81,IF(K$8=0,INDEX($E81:$I81,0,K$6),(INDEX($E81:$I81,0,K$8+1)-INDEX($E81:$I81,0,K$8))/(INDEX($D$5:$H$5,0,K$8+1)-INDEX($D$5:$H$5,0,K$8))+J81)))</f>
        <v>1014.0427195595599</v>
      </c>
      <c r="L81" s="8" cm="1">
        <f t="array" ref="L81">IF(L$8=-1,M81,IF(L$8=99,K81,IF(L$8=0,INDEX($E81:$I81,0,L$6),(INDEX($E81:$I81,0,L$8+1)-INDEX($E81:$I81,0,L$8))/(INDEX($D$5:$H$5,0,L$8+1)-INDEX($D$5:$H$5,0,L$8))+K81)))</f>
        <v>976.5183790278279</v>
      </c>
      <c r="M81" s="8" cm="1">
        <f t="array" ref="M81">IF(M$8=-1,N81,IF(M$8=99,L81,IF(M$8=0,INDEX($E81:$I81,0,M$6),(INDEX($E81:$I81,0,M$8+1)-INDEX($E81:$I81,0,M$8))/(INDEX($D$5:$H$5,0,M$8+1)-INDEX($D$5:$H$5,0,M$8))+L81)))</f>
        <v>938.99403849609587</v>
      </c>
      <c r="N81" s="8" cm="1">
        <f t="array" ref="N81">IF(N$8=-1,O81,IF(N$8=99,M81,IF(N$8=0,INDEX($E81:$I81,0,N$6),(INDEX($E81:$I81,0,N$8+1)-INDEX($E81:$I81,0,N$8))/(INDEX($D$5:$H$5,0,N$8+1)-INDEX($D$5:$H$5,0,N$8))+M81)))</f>
        <v>901.46969796436383</v>
      </c>
      <c r="O81" s="8" cm="1">
        <f t="array" ref="O81">IF(O$8=-1,P81,IF(O$8=99,N81,IF(O$8=0,INDEX($E81:$I81,0,O$6),(INDEX($E81:$I81,0,O$8+1)-INDEX($E81:$I81,0,O$8))/(INDEX($D$5:$H$5,0,O$8+1)-INDEX($D$5:$H$5,0,O$8))+N81)))</f>
        <v>863.94535743263168</v>
      </c>
      <c r="P81" s="8" cm="1">
        <f t="array" ref="P81">IF(P$8=-1,Q81,IF(P$8=99,O81,IF(P$8=0,INDEX($E81:$I81,0,P$6),(INDEX($E81:$I81,0,P$8+1)-INDEX($E81:$I81,0,P$8))/(INDEX($D$5:$H$5,0,P$8+1)-INDEX($D$5:$H$5,0,P$8))+O81)))</f>
        <v>863.94535743263168</v>
      </c>
      <c r="Q81" s="8" cm="1">
        <f t="array" ref="Q81">IF(Q$8=-1,R81,IF(Q$8=99,P81,IF(Q$8=0,INDEX($E81:$I81,0,Q$6),(INDEX($E81:$I81,0,Q$8+1)-INDEX($E81:$I81,0,Q$8))/(INDEX($D$5:$H$5,0,Q$8+1)-INDEX($D$5:$H$5,0,Q$8))+P81)))</f>
        <v>863.94535743263168</v>
      </c>
      <c r="R81" s="8" cm="1">
        <f t="array" ref="R81">IF(R$8=-1,S81,IF(R$8=99,Q81,IF(R$8=0,INDEX($E81:$I81,0,R$6),(INDEX($E81:$I81,0,R$8+1)-INDEX($E81:$I81,0,R$8))/(INDEX($D$5:$H$5,0,R$8+1)-INDEX($D$5:$H$5,0,R$8))+Q81)))</f>
        <v>863.94535743263168</v>
      </c>
      <c r="S81" s="8" cm="1">
        <f t="array" ref="S81">IF(S$8=-1,T81,IF(S$8=99,R81,IF(S$8=0,INDEX($E81:$I81,0,S$6),(INDEX($E81:$I81,0,S$8+1)-INDEX($E81:$I81,0,S$8))/(INDEX($D$5:$H$5,0,S$8+1)-INDEX($D$5:$H$5,0,S$8))+R81)))</f>
        <v>863.94535743263168</v>
      </c>
      <c r="T81" s="8" cm="1">
        <f t="array" ref="T81">IF(T$8=-1,U81,IF(T$8=99,S81,IF(T$8=0,INDEX($E81:$I81,0,T$6),(INDEX($E81:$I81,0,T$8+1)-INDEX($E81:$I81,0,T$8))/(INDEX($D$5:$H$5,0,T$8+1)-INDEX($D$5:$H$5,0,T$8))+S81)))</f>
        <v>863.94535743263168</v>
      </c>
      <c r="U81" s="8" cm="1">
        <f t="array" ref="U81">IF(U$8=-1,V81,IF(U$8=99,T81,IF(U$8=0,INDEX($E81:$I81,0,U$6),(INDEX($E81:$I81,0,U$8+1)-INDEX($E81:$I81,0,U$8))/(INDEX($D$5:$H$5,0,U$8+1)-INDEX($D$5:$H$5,0,U$8))+T81)))</f>
        <v>863.94535743263168</v>
      </c>
      <c r="V81" s="8" cm="1">
        <f t="array" ref="V81">IF(V$8=-1,W81,IF(V$8=99,U81,IF(V$8=0,INDEX($E81:$I81,0,V$6),(INDEX($E81:$I81,0,V$8+1)-INDEX($E81:$I81,0,V$8))/(INDEX($D$5:$H$5,0,V$8+1)-INDEX($D$5:$H$5,0,V$8))+U81)))</f>
        <v>863.94535743263168</v>
      </c>
      <c r="W81" s="8" cm="1">
        <f t="array" ref="W81">IF(W$8=-1,X81,IF(W$8=99,V81,IF(W$8=0,INDEX($E81:$I81,0,W$6),(INDEX($E81:$I81,0,W$8+1)-INDEX($E81:$I81,0,W$8))/(INDEX($D$5:$H$5,0,W$8+1)-INDEX($D$5:$H$5,0,W$8))+V81)))</f>
        <v>863.94535743263168</v>
      </c>
      <c r="X81" s="8" cm="1">
        <f t="array" ref="X81">IF(X$8=-1,Y81,IF(X$8=99,W81,IF(X$8=0,INDEX($E81:$I81,0,X$6),(INDEX($E81:$I81,0,X$8+1)-INDEX($E81:$I81,0,X$8))/(INDEX($D$5:$H$5,0,X$8+1)-INDEX($D$5:$H$5,0,X$8))+W81)))</f>
        <v>863.94535743263168</v>
      </c>
      <c r="Y81" s="8" cm="1">
        <f t="array" ref="Y81">IF(Y$8=-1,Z81,IF(Y$8=99,X81,IF(Y$8=0,INDEX($E81:$I81,0,Y$6),(INDEX($E81:$I81,0,Y$8+1)-INDEX($E81:$I81,0,Y$8))/(INDEX($D$5:$H$5,0,Y$8+1)-INDEX($D$5:$H$5,0,Y$8))+X81)))</f>
        <v>863.94535743263168</v>
      </c>
      <c r="Z81" s="8" cm="1">
        <f t="array" ref="Z81">IF(Z$8=-1,AA81,IF(Z$8=99,Y81,IF(Z$8=0,INDEX($E81:$I81,0,Z$6),(INDEX($E81:$I81,0,Z$8+1)-INDEX($E81:$I81,0,Z$8))/(INDEX($D$5:$H$5,0,Z$8+1)-INDEX($D$5:$H$5,0,Z$8))+Y81)))</f>
        <v>863.94535743263168</v>
      </c>
      <c r="AA81" s="8" cm="1">
        <f t="array" ref="AA81">IF(AA$8=-1,AB81,IF(AA$8=99,Z81,IF(AA$8=0,INDEX($E81:$I81,0,AA$6),(INDEX($E81:$I81,0,AA$8+1)-INDEX($E81:$I81,0,AA$8))/(INDEX($D$5:$H$5,0,AA$8+1)-INDEX($D$5:$H$5,0,AA$8))+Z81)))</f>
        <v>863.94535743263168</v>
      </c>
      <c r="AB81" s="8" cm="1">
        <f t="array" ref="AB81">IF(AB$8=-1,AC81,IF(AB$8=99,AA81,IF(AB$8=0,INDEX($E81:$I81,0,AB$6),(INDEX($E81:$I81,0,AB$8+1)-INDEX($E81:$I81,0,AB$8))/(INDEX($D$5:$H$5,0,AB$8+1)-INDEX($D$5:$H$5,0,AB$8))+AA81)))</f>
        <v>863.94535743263168</v>
      </c>
      <c r="AC81" s="8" cm="1">
        <f t="array" ref="AC81">IF(AC$8=-1,AD81,IF(AC$8=99,AB81,IF(AC$8=0,INDEX($E81:$I81,0,AC$6),(INDEX($E81:$I81,0,AC$8+1)-INDEX($E81:$I81,0,AC$8))/(INDEX($D$5:$H$5,0,AC$8+1)-INDEX($D$5:$H$5,0,AC$8))+AB81)))</f>
        <v>863.94535743263168</v>
      </c>
      <c r="AD81" s="8" cm="1">
        <f t="array" ref="AD81">IF(AD$8=-1,AE81,IF(AD$8=99,AC81,IF(AD$8=0,INDEX($E81:$I81,0,AD$6),(INDEX($E81:$I81,0,AD$8+1)-INDEX($E81:$I81,0,AD$8))/(INDEX($D$5:$H$5,0,AD$8+1)-INDEX($D$5:$H$5,0,AD$8))+AC81)))</f>
        <v>863.94535743263168</v>
      </c>
      <c r="AE81" s="8" cm="1">
        <f t="array" ref="AE81">IF(AE$8=-1,AF81,IF(AE$8=99,AD81,IF(AE$8=0,INDEX($E81:$I81,0,AE$6),(INDEX($E81:$I81,0,AE$8+1)-INDEX($E81:$I81,0,AE$8))/(INDEX($D$5:$H$5,0,AE$8+1)-INDEX($D$5:$H$5,0,AE$8))+AD81)))</f>
        <v>863.94535743263168</v>
      </c>
      <c r="AF81" s="8" cm="1">
        <f t="array" ref="AF81">IF(AF$8=-1,AG81,IF(AF$8=99,AE81,IF(AF$8=0,INDEX($E81:$I81,0,AF$6),(INDEX($E81:$I81,0,AF$8+1)-INDEX($E81:$I81,0,AF$8))/(INDEX($D$5:$H$5,0,AF$8+1)-INDEX($D$5:$H$5,0,AF$8))+AE81)))</f>
        <v>863.94535743263168</v>
      </c>
      <c r="AG81" s="8" cm="1">
        <f t="array" ref="AG81">IF(AG$8=-1,AH81,IF(AG$8=99,AF81,IF(AG$8=0,INDEX($E81:$I81,0,AG$6),(INDEX($E81:$I81,0,AG$8+1)-INDEX($E81:$I81,0,AG$8))/(INDEX($D$5:$H$5,0,AG$8+1)-INDEX($D$5:$H$5,0,AG$8))+AF81)))</f>
        <v>863.94535743263168</v>
      </c>
      <c r="AH81" s="8" cm="1">
        <f t="array" ref="AH81">IF(AH$8=-1,AI81,IF(AH$8=99,AG81,IF(AH$8=0,INDEX($E81:$I81,0,AH$6),(INDEX($E81:$I81,0,AH$8+1)-INDEX($E81:$I81,0,AH$8))/(INDEX($D$5:$H$5,0,AH$8+1)-INDEX($D$5:$H$5,0,AH$8))+AG81)))</f>
        <v>863.94535743263168</v>
      </c>
      <c r="AI81" s="8" cm="1">
        <f t="array" ref="AI81">IF(AI$8=-1,AJ81,IF(AI$8=99,AH81,IF(AI$8=0,INDEX($E81:$I81,0,AI$6),(INDEX($E81:$I81,0,AI$8+1)-INDEX($E81:$I81,0,AI$8))/(INDEX($D$5:$H$5,0,AI$8+1)-INDEX($D$5:$H$5,0,AI$8))+AH81)))</f>
        <v>863.94535743263168</v>
      </c>
      <c r="AJ81" s="8" cm="1">
        <f t="array" ref="AJ81">IF(AJ$8=-1,AK81,IF(AJ$8=99,AI81,IF(AJ$8=0,INDEX($E81:$I81,0,AJ$6),(INDEX($E81:$I81,0,AJ$8+1)-INDEX($E81:$I81,0,AJ$8))/(INDEX($D$5:$H$5,0,AJ$8+1)-INDEX($D$5:$H$5,0,AJ$8))+AI81)))</f>
        <v>863.94535743263168</v>
      </c>
      <c r="AK81" s="8" cm="1">
        <f t="array" ref="AK81">IF(AK$8=-1,AL81,IF(AK$8=99,AJ81,IF(AK$8=0,INDEX($E81:$I81,0,AK$6),(INDEX($E81:$I81,0,AK$8+1)-INDEX($E81:$I81,0,AK$8))/(INDEX($D$5:$H$5,0,AK$8+1)-INDEX($D$5:$H$5,0,AK$8))+AJ81)))</f>
        <v>863.94535743263168</v>
      </c>
      <c r="AL81" s="8" cm="1">
        <f t="array" ref="AL81">IF(AL$8=-1,AM81,IF(AL$8=99,AK81,IF(AL$8=0,INDEX($E81:$I81,0,AL$6),(INDEX($E81:$I81,0,AL$8+1)-INDEX($E81:$I81,0,AL$8))/(INDEX($D$5:$H$5,0,AL$8+1)-INDEX($D$5:$H$5,0,AL$8))+AK81)))</f>
        <v>863.94535743263168</v>
      </c>
      <c r="AM81" s="8" cm="1">
        <f t="array" ref="AM81">IF(AM$8=-1,AN81,IF(AM$8=99,AL81,IF(AM$8=0,INDEX($E81:$I81,0,AM$6),(INDEX($E81:$I81,0,AM$8+1)-INDEX($E81:$I81,0,AM$8))/(INDEX($D$5:$H$5,0,AM$8+1)-INDEX($D$5:$H$5,0,AM$8))+AL81)))</f>
        <v>863.94535743263168</v>
      </c>
      <c r="AN81" s="8" cm="1">
        <f t="array" ref="AN81">IF(AN$8=-1,AO81,IF(AN$8=99,AM81,IF(AN$8=0,INDEX($E81:$I81,0,AN$6),(INDEX($E81:$I81,0,AN$8+1)-INDEX($E81:$I81,0,AN$8))/(INDEX($D$5:$H$5,0,AN$8+1)-INDEX($D$5:$H$5,0,AN$8))+AM81)))</f>
        <v>863.94535743263168</v>
      </c>
      <c r="AO81" s="8" cm="1">
        <f t="array" ref="AO81">IF(AO$8=-1,AP81,IF(AO$8=99,AN81,IF(AO$8=0,INDEX($E81:$I81,0,AO$6),(INDEX($E81:$I81,0,AO$8+1)-INDEX($E81:$I81,0,AO$8))/(INDEX($D$5:$H$5,0,AO$8+1)-INDEX($D$5:$H$5,0,AO$8))+AN81)))</f>
        <v>863.94535743263168</v>
      </c>
      <c r="AP81" s="8" cm="1">
        <f t="array" ref="AP81">IF(AP$8=-1,AQ81,IF(AP$8=99,AO81,IF(AP$8=0,INDEX($E81:$I81,0,AP$6),(INDEX($E81:$I81,0,AP$8+1)-INDEX($E81:$I81,0,AP$8))/(INDEX($D$5:$H$5,0,AP$8+1)-INDEX($D$5:$H$5,0,AP$8))+AO81)))</f>
        <v>863.94535743263168</v>
      </c>
      <c r="AQ81" s="8" cm="1">
        <f t="array" ref="AQ81">IF(AQ$8=-1,AR81,IF(AQ$8=99,AP81,IF(AQ$8=0,INDEX($E81:$I81,0,AQ$6),(INDEX($E81:$I81,0,AQ$8+1)-INDEX($E81:$I81,0,AQ$8))/(INDEX($D$5:$H$5,0,AQ$8+1)-INDEX($D$5:$H$5,0,AQ$8))+AP81)))</f>
        <v>863.94535743263168</v>
      </c>
      <c r="AR81" s="8" cm="1">
        <f t="array" ref="AR81">IF(AR$8=-1,AS81,IF(AR$8=99,AQ81,IF(AR$8=0,INDEX($E81:$I81,0,AR$6),(INDEX($E81:$I81,0,AR$8+1)-INDEX($E81:$I81,0,AR$8))/(INDEX($D$5:$H$5,0,AR$8+1)-INDEX($D$5:$H$5,0,AR$8))+AQ81)))</f>
        <v>863.94535743263168</v>
      </c>
      <c r="AS81" s="8" cm="1">
        <f t="array" ref="AS81">IF(AS$8=-1,AT81,IF(AS$8=99,AR81,IF(AS$8=0,INDEX($E81:$I81,0,AS$6),(INDEX($E81:$I81,0,AS$8+1)-INDEX($E81:$I81,0,AS$8))/(INDEX($D$5:$H$5,0,AS$8+1)-INDEX($D$5:$H$5,0,AS$8))+AR81)))</f>
        <v>863.94535743263168</v>
      </c>
      <c r="AT81" s="8" cm="1">
        <f t="array" ref="AT81">IF(AT$8=-1,AU81,IF(AT$8=99,AS81,IF(AT$8=0,INDEX($E81:$I81,0,AT$6),(INDEX($E81:$I81,0,AT$8+1)-INDEX($E81:$I81,0,AT$8))/(INDEX($D$5:$H$5,0,AT$8+1)-INDEX($D$5:$H$5,0,AT$8))+AS81)))</f>
        <v>863.94535743263168</v>
      </c>
      <c r="AU81" s="8" cm="1">
        <f t="array" ref="AU81">IF(AU$8=-1,AV81,IF(AU$8=99,AT81,IF(AU$8=0,INDEX($E81:$I81,0,AU$6),(INDEX($E81:$I81,0,AU$8+1)-INDEX($E81:$I81,0,AU$8))/(INDEX($D$5:$H$5,0,AU$8+1)-INDEX($D$5:$H$5,0,AU$8))+AT81)))</f>
        <v>863.94535743263168</v>
      </c>
      <c r="AV81" s="8" cm="1">
        <f t="array" ref="AV81">IF(AV$8=-1,AW81,IF(AV$8=99,AU81,IF(AV$8=0,INDEX($E81:$I81,0,AV$6),(INDEX($E81:$I81,0,AV$8+1)-INDEX($E81:$I81,0,AV$8))/(INDEX($D$5:$H$5,0,AV$8+1)-INDEX($D$5:$H$5,0,AV$8))+AU81)))</f>
        <v>863.94535743263168</v>
      </c>
    </row>
    <row r="82" spans="1:48">
      <c r="A82" s="185" t="s">
        <v>16</v>
      </c>
      <c r="B82" s="263" t="s">
        <v>249</v>
      </c>
      <c r="C82" s="87" t="str">
        <f t="shared" si="28"/>
        <v>Commercial - Space Heating</v>
      </c>
      <c r="D82" s="87" t="s">
        <v>75</v>
      </c>
      <c r="E82" s="96">
        <f t="shared" ref="E82:F89" si="31">E71</f>
        <v>59.117764859369188</v>
      </c>
      <c r="F82" s="104">
        <f t="shared" si="31"/>
        <v>82.391305130342559</v>
      </c>
      <c r="G82" s="104">
        <f t="shared" si="29"/>
        <v>82.391305130342559</v>
      </c>
      <c r="H82" s="104">
        <f t="shared" ref="H82:H89" si="32">IF($L$57=-1,G82,((F82-E82)*2/5+E82)*(1+$H$69))</f>
        <v>82.391305130342559</v>
      </c>
      <c r="I82" s="150">
        <f t="shared" si="30"/>
        <v>82.391305130342559</v>
      </c>
      <c r="J82" s="8" cm="1">
        <f t="array" ref="J82">IF(J$8=-1,K82,IF(J$8=99,I82,IF(J$8=0,INDEX($E82:$I82,0,J$6),(INDEX($E82:$I82,0,J$8+1)-INDEX($E82:$I82,0,J$8))/(INDEX($D$5:$H$5,0,J$8+1)-INDEX($D$5:$H$5,0,J$8))+I82)))</f>
        <v>59.117764859369188</v>
      </c>
      <c r="K82" s="8" cm="1">
        <f t="array" ref="K82">IF(K$8=-1,L82,IF(K$8=99,J82,IF(K$8=0,INDEX($E82:$I82,0,K$6),(INDEX($E82:$I82,0,K$8+1)-INDEX($E82:$I82,0,K$8))/(INDEX($D$5:$H$5,0,K$8+1)-INDEX($D$5:$H$5,0,K$8))+J82)))</f>
        <v>63.77247291356386</v>
      </c>
      <c r="L82" s="8" cm="1">
        <f t="array" ref="L82">IF(L$8=-1,M82,IF(L$8=99,K82,IF(L$8=0,INDEX($E82:$I82,0,L$6),(INDEX($E82:$I82,0,L$8+1)-INDEX($E82:$I82,0,L$8))/(INDEX($D$5:$H$5,0,L$8+1)-INDEX($D$5:$H$5,0,L$8))+K82)))</f>
        <v>68.427180967758531</v>
      </c>
      <c r="M82" s="8" cm="1">
        <f t="array" ref="M82">IF(M$8=-1,N82,IF(M$8=99,L82,IF(M$8=0,INDEX($E82:$I82,0,M$6),(INDEX($E82:$I82,0,M$8+1)-INDEX($E82:$I82,0,M$8))/(INDEX($D$5:$H$5,0,M$8+1)-INDEX($D$5:$H$5,0,M$8))+L82)))</f>
        <v>73.081889021953202</v>
      </c>
      <c r="N82" s="8" cm="1">
        <f t="array" ref="N82">IF(N$8=-1,O82,IF(N$8=99,M82,IF(N$8=0,INDEX($E82:$I82,0,N$6),(INDEX($E82:$I82,0,N$8+1)-INDEX($E82:$I82,0,N$8))/(INDEX($D$5:$H$5,0,N$8+1)-INDEX($D$5:$H$5,0,N$8))+M82)))</f>
        <v>77.736597076147874</v>
      </c>
      <c r="O82" s="8" cm="1">
        <f t="array" ref="O82">IF(O$8=-1,P82,IF(O$8=99,N82,IF(O$8=0,INDEX($E82:$I82,0,O$6),(INDEX($E82:$I82,0,O$8+1)-INDEX($E82:$I82,0,O$8))/(INDEX($D$5:$H$5,0,O$8+1)-INDEX($D$5:$H$5,0,O$8))+N82)))</f>
        <v>82.391305130342559</v>
      </c>
      <c r="P82" s="8" cm="1">
        <f t="array" ref="P82">IF(P$8=-1,Q82,IF(P$8=99,O82,IF(P$8=0,INDEX($E82:$I82,0,P$6),(INDEX($E82:$I82,0,P$8+1)-INDEX($E82:$I82,0,P$8))/(INDEX($D$5:$H$5,0,P$8+1)-INDEX($D$5:$H$5,0,P$8))+O82)))</f>
        <v>82.391305130342559</v>
      </c>
      <c r="Q82" s="8" cm="1">
        <f t="array" ref="Q82">IF(Q$8=-1,R82,IF(Q$8=99,P82,IF(Q$8=0,INDEX($E82:$I82,0,Q$6),(INDEX($E82:$I82,0,Q$8+1)-INDEX($E82:$I82,0,Q$8))/(INDEX($D$5:$H$5,0,Q$8+1)-INDEX($D$5:$H$5,0,Q$8))+P82)))</f>
        <v>82.391305130342559</v>
      </c>
      <c r="R82" s="8" cm="1">
        <f t="array" ref="R82">IF(R$8=-1,S82,IF(R$8=99,Q82,IF(R$8=0,INDEX($E82:$I82,0,R$6),(INDEX($E82:$I82,0,R$8+1)-INDEX($E82:$I82,0,R$8))/(INDEX($D$5:$H$5,0,R$8+1)-INDEX($D$5:$H$5,0,R$8))+Q82)))</f>
        <v>82.391305130342559</v>
      </c>
      <c r="S82" s="8" cm="1">
        <f t="array" ref="S82">IF(S$8=-1,T82,IF(S$8=99,R82,IF(S$8=0,INDEX($E82:$I82,0,S$6),(INDEX($E82:$I82,0,S$8+1)-INDEX($E82:$I82,0,S$8))/(INDEX($D$5:$H$5,0,S$8+1)-INDEX($D$5:$H$5,0,S$8))+R82)))</f>
        <v>82.391305130342559</v>
      </c>
      <c r="T82" s="8" cm="1">
        <f t="array" ref="T82">IF(T$8=-1,U82,IF(T$8=99,S82,IF(T$8=0,INDEX($E82:$I82,0,T$6),(INDEX($E82:$I82,0,T$8+1)-INDEX($E82:$I82,0,T$8))/(INDEX($D$5:$H$5,0,T$8+1)-INDEX($D$5:$H$5,0,T$8))+S82)))</f>
        <v>82.391305130342559</v>
      </c>
      <c r="U82" s="8" cm="1">
        <f t="array" ref="U82">IF(U$8=-1,V82,IF(U$8=99,T82,IF(U$8=0,INDEX($E82:$I82,0,U$6),(INDEX($E82:$I82,0,U$8+1)-INDEX($E82:$I82,0,U$8))/(INDEX($D$5:$H$5,0,U$8+1)-INDEX($D$5:$H$5,0,U$8))+T82)))</f>
        <v>82.391305130342559</v>
      </c>
      <c r="V82" s="8" cm="1">
        <f t="array" ref="V82">IF(V$8=-1,W82,IF(V$8=99,U82,IF(V$8=0,INDEX($E82:$I82,0,V$6),(INDEX($E82:$I82,0,V$8+1)-INDEX($E82:$I82,0,V$8))/(INDEX($D$5:$H$5,0,V$8+1)-INDEX($D$5:$H$5,0,V$8))+U82)))</f>
        <v>82.391305130342559</v>
      </c>
      <c r="W82" s="8" cm="1">
        <f t="array" ref="W82">IF(W$8=-1,X82,IF(W$8=99,V82,IF(W$8=0,INDEX($E82:$I82,0,W$6),(INDEX($E82:$I82,0,W$8+1)-INDEX($E82:$I82,0,W$8))/(INDEX($D$5:$H$5,0,W$8+1)-INDEX($D$5:$H$5,0,W$8))+V82)))</f>
        <v>82.391305130342559</v>
      </c>
      <c r="X82" s="8" cm="1">
        <f t="array" ref="X82">IF(X$8=-1,Y82,IF(X$8=99,W82,IF(X$8=0,INDEX($E82:$I82,0,X$6),(INDEX($E82:$I82,0,X$8+1)-INDEX($E82:$I82,0,X$8))/(INDEX($D$5:$H$5,0,X$8+1)-INDEX($D$5:$H$5,0,X$8))+W82)))</f>
        <v>82.391305130342559</v>
      </c>
      <c r="Y82" s="8" cm="1">
        <f t="array" ref="Y82">IF(Y$8=-1,Z82,IF(Y$8=99,X82,IF(Y$8=0,INDEX($E82:$I82,0,Y$6),(INDEX($E82:$I82,0,Y$8+1)-INDEX($E82:$I82,0,Y$8))/(INDEX($D$5:$H$5,0,Y$8+1)-INDEX($D$5:$H$5,0,Y$8))+X82)))</f>
        <v>82.391305130342559</v>
      </c>
      <c r="Z82" s="8" cm="1">
        <f t="array" ref="Z82">IF(Z$8=-1,AA82,IF(Z$8=99,Y82,IF(Z$8=0,INDEX($E82:$I82,0,Z$6),(INDEX($E82:$I82,0,Z$8+1)-INDEX($E82:$I82,0,Z$8))/(INDEX($D$5:$H$5,0,Z$8+1)-INDEX($D$5:$H$5,0,Z$8))+Y82)))</f>
        <v>82.391305130342559</v>
      </c>
      <c r="AA82" s="8" cm="1">
        <f t="array" ref="AA82">IF(AA$8=-1,AB82,IF(AA$8=99,Z82,IF(AA$8=0,INDEX($E82:$I82,0,AA$6),(INDEX($E82:$I82,0,AA$8+1)-INDEX($E82:$I82,0,AA$8))/(INDEX($D$5:$H$5,0,AA$8+1)-INDEX($D$5:$H$5,0,AA$8))+Z82)))</f>
        <v>82.391305130342559</v>
      </c>
      <c r="AB82" s="8" cm="1">
        <f t="array" ref="AB82">IF(AB$8=-1,AC82,IF(AB$8=99,AA82,IF(AB$8=0,INDEX($E82:$I82,0,AB$6),(INDEX($E82:$I82,0,AB$8+1)-INDEX($E82:$I82,0,AB$8))/(INDEX($D$5:$H$5,0,AB$8+1)-INDEX($D$5:$H$5,0,AB$8))+AA82)))</f>
        <v>82.391305130342559</v>
      </c>
      <c r="AC82" s="8" cm="1">
        <f t="array" ref="AC82">IF(AC$8=-1,AD82,IF(AC$8=99,AB82,IF(AC$8=0,INDEX($E82:$I82,0,AC$6),(INDEX($E82:$I82,0,AC$8+1)-INDEX($E82:$I82,0,AC$8))/(INDEX($D$5:$H$5,0,AC$8+1)-INDEX($D$5:$H$5,0,AC$8))+AB82)))</f>
        <v>82.391305130342559</v>
      </c>
      <c r="AD82" s="8" cm="1">
        <f t="array" ref="AD82">IF(AD$8=-1,AE82,IF(AD$8=99,AC82,IF(AD$8=0,INDEX($E82:$I82,0,AD$6),(INDEX($E82:$I82,0,AD$8+1)-INDEX($E82:$I82,0,AD$8))/(INDEX($D$5:$H$5,0,AD$8+1)-INDEX($D$5:$H$5,0,AD$8))+AC82)))</f>
        <v>82.391305130342559</v>
      </c>
      <c r="AE82" s="8" cm="1">
        <f t="array" ref="AE82">IF(AE$8=-1,AF82,IF(AE$8=99,AD82,IF(AE$8=0,INDEX($E82:$I82,0,AE$6),(INDEX($E82:$I82,0,AE$8+1)-INDEX($E82:$I82,0,AE$8))/(INDEX($D$5:$H$5,0,AE$8+1)-INDEX($D$5:$H$5,0,AE$8))+AD82)))</f>
        <v>82.391305130342559</v>
      </c>
      <c r="AF82" s="8" cm="1">
        <f t="array" ref="AF82">IF(AF$8=-1,AG82,IF(AF$8=99,AE82,IF(AF$8=0,INDEX($E82:$I82,0,AF$6),(INDEX($E82:$I82,0,AF$8+1)-INDEX($E82:$I82,0,AF$8))/(INDEX($D$5:$H$5,0,AF$8+1)-INDEX($D$5:$H$5,0,AF$8))+AE82)))</f>
        <v>82.391305130342559</v>
      </c>
      <c r="AG82" s="8" cm="1">
        <f t="array" ref="AG82">IF(AG$8=-1,AH82,IF(AG$8=99,AF82,IF(AG$8=0,INDEX($E82:$I82,0,AG$6),(INDEX($E82:$I82,0,AG$8+1)-INDEX($E82:$I82,0,AG$8))/(INDEX($D$5:$H$5,0,AG$8+1)-INDEX($D$5:$H$5,0,AG$8))+AF82)))</f>
        <v>82.391305130342559</v>
      </c>
      <c r="AH82" s="8" cm="1">
        <f t="array" ref="AH82">IF(AH$8=-1,AI82,IF(AH$8=99,AG82,IF(AH$8=0,INDEX($E82:$I82,0,AH$6),(INDEX($E82:$I82,0,AH$8+1)-INDEX($E82:$I82,0,AH$8))/(INDEX($D$5:$H$5,0,AH$8+1)-INDEX($D$5:$H$5,0,AH$8))+AG82)))</f>
        <v>82.391305130342559</v>
      </c>
      <c r="AI82" s="8" cm="1">
        <f t="array" ref="AI82">IF(AI$8=-1,AJ82,IF(AI$8=99,AH82,IF(AI$8=0,INDEX($E82:$I82,0,AI$6),(INDEX($E82:$I82,0,AI$8+1)-INDEX($E82:$I82,0,AI$8))/(INDEX($D$5:$H$5,0,AI$8+1)-INDEX($D$5:$H$5,0,AI$8))+AH82)))</f>
        <v>82.391305130342559</v>
      </c>
      <c r="AJ82" s="8" cm="1">
        <f t="array" ref="AJ82">IF(AJ$8=-1,AK82,IF(AJ$8=99,AI82,IF(AJ$8=0,INDEX($E82:$I82,0,AJ$6),(INDEX($E82:$I82,0,AJ$8+1)-INDEX($E82:$I82,0,AJ$8))/(INDEX($D$5:$H$5,0,AJ$8+1)-INDEX($D$5:$H$5,0,AJ$8))+AI82)))</f>
        <v>82.391305130342559</v>
      </c>
      <c r="AK82" s="8" cm="1">
        <f t="array" ref="AK82">IF(AK$8=-1,AL82,IF(AK$8=99,AJ82,IF(AK$8=0,INDEX($E82:$I82,0,AK$6),(INDEX($E82:$I82,0,AK$8+1)-INDEX($E82:$I82,0,AK$8))/(INDEX($D$5:$H$5,0,AK$8+1)-INDEX($D$5:$H$5,0,AK$8))+AJ82)))</f>
        <v>82.391305130342559</v>
      </c>
      <c r="AL82" s="8" cm="1">
        <f t="array" ref="AL82">IF(AL$8=-1,AM82,IF(AL$8=99,AK82,IF(AL$8=0,INDEX($E82:$I82,0,AL$6),(INDEX($E82:$I82,0,AL$8+1)-INDEX($E82:$I82,0,AL$8))/(INDEX($D$5:$H$5,0,AL$8+1)-INDEX($D$5:$H$5,0,AL$8))+AK82)))</f>
        <v>82.391305130342559</v>
      </c>
      <c r="AM82" s="8" cm="1">
        <f t="array" ref="AM82">IF(AM$8=-1,AN82,IF(AM$8=99,AL82,IF(AM$8=0,INDEX($E82:$I82,0,AM$6),(INDEX($E82:$I82,0,AM$8+1)-INDEX($E82:$I82,0,AM$8))/(INDEX($D$5:$H$5,0,AM$8+1)-INDEX($D$5:$H$5,0,AM$8))+AL82)))</f>
        <v>82.391305130342559</v>
      </c>
      <c r="AN82" s="8" cm="1">
        <f t="array" ref="AN82">IF(AN$8=-1,AO82,IF(AN$8=99,AM82,IF(AN$8=0,INDEX($E82:$I82,0,AN$6),(INDEX($E82:$I82,0,AN$8+1)-INDEX($E82:$I82,0,AN$8))/(INDEX($D$5:$H$5,0,AN$8+1)-INDEX($D$5:$H$5,0,AN$8))+AM82)))</f>
        <v>82.391305130342559</v>
      </c>
      <c r="AO82" s="8" cm="1">
        <f t="array" ref="AO82">IF(AO$8=-1,AP82,IF(AO$8=99,AN82,IF(AO$8=0,INDEX($E82:$I82,0,AO$6),(INDEX($E82:$I82,0,AO$8+1)-INDEX($E82:$I82,0,AO$8))/(INDEX($D$5:$H$5,0,AO$8+1)-INDEX($D$5:$H$5,0,AO$8))+AN82)))</f>
        <v>82.391305130342559</v>
      </c>
      <c r="AP82" s="8" cm="1">
        <f t="array" ref="AP82">IF(AP$8=-1,AQ82,IF(AP$8=99,AO82,IF(AP$8=0,INDEX($E82:$I82,0,AP$6),(INDEX($E82:$I82,0,AP$8+1)-INDEX($E82:$I82,0,AP$8))/(INDEX($D$5:$H$5,0,AP$8+1)-INDEX($D$5:$H$5,0,AP$8))+AO82)))</f>
        <v>82.391305130342559</v>
      </c>
      <c r="AQ82" s="8" cm="1">
        <f t="array" ref="AQ82">IF(AQ$8=-1,AR82,IF(AQ$8=99,AP82,IF(AQ$8=0,INDEX($E82:$I82,0,AQ$6),(INDEX($E82:$I82,0,AQ$8+1)-INDEX($E82:$I82,0,AQ$8))/(INDEX($D$5:$H$5,0,AQ$8+1)-INDEX($D$5:$H$5,0,AQ$8))+AP82)))</f>
        <v>82.391305130342559</v>
      </c>
      <c r="AR82" s="8" cm="1">
        <f t="array" ref="AR82">IF(AR$8=-1,AS82,IF(AR$8=99,AQ82,IF(AR$8=0,INDEX($E82:$I82,0,AR$6),(INDEX($E82:$I82,0,AR$8+1)-INDEX($E82:$I82,0,AR$8))/(INDEX($D$5:$H$5,0,AR$8+1)-INDEX($D$5:$H$5,0,AR$8))+AQ82)))</f>
        <v>82.391305130342559</v>
      </c>
      <c r="AS82" s="8" cm="1">
        <f t="array" ref="AS82">IF(AS$8=-1,AT82,IF(AS$8=99,AR82,IF(AS$8=0,INDEX($E82:$I82,0,AS$6),(INDEX($E82:$I82,0,AS$8+1)-INDEX($E82:$I82,0,AS$8))/(INDEX($D$5:$H$5,0,AS$8+1)-INDEX($D$5:$H$5,0,AS$8))+AR82)))</f>
        <v>82.391305130342559</v>
      </c>
      <c r="AT82" s="8" cm="1">
        <f t="array" ref="AT82">IF(AT$8=-1,AU82,IF(AT$8=99,AS82,IF(AT$8=0,INDEX($E82:$I82,0,AT$6),(INDEX($E82:$I82,0,AT$8+1)-INDEX($E82:$I82,0,AT$8))/(INDEX($D$5:$H$5,0,AT$8+1)-INDEX($D$5:$H$5,0,AT$8))+AS82)))</f>
        <v>82.391305130342559</v>
      </c>
      <c r="AU82" s="8" cm="1">
        <f t="array" ref="AU82">IF(AU$8=-1,AV82,IF(AU$8=99,AT82,IF(AU$8=0,INDEX($E82:$I82,0,AU$6),(INDEX($E82:$I82,0,AU$8+1)-INDEX($E82:$I82,0,AU$8))/(INDEX($D$5:$H$5,0,AU$8+1)-INDEX($D$5:$H$5,0,AU$8))+AT82)))</f>
        <v>82.391305130342559</v>
      </c>
      <c r="AV82" s="8" cm="1">
        <f t="array" ref="AV82">IF(AV$8=-1,AW82,IF(AV$8=99,AU82,IF(AV$8=0,INDEX($E82:$I82,0,AV$6),(INDEX($E82:$I82,0,AV$8+1)-INDEX($E82:$I82,0,AV$8))/(INDEX($D$5:$H$5,0,AV$8+1)-INDEX($D$5:$H$5,0,AV$8))+AU82)))</f>
        <v>82.391305130342559</v>
      </c>
    </row>
    <row r="83" spans="1:48">
      <c r="A83" s="185" t="s">
        <v>16</v>
      </c>
      <c r="B83" s="263" t="s">
        <v>250</v>
      </c>
      <c r="C83" s="87" t="str">
        <f t="shared" si="28"/>
        <v>Commercial - Cooking</v>
      </c>
      <c r="D83" s="87" t="s">
        <v>75</v>
      </c>
      <c r="E83" s="96">
        <f t="shared" si="31"/>
        <v>74.498085701673531</v>
      </c>
      <c r="F83" s="104">
        <f t="shared" si="31"/>
        <v>59.276589186426349</v>
      </c>
      <c r="G83" s="104">
        <f t="shared" si="29"/>
        <v>59.276589186426349</v>
      </c>
      <c r="H83" s="104">
        <f t="shared" si="32"/>
        <v>59.276589186426349</v>
      </c>
      <c r="I83" s="150">
        <f t="shared" si="30"/>
        <v>59.276589186426349</v>
      </c>
      <c r="J83" s="8" cm="1">
        <f t="array" ref="J83">IF(J$8=-1,K83,IF(J$8=99,I83,IF(J$8=0,INDEX($E83:$I83,0,J$6),(INDEX($E83:$I83,0,J$8+1)-INDEX($E83:$I83,0,J$8))/(INDEX($D$5:$H$5,0,J$8+1)-INDEX($D$5:$H$5,0,J$8))+I83)))</f>
        <v>74.498085701673531</v>
      </c>
      <c r="K83" s="8" cm="1">
        <f t="array" ref="K83">IF(K$8=-1,L83,IF(K$8=99,J83,IF(K$8=0,INDEX($E83:$I83,0,K$6),(INDEX($E83:$I83,0,K$8+1)-INDEX($E83:$I83,0,K$8))/(INDEX($D$5:$H$5,0,K$8+1)-INDEX($D$5:$H$5,0,K$8))+J83)))</f>
        <v>71.453786398624089</v>
      </c>
      <c r="L83" s="8" cm="1">
        <f t="array" ref="L83">IF(L$8=-1,M83,IF(L$8=99,K83,IF(L$8=0,INDEX($E83:$I83,0,L$6),(INDEX($E83:$I83,0,L$8+1)-INDEX($E83:$I83,0,L$8))/(INDEX($D$5:$H$5,0,L$8+1)-INDEX($D$5:$H$5,0,L$8))+K83)))</f>
        <v>68.409487095574647</v>
      </c>
      <c r="M83" s="8" cm="1">
        <f t="array" ref="M83">IF(M$8=-1,N83,IF(M$8=99,L83,IF(M$8=0,INDEX($E83:$I83,0,M$6),(INDEX($E83:$I83,0,M$8+1)-INDEX($E83:$I83,0,M$8))/(INDEX($D$5:$H$5,0,M$8+1)-INDEX($D$5:$H$5,0,M$8))+L83)))</f>
        <v>65.365187792525205</v>
      </c>
      <c r="N83" s="8" cm="1">
        <f t="array" ref="N83">IF(N$8=-1,O83,IF(N$8=99,M83,IF(N$8=0,INDEX($E83:$I83,0,N$6),(INDEX($E83:$I83,0,N$8+1)-INDEX($E83:$I83,0,N$8))/(INDEX($D$5:$H$5,0,N$8+1)-INDEX($D$5:$H$5,0,N$8))+M83)))</f>
        <v>62.32088848947577</v>
      </c>
      <c r="O83" s="8" cm="1">
        <f t="array" ref="O83">IF(O$8=-1,P83,IF(O$8=99,N83,IF(O$8=0,INDEX($E83:$I83,0,O$6),(INDEX($E83:$I83,0,O$8+1)-INDEX($E83:$I83,0,O$8))/(INDEX($D$5:$H$5,0,O$8+1)-INDEX($D$5:$H$5,0,O$8))+N83)))</f>
        <v>59.276589186426349</v>
      </c>
      <c r="P83" s="8" cm="1">
        <f t="array" ref="P83">IF(P$8=-1,Q83,IF(P$8=99,O83,IF(P$8=0,INDEX($E83:$I83,0,P$6),(INDEX($E83:$I83,0,P$8+1)-INDEX($E83:$I83,0,P$8))/(INDEX($D$5:$H$5,0,P$8+1)-INDEX($D$5:$H$5,0,P$8))+O83)))</f>
        <v>59.276589186426349</v>
      </c>
      <c r="Q83" s="8" cm="1">
        <f t="array" ref="Q83">IF(Q$8=-1,R83,IF(Q$8=99,P83,IF(Q$8=0,INDEX($E83:$I83,0,Q$6),(INDEX($E83:$I83,0,Q$8+1)-INDEX($E83:$I83,0,Q$8))/(INDEX($D$5:$H$5,0,Q$8+1)-INDEX($D$5:$H$5,0,Q$8))+P83)))</f>
        <v>59.276589186426349</v>
      </c>
      <c r="R83" s="8" cm="1">
        <f t="array" ref="R83">IF(R$8=-1,S83,IF(R$8=99,Q83,IF(R$8=0,INDEX($E83:$I83,0,R$6),(INDEX($E83:$I83,0,R$8+1)-INDEX($E83:$I83,0,R$8))/(INDEX($D$5:$H$5,0,R$8+1)-INDEX($D$5:$H$5,0,R$8))+Q83)))</f>
        <v>59.276589186426349</v>
      </c>
      <c r="S83" s="8" cm="1">
        <f t="array" ref="S83">IF(S$8=-1,T83,IF(S$8=99,R83,IF(S$8=0,INDEX($E83:$I83,0,S$6),(INDEX($E83:$I83,0,S$8+1)-INDEX($E83:$I83,0,S$8))/(INDEX($D$5:$H$5,0,S$8+1)-INDEX($D$5:$H$5,0,S$8))+R83)))</f>
        <v>59.276589186426349</v>
      </c>
      <c r="T83" s="8" cm="1">
        <f t="array" ref="T83">IF(T$8=-1,U83,IF(T$8=99,S83,IF(T$8=0,INDEX($E83:$I83,0,T$6),(INDEX($E83:$I83,0,T$8+1)-INDEX($E83:$I83,0,T$8))/(INDEX($D$5:$H$5,0,T$8+1)-INDEX($D$5:$H$5,0,T$8))+S83)))</f>
        <v>59.276589186426349</v>
      </c>
      <c r="U83" s="8" cm="1">
        <f t="array" ref="U83">IF(U$8=-1,V83,IF(U$8=99,T83,IF(U$8=0,INDEX($E83:$I83,0,U$6),(INDEX($E83:$I83,0,U$8+1)-INDEX($E83:$I83,0,U$8))/(INDEX($D$5:$H$5,0,U$8+1)-INDEX($D$5:$H$5,0,U$8))+T83)))</f>
        <v>59.276589186426349</v>
      </c>
      <c r="V83" s="8" cm="1">
        <f t="array" ref="V83">IF(V$8=-1,W83,IF(V$8=99,U83,IF(V$8=0,INDEX($E83:$I83,0,V$6),(INDEX($E83:$I83,0,V$8+1)-INDEX($E83:$I83,0,V$8))/(INDEX($D$5:$H$5,0,V$8+1)-INDEX($D$5:$H$5,0,V$8))+U83)))</f>
        <v>59.276589186426349</v>
      </c>
      <c r="W83" s="8" cm="1">
        <f t="array" ref="W83">IF(W$8=-1,X83,IF(W$8=99,V83,IF(W$8=0,INDEX($E83:$I83,0,W$6),(INDEX($E83:$I83,0,W$8+1)-INDEX($E83:$I83,0,W$8))/(INDEX($D$5:$H$5,0,W$8+1)-INDEX($D$5:$H$5,0,W$8))+V83)))</f>
        <v>59.276589186426349</v>
      </c>
      <c r="X83" s="8" cm="1">
        <f t="array" ref="X83">IF(X$8=-1,Y83,IF(X$8=99,W83,IF(X$8=0,INDEX($E83:$I83,0,X$6),(INDEX($E83:$I83,0,X$8+1)-INDEX($E83:$I83,0,X$8))/(INDEX($D$5:$H$5,0,X$8+1)-INDEX($D$5:$H$5,0,X$8))+W83)))</f>
        <v>59.276589186426349</v>
      </c>
      <c r="Y83" s="8" cm="1">
        <f t="array" ref="Y83">IF(Y$8=-1,Z83,IF(Y$8=99,X83,IF(Y$8=0,INDEX($E83:$I83,0,Y$6),(INDEX($E83:$I83,0,Y$8+1)-INDEX($E83:$I83,0,Y$8))/(INDEX($D$5:$H$5,0,Y$8+1)-INDEX($D$5:$H$5,0,Y$8))+X83)))</f>
        <v>59.276589186426349</v>
      </c>
      <c r="Z83" s="8" cm="1">
        <f t="array" ref="Z83">IF(Z$8=-1,AA83,IF(Z$8=99,Y83,IF(Z$8=0,INDEX($E83:$I83,0,Z$6),(INDEX($E83:$I83,0,Z$8+1)-INDEX($E83:$I83,0,Z$8))/(INDEX($D$5:$H$5,0,Z$8+1)-INDEX($D$5:$H$5,0,Z$8))+Y83)))</f>
        <v>59.276589186426349</v>
      </c>
      <c r="AA83" s="8" cm="1">
        <f t="array" ref="AA83">IF(AA$8=-1,AB83,IF(AA$8=99,Z83,IF(AA$8=0,INDEX($E83:$I83,0,AA$6),(INDEX($E83:$I83,0,AA$8+1)-INDEX($E83:$I83,0,AA$8))/(INDEX($D$5:$H$5,0,AA$8+1)-INDEX($D$5:$H$5,0,AA$8))+Z83)))</f>
        <v>59.276589186426349</v>
      </c>
      <c r="AB83" s="8" cm="1">
        <f t="array" ref="AB83">IF(AB$8=-1,AC83,IF(AB$8=99,AA83,IF(AB$8=0,INDEX($E83:$I83,0,AB$6),(INDEX($E83:$I83,0,AB$8+1)-INDEX($E83:$I83,0,AB$8))/(INDEX($D$5:$H$5,0,AB$8+1)-INDEX($D$5:$H$5,0,AB$8))+AA83)))</f>
        <v>59.276589186426349</v>
      </c>
      <c r="AC83" s="8" cm="1">
        <f t="array" ref="AC83">IF(AC$8=-1,AD83,IF(AC$8=99,AB83,IF(AC$8=0,INDEX($E83:$I83,0,AC$6),(INDEX($E83:$I83,0,AC$8+1)-INDEX($E83:$I83,0,AC$8))/(INDEX($D$5:$H$5,0,AC$8+1)-INDEX($D$5:$H$5,0,AC$8))+AB83)))</f>
        <v>59.276589186426349</v>
      </c>
      <c r="AD83" s="8" cm="1">
        <f t="array" ref="AD83">IF(AD$8=-1,AE83,IF(AD$8=99,AC83,IF(AD$8=0,INDEX($E83:$I83,0,AD$6),(INDEX($E83:$I83,0,AD$8+1)-INDEX($E83:$I83,0,AD$8))/(INDEX($D$5:$H$5,0,AD$8+1)-INDEX($D$5:$H$5,0,AD$8))+AC83)))</f>
        <v>59.276589186426349</v>
      </c>
      <c r="AE83" s="8" cm="1">
        <f t="array" ref="AE83">IF(AE$8=-1,AF83,IF(AE$8=99,AD83,IF(AE$8=0,INDEX($E83:$I83,0,AE$6),(INDEX($E83:$I83,0,AE$8+1)-INDEX($E83:$I83,0,AE$8))/(INDEX($D$5:$H$5,0,AE$8+1)-INDEX($D$5:$H$5,0,AE$8))+AD83)))</f>
        <v>59.276589186426349</v>
      </c>
      <c r="AF83" s="8" cm="1">
        <f t="array" ref="AF83">IF(AF$8=-1,AG83,IF(AF$8=99,AE83,IF(AF$8=0,INDEX($E83:$I83,0,AF$6),(INDEX($E83:$I83,0,AF$8+1)-INDEX($E83:$I83,0,AF$8))/(INDEX($D$5:$H$5,0,AF$8+1)-INDEX($D$5:$H$5,0,AF$8))+AE83)))</f>
        <v>59.276589186426349</v>
      </c>
      <c r="AG83" s="8" cm="1">
        <f t="array" ref="AG83">IF(AG$8=-1,AH83,IF(AG$8=99,AF83,IF(AG$8=0,INDEX($E83:$I83,0,AG$6),(INDEX($E83:$I83,0,AG$8+1)-INDEX($E83:$I83,0,AG$8))/(INDEX($D$5:$H$5,0,AG$8+1)-INDEX($D$5:$H$5,0,AG$8))+AF83)))</f>
        <v>59.276589186426349</v>
      </c>
      <c r="AH83" s="8" cm="1">
        <f t="array" ref="AH83">IF(AH$8=-1,AI83,IF(AH$8=99,AG83,IF(AH$8=0,INDEX($E83:$I83,0,AH$6),(INDEX($E83:$I83,0,AH$8+1)-INDEX($E83:$I83,0,AH$8))/(INDEX($D$5:$H$5,0,AH$8+1)-INDEX($D$5:$H$5,0,AH$8))+AG83)))</f>
        <v>59.276589186426349</v>
      </c>
      <c r="AI83" s="8" cm="1">
        <f t="array" ref="AI83">IF(AI$8=-1,AJ83,IF(AI$8=99,AH83,IF(AI$8=0,INDEX($E83:$I83,0,AI$6),(INDEX($E83:$I83,0,AI$8+1)-INDEX($E83:$I83,0,AI$8))/(INDEX($D$5:$H$5,0,AI$8+1)-INDEX($D$5:$H$5,0,AI$8))+AH83)))</f>
        <v>59.276589186426349</v>
      </c>
      <c r="AJ83" s="8" cm="1">
        <f t="array" ref="AJ83">IF(AJ$8=-1,AK83,IF(AJ$8=99,AI83,IF(AJ$8=0,INDEX($E83:$I83,0,AJ$6),(INDEX($E83:$I83,0,AJ$8+1)-INDEX($E83:$I83,0,AJ$8))/(INDEX($D$5:$H$5,0,AJ$8+1)-INDEX($D$5:$H$5,0,AJ$8))+AI83)))</f>
        <v>59.276589186426349</v>
      </c>
      <c r="AK83" s="8" cm="1">
        <f t="array" ref="AK83">IF(AK$8=-1,AL83,IF(AK$8=99,AJ83,IF(AK$8=0,INDEX($E83:$I83,0,AK$6),(INDEX($E83:$I83,0,AK$8+1)-INDEX($E83:$I83,0,AK$8))/(INDEX($D$5:$H$5,0,AK$8+1)-INDEX($D$5:$H$5,0,AK$8))+AJ83)))</f>
        <v>59.276589186426349</v>
      </c>
      <c r="AL83" s="8" cm="1">
        <f t="array" ref="AL83">IF(AL$8=-1,AM83,IF(AL$8=99,AK83,IF(AL$8=0,INDEX($E83:$I83,0,AL$6),(INDEX($E83:$I83,0,AL$8+1)-INDEX($E83:$I83,0,AL$8))/(INDEX($D$5:$H$5,0,AL$8+1)-INDEX($D$5:$H$5,0,AL$8))+AK83)))</f>
        <v>59.276589186426349</v>
      </c>
      <c r="AM83" s="8" cm="1">
        <f t="array" ref="AM83">IF(AM$8=-1,AN83,IF(AM$8=99,AL83,IF(AM$8=0,INDEX($E83:$I83,0,AM$6),(INDEX($E83:$I83,0,AM$8+1)-INDEX($E83:$I83,0,AM$8))/(INDEX($D$5:$H$5,0,AM$8+1)-INDEX($D$5:$H$5,0,AM$8))+AL83)))</f>
        <v>59.276589186426349</v>
      </c>
      <c r="AN83" s="8" cm="1">
        <f t="array" ref="AN83">IF(AN$8=-1,AO83,IF(AN$8=99,AM83,IF(AN$8=0,INDEX($E83:$I83,0,AN$6),(INDEX($E83:$I83,0,AN$8+1)-INDEX($E83:$I83,0,AN$8))/(INDEX($D$5:$H$5,0,AN$8+1)-INDEX($D$5:$H$5,0,AN$8))+AM83)))</f>
        <v>59.276589186426349</v>
      </c>
      <c r="AO83" s="8" cm="1">
        <f t="array" ref="AO83">IF(AO$8=-1,AP83,IF(AO$8=99,AN83,IF(AO$8=0,INDEX($E83:$I83,0,AO$6),(INDEX($E83:$I83,0,AO$8+1)-INDEX($E83:$I83,0,AO$8))/(INDEX($D$5:$H$5,0,AO$8+1)-INDEX($D$5:$H$5,0,AO$8))+AN83)))</f>
        <v>59.276589186426349</v>
      </c>
      <c r="AP83" s="8" cm="1">
        <f t="array" ref="AP83">IF(AP$8=-1,AQ83,IF(AP$8=99,AO83,IF(AP$8=0,INDEX($E83:$I83,0,AP$6),(INDEX($E83:$I83,0,AP$8+1)-INDEX($E83:$I83,0,AP$8))/(INDEX($D$5:$H$5,0,AP$8+1)-INDEX($D$5:$H$5,0,AP$8))+AO83)))</f>
        <v>59.276589186426349</v>
      </c>
      <c r="AQ83" s="8" cm="1">
        <f t="array" ref="AQ83">IF(AQ$8=-1,AR83,IF(AQ$8=99,AP83,IF(AQ$8=0,INDEX($E83:$I83,0,AQ$6),(INDEX($E83:$I83,0,AQ$8+1)-INDEX($E83:$I83,0,AQ$8))/(INDEX($D$5:$H$5,0,AQ$8+1)-INDEX($D$5:$H$5,0,AQ$8))+AP83)))</f>
        <v>59.276589186426349</v>
      </c>
      <c r="AR83" s="8" cm="1">
        <f t="array" ref="AR83">IF(AR$8=-1,AS83,IF(AR$8=99,AQ83,IF(AR$8=0,INDEX($E83:$I83,0,AR$6),(INDEX($E83:$I83,0,AR$8+1)-INDEX($E83:$I83,0,AR$8))/(INDEX($D$5:$H$5,0,AR$8+1)-INDEX($D$5:$H$5,0,AR$8))+AQ83)))</f>
        <v>59.276589186426349</v>
      </c>
      <c r="AS83" s="8" cm="1">
        <f t="array" ref="AS83">IF(AS$8=-1,AT83,IF(AS$8=99,AR83,IF(AS$8=0,INDEX($E83:$I83,0,AS$6),(INDEX($E83:$I83,0,AS$8+1)-INDEX($E83:$I83,0,AS$8))/(INDEX($D$5:$H$5,0,AS$8+1)-INDEX($D$5:$H$5,0,AS$8))+AR83)))</f>
        <v>59.276589186426349</v>
      </c>
      <c r="AT83" s="8" cm="1">
        <f t="array" ref="AT83">IF(AT$8=-1,AU83,IF(AT$8=99,AS83,IF(AT$8=0,INDEX($E83:$I83,0,AT$6),(INDEX($E83:$I83,0,AT$8+1)-INDEX($E83:$I83,0,AT$8))/(INDEX($D$5:$H$5,0,AT$8+1)-INDEX($D$5:$H$5,0,AT$8))+AS83)))</f>
        <v>59.276589186426349</v>
      </c>
      <c r="AU83" s="8" cm="1">
        <f t="array" ref="AU83">IF(AU$8=-1,AV83,IF(AU$8=99,AT83,IF(AU$8=0,INDEX($E83:$I83,0,AU$6),(INDEX($E83:$I83,0,AU$8+1)-INDEX($E83:$I83,0,AU$8))/(INDEX($D$5:$H$5,0,AU$8+1)-INDEX($D$5:$H$5,0,AU$8))+AT83)))</f>
        <v>59.276589186426349</v>
      </c>
      <c r="AV83" s="8" cm="1">
        <f t="array" ref="AV83">IF(AV$8=-1,AW83,IF(AV$8=99,AU83,IF(AV$8=0,INDEX($E83:$I83,0,AV$6),(INDEX($E83:$I83,0,AV$8+1)-INDEX($E83:$I83,0,AV$8))/(INDEX($D$5:$H$5,0,AV$8+1)-INDEX($D$5:$H$5,0,AV$8))+AU83)))</f>
        <v>59.276589186426349</v>
      </c>
    </row>
    <row r="84" spans="1:48">
      <c r="A84" s="185" t="s">
        <v>16</v>
      </c>
      <c r="B84" s="263" t="s">
        <v>251</v>
      </c>
      <c r="C84" s="87" t="str">
        <f t="shared" si="28"/>
        <v>Commercial - Lighting</v>
      </c>
      <c r="D84" s="87" t="s">
        <v>75</v>
      </c>
      <c r="E84" s="96">
        <f t="shared" si="31"/>
        <v>915.10615144128838</v>
      </c>
      <c r="F84" s="104">
        <f t="shared" si="31"/>
        <v>751.83194786180138</v>
      </c>
      <c r="G84" s="104">
        <f t="shared" si="29"/>
        <v>751.83194786180138</v>
      </c>
      <c r="H84" s="104">
        <f t="shared" si="32"/>
        <v>751.83194786180138</v>
      </c>
      <c r="I84" s="150">
        <f t="shared" si="30"/>
        <v>751.83194786180138</v>
      </c>
      <c r="J84" s="8" cm="1">
        <f t="array" ref="J84">IF(J$8=-1,K84,IF(J$8=99,I84,IF(J$8=0,INDEX($E84:$I84,0,J$6),(INDEX($E84:$I84,0,J$8+1)-INDEX($E84:$I84,0,J$8))/(INDEX($D$5:$H$5,0,J$8+1)-INDEX($D$5:$H$5,0,J$8))+I84)))</f>
        <v>915.10615144128838</v>
      </c>
      <c r="K84" s="8" cm="1">
        <f t="array" ref="K84">IF(K$8=-1,L84,IF(K$8=99,J84,IF(K$8=0,INDEX($E84:$I84,0,K$6),(INDEX($E84:$I84,0,K$8+1)-INDEX($E84:$I84,0,K$8))/(INDEX($D$5:$H$5,0,K$8+1)-INDEX($D$5:$H$5,0,K$8))+J84)))</f>
        <v>882.45131072539095</v>
      </c>
      <c r="L84" s="8" cm="1">
        <f t="array" ref="L84">IF(L$8=-1,M84,IF(L$8=99,K84,IF(L$8=0,INDEX($E84:$I84,0,L$6),(INDEX($E84:$I84,0,L$8+1)-INDEX($E84:$I84,0,L$8))/(INDEX($D$5:$H$5,0,L$8+1)-INDEX($D$5:$H$5,0,L$8))+K84)))</f>
        <v>849.79647000949353</v>
      </c>
      <c r="M84" s="8" cm="1">
        <f t="array" ref="M84">IF(M$8=-1,N84,IF(M$8=99,L84,IF(M$8=0,INDEX($E84:$I84,0,M$6),(INDEX($E84:$I84,0,M$8+1)-INDEX($E84:$I84,0,M$8))/(INDEX($D$5:$H$5,0,M$8+1)-INDEX($D$5:$H$5,0,M$8))+L84)))</f>
        <v>817.14162929359611</v>
      </c>
      <c r="N84" s="8" cm="1">
        <f t="array" ref="N84">IF(N$8=-1,O84,IF(N$8=99,M84,IF(N$8=0,INDEX($E84:$I84,0,N$6),(INDEX($E84:$I84,0,N$8+1)-INDEX($E84:$I84,0,N$8))/(INDEX($D$5:$H$5,0,N$8+1)-INDEX($D$5:$H$5,0,N$8))+M84)))</f>
        <v>784.48678857769869</v>
      </c>
      <c r="O84" s="8" cm="1">
        <f t="array" ref="O84">IF(O$8=-1,P84,IF(O$8=99,N84,IF(O$8=0,INDEX($E84:$I84,0,O$6),(INDEX($E84:$I84,0,O$8+1)-INDEX($E84:$I84,0,O$8))/(INDEX($D$5:$H$5,0,O$8+1)-INDEX($D$5:$H$5,0,O$8))+N84)))</f>
        <v>751.83194786180138</v>
      </c>
      <c r="P84" s="8" cm="1">
        <f t="array" ref="P84">IF(P$8=-1,Q84,IF(P$8=99,O84,IF(P$8=0,INDEX($E84:$I84,0,P$6),(INDEX($E84:$I84,0,P$8+1)-INDEX($E84:$I84,0,P$8))/(INDEX($D$5:$H$5,0,P$8+1)-INDEX($D$5:$H$5,0,P$8))+O84)))</f>
        <v>751.83194786180138</v>
      </c>
      <c r="Q84" s="8" cm="1">
        <f t="array" ref="Q84">IF(Q$8=-1,R84,IF(Q$8=99,P84,IF(Q$8=0,INDEX($E84:$I84,0,Q$6),(INDEX($E84:$I84,0,Q$8+1)-INDEX($E84:$I84,0,Q$8))/(INDEX($D$5:$H$5,0,Q$8+1)-INDEX($D$5:$H$5,0,Q$8))+P84)))</f>
        <v>751.83194786180138</v>
      </c>
      <c r="R84" s="8" cm="1">
        <f t="array" ref="R84">IF(R$8=-1,S84,IF(R$8=99,Q84,IF(R$8=0,INDEX($E84:$I84,0,R$6),(INDEX($E84:$I84,0,R$8+1)-INDEX($E84:$I84,0,R$8))/(INDEX($D$5:$H$5,0,R$8+1)-INDEX($D$5:$H$5,0,R$8))+Q84)))</f>
        <v>751.83194786180138</v>
      </c>
      <c r="S84" s="8" cm="1">
        <f t="array" ref="S84">IF(S$8=-1,T84,IF(S$8=99,R84,IF(S$8=0,INDEX($E84:$I84,0,S$6),(INDEX($E84:$I84,0,S$8+1)-INDEX($E84:$I84,0,S$8))/(INDEX($D$5:$H$5,0,S$8+1)-INDEX($D$5:$H$5,0,S$8))+R84)))</f>
        <v>751.83194786180138</v>
      </c>
      <c r="T84" s="8" cm="1">
        <f t="array" ref="T84">IF(T$8=-1,U84,IF(T$8=99,S84,IF(T$8=0,INDEX($E84:$I84,0,T$6),(INDEX($E84:$I84,0,T$8+1)-INDEX($E84:$I84,0,T$8))/(INDEX($D$5:$H$5,0,T$8+1)-INDEX($D$5:$H$5,0,T$8))+S84)))</f>
        <v>751.83194786180138</v>
      </c>
      <c r="U84" s="8" cm="1">
        <f t="array" ref="U84">IF(U$8=-1,V84,IF(U$8=99,T84,IF(U$8=0,INDEX($E84:$I84,0,U$6),(INDEX($E84:$I84,0,U$8+1)-INDEX($E84:$I84,0,U$8))/(INDEX($D$5:$H$5,0,U$8+1)-INDEX($D$5:$H$5,0,U$8))+T84)))</f>
        <v>751.83194786180138</v>
      </c>
      <c r="V84" s="8" cm="1">
        <f t="array" ref="V84">IF(V$8=-1,W84,IF(V$8=99,U84,IF(V$8=0,INDEX($E84:$I84,0,V$6),(INDEX($E84:$I84,0,V$8+1)-INDEX($E84:$I84,0,V$8))/(INDEX($D$5:$H$5,0,V$8+1)-INDEX($D$5:$H$5,0,V$8))+U84)))</f>
        <v>751.83194786180138</v>
      </c>
      <c r="W84" s="8" cm="1">
        <f t="array" ref="W84">IF(W$8=-1,X84,IF(W$8=99,V84,IF(W$8=0,INDEX($E84:$I84,0,W$6),(INDEX($E84:$I84,0,W$8+1)-INDEX($E84:$I84,0,W$8))/(INDEX($D$5:$H$5,0,W$8+1)-INDEX($D$5:$H$5,0,W$8))+V84)))</f>
        <v>751.83194786180138</v>
      </c>
      <c r="X84" s="8" cm="1">
        <f t="array" ref="X84">IF(X$8=-1,Y84,IF(X$8=99,W84,IF(X$8=0,INDEX($E84:$I84,0,X$6),(INDEX($E84:$I84,0,X$8+1)-INDEX($E84:$I84,0,X$8))/(INDEX($D$5:$H$5,0,X$8+1)-INDEX($D$5:$H$5,0,X$8))+W84)))</f>
        <v>751.83194786180138</v>
      </c>
      <c r="Y84" s="8" cm="1">
        <f t="array" ref="Y84">IF(Y$8=-1,Z84,IF(Y$8=99,X84,IF(Y$8=0,INDEX($E84:$I84,0,Y$6),(INDEX($E84:$I84,0,Y$8+1)-INDEX($E84:$I84,0,Y$8))/(INDEX($D$5:$H$5,0,Y$8+1)-INDEX($D$5:$H$5,0,Y$8))+X84)))</f>
        <v>751.83194786180138</v>
      </c>
      <c r="Z84" s="8" cm="1">
        <f t="array" ref="Z84">IF(Z$8=-1,AA84,IF(Z$8=99,Y84,IF(Z$8=0,INDEX($E84:$I84,0,Z$6),(INDEX($E84:$I84,0,Z$8+1)-INDEX($E84:$I84,0,Z$8))/(INDEX($D$5:$H$5,0,Z$8+1)-INDEX($D$5:$H$5,0,Z$8))+Y84)))</f>
        <v>751.83194786180138</v>
      </c>
      <c r="AA84" s="8" cm="1">
        <f t="array" ref="AA84">IF(AA$8=-1,AB84,IF(AA$8=99,Z84,IF(AA$8=0,INDEX($E84:$I84,0,AA$6),(INDEX($E84:$I84,0,AA$8+1)-INDEX($E84:$I84,0,AA$8))/(INDEX($D$5:$H$5,0,AA$8+1)-INDEX($D$5:$H$5,0,AA$8))+Z84)))</f>
        <v>751.83194786180138</v>
      </c>
      <c r="AB84" s="8" cm="1">
        <f t="array" ref="AB84">IF(AB$8=-1,AC84,IF(AB$8=99,AA84,IF(AB$8=0,INDEX($E84:$I84,0,AB$6),(INDEX($E84:$I84,0,AB$8+1)-INDEX($E84:$I84,0,AB$8))/(INDEX($D$5:$H$5,0,AB$8+1)-INDEX($D$5:$H$5,0,AB$8))+AA84)))</f>
        <v>751.83194786180138</v>
      </c>
      <c r="AC84" s="8" cm="1">
        <f t="array" ref="AC84">IF(AC$8=-1,AD84,IF(AC$8=99,AB84,IF(AC$8=0,INDEX($E84:$I84,0,AC$6),(INDEX($E84:$I84,0,AC$8+1)-INDEX($E84:$I84,0,AC$8))/(INDEX($D$5:$H$5,0,AC$8+1)-INDEX($D$5:$H$5,0,AC$8))+AB84)))</f>
        <v>751.83194786180138</v>
      </c>
      <c r="AD84" s="8" cm="1">
        <f t="array" ref="AD84">IF(AD$8=-1,AE84,IF(AD$8=99,AC84,IF(AD$8=0,INDEX($E84:$I84,0,AD$6),(INDEX($E84:$I84,0,AD$8+1)-INDEX($E84:$I84,0,AD$8))/(INDEX($D$5:$H$5,0,AD$8+1)-INDEX($D$5:$H$5,0,AD$8))+AC84)))</f>
        <v>751.83194786180138</v>
      </c>
      <c r="AE84" s="8" cm="1">
        <f t="array" ref="AE84">IF(AE$8=-1,AF84,IF(AE$8=99,AD84,IF(AE$8=0,INDEX($E84:$I84,0,AE$6),(INDEX($E84:$I84,0,AE$8+1)-INDEX($E84:$I84,0,AE$8))/(INDEX($D$5:$H$5,0,AE$8+1)-INDEX($D$5:$H$5,0,AE$8))+AD84)))</f>
        <v>751.83194786180138</v>
      </c>
      <c r="AF84" s="8" cm="1">
        <f t="array" ref="AF84">IF(AF$8=-1,AG84,IF(AF$8=99,AE84,IF(AF$8=0,INDEX($E84:$I84,0,AF$6),(INDEX($E84:$I84,0,AF$8+1)-INDEX($E84:$I84,0,AF$8))/(INDEX($D$5:$H$5,0,AF$8+1)-INDEX($D$5:$H$5,0,AF$8))+AE84)))</f>
        <v>751.83194786180138</v>
      </c>
      <c r="AG84" s="8" cm="1">
        <f t="array" ref="AG84">IF(AG$8=-1,AH84,IF(AG$8=99,AF84,IF(AG$8=0,INDEX($E84:$I84,0,AG$6),(INDEX($E84:$I84,0,AG$8+1)-INDEX($E84:$I84,0,AG$8))/(INDEX($D$5:$H$5,0,AG$8+1)-INDEX($D$5:$H$5,0,AG$8))+AF84)))</f>
        <v>751.83194786180138</v>
      </c>
      <c r="AH84" s="8" cm="1">
        <f t="array" ref="AH84">IF(AH$8=-1,AI84,IF(AH$8=99,AG84,IF(AH$8=0,INDEX($E84:$I84,0,AH$6),(INDEX($E84:$I84,0,AH$8+1)-INDEX($E84:$I84,0,AH$8))/(INDEX($D$5:$H$5,0,AH$8+1)-INDEX($D$5:$H$5,0,AH$8))+AG84)))</f>
        <v>751.83194786180138</v>
      </c>
      <c r="AI84" s="8" cm="1">
        <f t="array" ref="AI84">IF(AI$8=-1,AJ84,IF(AI$8=99,AH84,IF(AI$8=0,INDEX($E84:$I84,0,AI$6),(INDEX($E84:$I84,0,AI$8+1)-INDEX($E84:$I84,0,AI$8))/(INDEX($D$5:$H$5,0,AI$8+1)-INDEX($D$5:$H$5,0,AI$8))+AH84)))</f>
        <v>751.83194786180138</v>
      </c>
      <c r="AJ84" s="8" cm="1">
        <f t="array" ref="AJ84">IF(AJ$8=-1,AK84,IF(AJ$8=99,AI84,IF(AJ$8=0,INDEX($E84:$I84,0,AJ$6),(INDEX($E84:$I84,0,AJ$8+1)-INDEX($E84:$I84,0,AJ$8))/(INDEX($D$5:$H$5,0,AJ$8+1)-INDEX($D$5:$H$5,0,AJ$8))+AI84)))</f>
        <v>751.83194786180138</v>
      </c>
      <c r="AK84" s="8" cm="1">
        <f t="array" ref="AK84">IF(AK$8=-1,AL84,IF(AK$8=99,AJ84,IF(AK$8=0,INDEX($E84:$I84,0,AK$6),(INDEX($E84:$I84,0,AK$8+1)-INDEX($E84:$I84,0,AK$8))/(INDEX($D$5:$H$5,0,AK$8+1)-INDEX($D$5:$H$5,0,AK$8))+AJ84)))</f>
        <v>751.83194786180138</v>
      </c>
      <c r="AL84" s="8" cm="1">
        <f t="array" ref="AL84">IF(AL$8=-1,AM84,IF(AL$8=99,AK84,IF(AL$8=0,INDEX($E84:$I84,0,AL$6),(INDEX($E84:$I84,0,AL$8+1)-INDEX($E84:$I84,0,AL$8))/(INDEX($D$5:$H$5,0,AL$8+1)-INDEX($D$5:$H$5,0,AL$8))+AK84)))</f>
        <v>751.83194786180138</v>
      </c>
      <c r="AM84" s="8" cm="1">
        <f t="array" ref="AM84">IF(AM$8=-1,AN84,IF(AM$8=99,AL84,IF(AM$8=0,INDEX($E84:$I84,0,AM$6),(INDEX($E84:$I84,0,AM$8+1)-INDEX($E84:$I84,0,AM$8))/(INDEX($D$5:$H$5,0,AM$8+1)-INDEX($D$5:$H$5,0,AM$8))+AL84)))</f>
        <v>751.83194786180138</v>
      </c>
      <c r="AN84" s="8" cm="1">
        <f t="array" ref="AN84">IF(AN$8=-1,AO84,IF(AN$8=99,AM84,IF(AN$8=0,INDEX($E84:$I84,0,AN$6),(INDEX($E84:$I84,0,AN$8+1)-INDEX($E84:$I84,0,AN$8))/(INDEX($D$5:$H$5,0,AN$8+1)-INDEX($D$5:$H$5,0,AN$8))+AM84)))</f>
        <v>751.83194786180138</v>
      </c>
      <c r="AO84" s="8" cm="1">
        <f t="array" ref="AO84">IF(AO$8=-1,AP84,IF(AO$8=99,AN84,IF(AO$8=0,INDEX($E84:$I84,0,AO$6),(INDEX($E84:$I84,0,AO$8+1)-INDEX($E84:$I84,0,AO$8))/(INDEX($D$5:$H$5,0,AO$8+1)-INDEX($D$5:$H$5,0,AO$8))+AN84)))</f>
        <v>751.83194786180138</v>
      </c>
      <c r="AP84" s="8" cm="1">
        <f t="array" ref="AP84">IF(AP$8=-1,AQ84,IF(AP$8=99,AO84,IF(AP$8=0,INDEX($E84:$I84,0,AP$6),(INDEX($E84:$I84,0,AP$8+1)-INDEX($E84:$I84,0,AP$8))/(INDEX($D$5:$H$5,0,AP$8+1)-INDEX($D$5:$H$5,0,AP$8))+AO84)))</f>
        <v>751.83194786180138</v>
      </c>
      <c r="AQ84" s="8" cm="1">
        <f t="array" ref="AQ84">IF(AQ$8=-1,AR84,IF(AQ$8=99,AP84,IF(AQ$8=0,INDEX($E84:$I84,0,AQ$6),(INDEX($E84:$I84,0,AQ$8+1)-INDEX($E84:$I84,0,AQ$8))/(INDEX($D$5:$H$5,0,AQ$8+1)-INDEX($D$5:$H$5,0,AQ$8))+AP84)))</f>
        <v>751.83194786180138</v>
      </c>
      <c r="AR84" s="8" cm="1">
        <f t="array" ref="AR84">IF(AR$8=-1,AS84,IF(AR$8=99,AQ84,IF(AR$8=0,INDEX($E84:$I84,0,AR$6),(INDEX($E84:$I84,0,AR$8+1)-INDEX($E84:$I84,0,AR$8))/(INDEX($D$5:$H$5,0,AR$8+1)-INDEX($D$5:$H$5,0,AR$8))+AQ84)))</f>
        <v>751.83194786180138</v>
      </c>
      <c r="AS84" s="8" cm="1">
        <f t="array" ref="AS84">IF(AS$8=-1,AT84,IF(AS$8=99,AR84,IF(AS$8=0,INDEX($E84:$I84,0,AS$6),(INDEX($E84:$I84,0,AS$8+1)-INDEX($E84:$I84,0,AS$8))/(INDEX($D$5:$H$5,0,AS$8+1)-INDEX($D$5:$H$5,0,AS$8))+AR84)))</f>
        <v>751.83194786180138</v>
      </c>
      <c r="AT84" s="8" cm="1">
        <f t="array" ref="AT84">IF(AT$8=-1,AU84,IF(AT$8=99,AS84,IF(AT$8=0,INDEX($E84:$I84,0,AT$6),(INDEX($E84:$I84,0,AT$8+1)-INDEX($E84:$I84,0,AT$8))/(INDEX($D$5:$H$5,0,AT$8+1)-INDEX($D$5:$H$5,0,AT$8))+AS84)))</f>
        <v>751.83194786180138</v>
      </c>
      <c r="AU84" s="8" cm="1">
        <f t="array" ref="AU84">IF(AU$8=-1,AV84,IF(AU$8=99,AT84,IF(AU$8=0,INDEX($E84:$I84,0,AU$6),(INDEX($E84:$I84,0,AU$8+1)-INDEX($E84:$I84,0,AU$8))/(INDEX($D$5:$H$5,0,AU$8+1)-INDEX($D$5:$H$5,0,AU$8))+AT84)))</f>
        <v>751.83194786180138</v>
      </c>
      <c r="AV84" s="8" cm="1">
        <f t="array" ref="AV84">IF(AV$8=-1,AW84,IF(AV$8=99,AU84,IF(AV$8=0,INDEX($E84:$I84,0,AV$6),(INDEX($E84:$I84,0,AV$8+1)-INDEX($E84:$I84,0,AV$8))/(INDEX($D$5:$H$5,0,AV$8+1)-INDEX($D$5:$H$5,0,AV$8))+AU84)))</f>
        <v>751.83194786180138</v>
      </c>
    </row>
    <row r="85" spans="1:48">
      <c r="A85" s="185" t="s">
        <v>16</v>
      </c>
      <c r="B85" s="263" t="s">
        <v>252</v>
      </c>
      <c r="C85" s="87" t="str">
        <f t="shared" si="28"/>
        <v>Commercial - Refrigeration</v>
      </c>
      <c r="D85" s="87" t="s">
        <v>75</v>
      </c>
      <c r="E85" s="96">
        <f t="shared" si="31"/>
        <v>222.61251585750318</v>
      </c>
      <c r="F85" s="104">
        <f t="shared" si="31"/>
        <v>182.89375626200317</v>
      </c>
      <c r="G85" s="104">
        <f t="shared" si="29"/>
        <v>182.89375626200317</v>
      </c>
      <c r="H85" s="104">
        <f t="shared" si="32"/>
        <v>182.89375626200317</v>
      </c>
      <c r="I85" s="150">
        <f t="shared" si="30"/>
        <v>182.89375626200317</v>
      </c>
      <c r="J85" s="8" cm="1">
        <f t="array" ref="J85">IF(J$8=-1,K85,IF(J$8=99,I85,IF(J$8=0,INDEX($E85:$I85,0,J$6),(INDEX($E85:$I85,0,J$8+1)-INDEX($E85:$I85,0,J$8))/(INDEX($D$5:$H$5,0,J$8+1)-INDEX($D$5:$H$5,0,J$8))+I85)))</f>
        <v>222.61251585750318</v>
      </c>
      <c r="K85" s="8" cm="1">
        <f t="array" ref="K85">IF(K$8=-1,L85,IF(K$8=99,J85,IF(K$8=0,INDEX($E85:$I85,0,K$6),(INDEX($E85:$I85,0,K$8+1)-INDEX($E85:$I85,0,K$8))/(INDEX($D$5:$H$5,0,K$8+1)-INDEX($D$5:$H$5,0,K$8))+J85)))</f>
        <v>214.66876393840317</v>
      </c>
      <c r="L85" s="8" cm="1">
        <f t="array" ref="L85">IF(L$8=-1,M85,IF(L$8=99,K85,IF(L$8=0,INDEX($E85:$I85,0,L$6),(INDEX($E85:$I85,0,L$8+1)-INDEX($E85:$I85,0,L$8))/(INDEX($D$5:$H$5,0,L$8+1)-INDEX($D$5:$H$5,0,L$8))+K85)))</f>
        <v>206.72501201930316</v>
      </c>
      <c r="M85" s="8" cm="1">
        <f t="array" ref="M85">IF(M$8=-1,N85,IF(M$8=99,L85,IF(M$8=0,INDEX($E85:$I85,0,M$6),(INDEX($E85:$I85,0,M$8+1)-INDEX($E85:$I85,0,M$8))/(INDEX($D$5:$H$5,0,M$8+1)-INDEX($D$5:$H$5,0,M$8))+L85)))</f>
        <v>198.78126010020316</v>
      </c>
      <c r="N85" s="8" cm="1">
        <f t="array" ref="N85">IF(N$8=-1,O85,IF(N$8=99,M85,IF(N$8=0,INDEX($E85:$I85,0,N$6),(INDEX($E85:$I85,0,N$8+1)-INDEX($E85:$I85,0,N$8))/(INDEX($D$5:$H$5,0,N$8+1)-INDEX($D$5:$H$5,0,N$8))+M85)))</f>
        <v>190.83750818110315</v>
      </c>
      <c r="O85" s="8" cm="1">
        <f t="array" ref="O85">IF(O$8=-1,P85,IF(O$8=99,N85,IF(O$8=0,INDEX($E85:$I85,0,O$6),(INDEX($E85:$I85,0,O$8+1)-INDEX($E85:$I85,0,O$8))/(INDEX($D$5:$H$5,0,O$8+1)-INDEX($D$5:$H$5,0,O$8))+N85)))</f>
        <v>182.89375626200317</v>
      </c>
      <c r="P85" s="8" cm="1">
        <f t="array" ref="P85">IF(P$8=-1,Q85,IF(P$8=99,O85,IF(P$8=0,INDEX($E85:$I85,0,P$6),(INDEX($E85:$I85,0,P$8+1)-INDEX($E85:$I85,0,P$8))/(INDEX($D$5:$H$5,0,P$8+1)-INDEX($D$5:$H$5,0,P$8))+O85)))</f>
        <v>182.89375626200317</v>
      </c>
      <c r="Q85" s="8" cm="1">
        <f t="array" ref="Q85">IF(Q$8=-1,R85,IF(Q$8=99,P85,IF(Q$8=0,INDEX($E85:$I85,0,Q$6),(INDEX($E85:$I85,0,Q$8+1)-INDEX($E85:$I85,0,Q$8))/(INDEX($D$5:$H$5,0,Q$8+1)-INDEX($D$5:$H$5,0,Q$8))+P85)))</f>
        <v>182.89375626200317</v>
      </c>
      <c r="R85" s="8" cm="1">
        <f t="array" ref="R85">IF(R$8=-1,S85,IF(R$8=99,Q85,IF(R$8=0,INDEX($E85:$I85,0,R$6),(INDEX($E85:$I85,0,R$8+1)-INDEX($E85:$I85,0,R$8))/(INDEX($D$5:$H$5,0,R$8+1)-INDEX($D$5:$H$5,0,R$8))+Q85)))</f>
        <v>182.89375626200317</v>
      </c>
      <c r="S85" s="8" cm="1">
        <f t="array" ref="S85">IF(S$8=-1,T85,IF(S$8=99,R85,IF(S$8=0,INDEX($E85:$I85,0,S$6),(INDEX($E85:$I85,0,S$8+1)-INDEX($E85:$I85,0,S$8))/(INDEX($D$5:$H$5,0,S$8+1)-INDEX($D$5:$H$5,0,S$8))+R85)))</f>
        <v>182.89375626200317</v>
      </c>
      <c r="T85" s="8" cm="1">
        <f t="array" ref="T85">IF(T$8=-1,U85,IF(T$8=99,S85,IF(T$8=0,INDEX($E85:$I85,0,T$6),(INDEX($E85:$I85,0,T$8+1)-INDEX($E85:$I85,0,T$8))/(INDEX($D$5:$H$5,0,T$8+1)-INDEX($D$5:$H$5,0,T$8))+S85)))</f>
        <v>182.89375626200317</v>
      </c>
      <c r="U85" s="8" cm="1">
        <f t="array" ref="U85">IF(U$8=-1,V85,IF(U$8=99,T85,IF(U$8=0,INDEX($E85:$I85,0,U$6),(INDEX($E85:$I85,0,U$8+1)-INDEX($E85:$I85,0,U$8))/(INDEX($D$5:$H$5,0,U$8+1)-INDEX($D$5:$H$5,0,U$8))+T85)))</f>
        <v>182.89375626200317</v>
      </c>
      <c r="V85" s="8" cm="1">
        <f t="array" ref="V85">IF(V$8=-1,W85,IF(V$8=99,U85,IF(V$8=0,INDEX($E85:$I85,0,V$6),(INDEX($E85:$I85,0,V$8+1)-INDEX($E85:$I85,0,V$8))/(INDEX($D$5:$H$5,0,V$8+1)-INDEX($D$5:$H$5,0,V$8))+U85)))</f>
        <v>182.89375626200317</v>
      </c>
      <c r="W85" s="8" cm="1">
        <f t="array" ref="W85">IF(W$8=-1,X85,IF(W$8=99,V85,IF(W$8=0,INDEX($E85:$I85,0,W$6),(INDEX($E85:$I85,0,W$8+1)-INDEX($E85:$I85,0,W$8))/(INDEX($D$5:$H$5,0,W$8+1)-INDEX($D$5:$H$5,0,W$8))+V85)))</f>
        <v>182.89375626200317</v>
      </c>
      <c r="X85" s="8" cm="1">
        <f t="array" ref="X85">IF(X$8=-1,Y85,IF(X$8=99,W85,IF(X$8=0,INDEX($E85:$I85,0,X$6),(INDEX($E85:$I85,0,X$8+1)-INDEX($E85:$I85,0,X$8))/(INDEX($D$5:$H$5,0,X$8+1)-INDEX($D$5:$H$5,0,X$8))+W85)))</f>
        <v>182.89375626200317</v>
      </c>
      <c r="Y85" s="8" cm="1">
        <f t="array" ref="Y85">IF(Y$8=-1,Z85,IF(Y$8=99,X85,IF(Y$8=0,INDEX($E85:$I85,0,Y$6),(INDEX($E85:$I85,0,Y$8+1)-INDEX($E85:$I85,0,Y$8))/(INDEX($D$5:$H$5,0,Y$8+1)-INDEX($D$5:$H$5,0,Y$8))+X85)))</f>
        <v>182.89375626200317</v>
      </c>
      <c r="Z85" s="8" cm="1">
        <f t="array" ref="Z85">IF(Z$8=-1,AA85,IF(Z$8=99,Y85,IF(Z$8=0,INDEX($E85:$I85,0,Z$6),(INDEX($E85:$I85,0,Z$8+1)-INDEX($E85:$I85,0,Z$8))/(INDEX($D$5:$H$5,0,Z$8+1)-INDEX($D$5:$H$5,0,Z$8))+Y85)))</f>
        <v>182.89375626200317</v>
      </c>
      <c r="AA85" s="8" cm="1">
        <f t="array" ref="AA85">IF(AA$8=-1,AB85,IF(AA$8=99,Z85,IF(AA$8=0,INDEX($E85:$I85,0,AA$6),(INDEX($E85:$I85,0,AA$8+1)-INDEX($E85:$I85,0,AA$8))/(INDEX($D$5:$H$5,0,AA$8+1)-INDEX($D$5:$H$5,0,AA$8))+Z85)))</f>
        <v>182.89375626200317</v>
      </c>
      <c r="AB85" s="8" cm="1">
        <f t="array" ref="AB85">IF(AB$8=-1,AC85,IF(AB$8=99,AA85,IF(AB$8=0,INDEX($E85:$I85,0,AB$6),(INDEX($E85:$I85,0,AB$8+1)-INDEX($E85:$I85,0,AB$8))/(INDEX($D$5:$H$5,0,AB$8+1)-INDEX($D$5:$H$5,0,AB$8))+AA85)))</f>
        <v>182.89375626200317</v>
      </c>
      <c r="AC85" s="8" cm="1">
        <f t="array" ref="AC85">IF(AC$8=-1,AD85,IF(AC$8=99,AB85,IF(AC$8=0,INDEX($E85:$I85,0,AC$6),(INDEX($E85:$I85,0,AC$8+1)-INDEX($E85:$I85,0,AC$8))/(INDEX($D$5:$H$5,0,AC$8+1)-INDEX($D$5:$H$5,0,AC$8))+AB85)))</f>
        <v>182.89375626200317</v>
      </c>
      <c r="AD85" s="8" cm="1">
        <f t="array" ref="AD85">IF(AD$8=-1,AE85,IF(AD$8=99,AC85,IF(AD$8=0,INDEX($E85:$I85,0,AD$6),(INDEX($E85:$I85,0,AD$8+1)-INDEX($E85:$I85,0,AD$8))/(INDEX($D$5:$H$5,0,AD$8+1)-INDEX($D$5:$H$5,0,AD$8))+AC85)))</f>
        <v>182.89375626200317</v>
      </c>
      <c r="AE85" s="8" cm="1">
        <f t="array" ref="AE85">IF(AE$8=-1,AF85,IF(AE$8=99,AD85,IF(AE$8=0,INDEX($E85:$I85,0,AE$6),(INDEX($E85:$I85,0,AE$8+1)-INDEX($E85:$I85,0,AE$8))/(INDEX($D$5:$H$5,0,AE$8+1)-INDEX($D$5:$H$5,0,AE$8))+AD85)))</f>
        <v>182.89375626200317</v>
      </c>
      <c r="AF85" s="8" cm="1">
        <f t="array" ref="AF85">IF(AF$8=-1,AG85,IF(AF$8=99,AE85,IF(AF$8=0,INDEX($E85:$I85,0,AF$6),(INDEX($E85:$I85,0,AF$8+1)-INDEX($E85:$I85,0,AF$8))/(INDEX($D$5:$H$5,0,AF$8+1)-INDEX($D$5:$H$5,0,AF$8))+AE85)))</f>
        <v>182.89375626200317</v>
      </c>
      <c r="AG85" s="8" cm="1">
        <f t="array" ref="AG85">IF(AG$8=-1,AH85,IF(AG$8=99,AF85,IF(AG$8=0,INDEX($E85:$I85,0,AG$6),(INDEX($E85:$I85,0,AG$8+1)-INDEX($E85:$I85,0,AG$8))/(INDEX($D$5:$H$5,0,AG$8+1)-INDEX($D$5:$H$5,0,AG$8))+AF85)))</f>
        <v>182.89375626200317</v>
      </c>
      <c r="AH85" s="8" cm="1">
        <f t="array" ref="AH85">IF(AH$8=-1,AI85,IF(AH$8=99,AG85,IF(AH$8=0,INDEX($E85:$I85,0,AH$6),(INDEX($E85:$I85,0,AH$8+1)-INDEX($E85:$I85,0,AH$8))/(INDEX($D$5:$H$5,0,AH$8+1)-INDEX($D$5:$H$5,0,AH$8))+AG85)))</f>
        <v>182.89375626200317</v>
      </c>
      <c r="AI85" s="8" cm="1">
        <f t="array" ref="AI85">IF(AI$8=-1,AJ85,IF(AI$8=99,AH85,IF(AI$8=0,INDEX($E85:$I85,0,AI$6),(INDEX($E85:$I85,0,AI$8+1)-INDEX($E85:$I85,0,AI$8))/(INDEX($D$5:$H$5,0,AI$8+1)-INDEX($D$5:$H$5,0,AI$8))+AH85)))</f>
        <v>182.89375626200317</v>
      </c>
      <c r="AJ85" s="8" cm="1">
        <f t="array" ref="AJ85">IF(AJ$8=-1,AK85,IF(AJ$8=99,AI85,IF(AJ$8=0,INDEX($E85:$I85,0,AJ$6),(INDEX($E85:$I85,0,AJ$8+1)-INDEX($E85:$I85,0,AJ$8))/(INDEX($D$5:$H$5,0,AJ$8+1)-INDEX($D$5:$H$5,0,AJ$8))+AI85)))</f>
        <v>182.89375626200317</v>
      </c>
      <c r="AK85" s="8" cm="1">
        <f t="array" ref="AK85">IF(AK$8=-1,AL85,IF(AK$8=99,AJ85,IF(AK$8=0,INDEX($E85:$I85,0,AK$6),(INDEX($E85:$I85,0,AK$8+1)-INDEX($E85:$I85,0,AK$8))/(INDEX($D$5:$H$5,0,AK$8+1)-INDEX($D$5:$H$5,0,AK$8))+AJ85)))</f>
        <v>182.89375626200317</v>
      </c>
      <c r="AL85" s="8" cm="1">
        <f t="array" ref="AL85">IF(AL$8=-1,AM85,IF(AL$8=99,AK85,IF(AL$8=0,INDEX($E85:$I85,0,AL$6),(INDEX($E85:$I85,0,AL$8+1)-INDEX($E85:$I85,0,AL$8))/(INDEX($D$5:$H$5,0,AL$8+1)-INDEX($D$5:$H$5,0,AL$8))+AK85)))</f>
        <v>182.89375626200317</v>
      </c>
      <c r="AM85" s="8" cm="1">
        <f t="array" ref="AM85">IF(AM$8=-1,AN85,IF(AM$8=99,AL85,IF(AM$8=0,INDEX($E85:$I85,0,AM$6),(INDEX($E85:$I85,0,AM$8+1)-INDEX($E85:$I85,0,AM$8))/(INDEX($D$5:$H$5,0,AM$8+1)-INDEX($D$5:$H$5,0,AM$8))+AL85)))</f>
        <v>182.89375626200317</v>
      </c>
      <c r="AN85" s="8" cm="1">
        <f t="array" ref="AN85">IF(AN$8=-1,AO85,IF(AN$8=99,AM85,IF(AN$8=0,INDEX($E85:$I85,0,AN$6),(INDEX($E85:$I85,0,AN$8+1)-INDEX($E85:$I85,0,AN$8))/(INDEX($D$5:$H$5,0,AN$8+1)-INDEX($D$5:$H$5,0,AN$8))+AM85)))</f>
        <v>182.89375626200317</v>
      </c>
      <c r="AO85" s="8" cm="1">
        <f t="array" ref="AO85">IF(AO$8=-1,AP85,IF(AO$8=99,AN85,IF(AO$8=0,INDEX($E85:$I85,0,AO$6),(INDEX($E85:$I85,0,AO$8+1)-INDEX($E85:$I85,0,AO$8))/(INDEX($D$5:$H$5,0,AO$8+1)-INDEX($D$5:$H$5,0,AO$8))+AN85)))</f>
        <v>182.89375626200317</v>
      </c>
      <c r="AP85" s="8" cm="1">
        <f t="array" ref="AP85">IF(AP$8=-1,AQ85,IF(AP$8=99,AO85,IF(AP$8=0,INDEX($E85:$I85,0,AP$6),(INDEX($E85:$I85,0,AP$8+1)-INDEX($E85:$I85,0,AP$8))/(INDEX($D$5:$H$5,0,AP$8+1)-INDEX($D$5:$H$5,0,AP$8))+AO85)))</f>
        <v>182.89375626200317</v>
      </c>
      <c r="AQ85" s="8" cm="1">
        <f t="array" ref="AQ85">IF(AQ$8=-1,AR85,IF(AQ$8=99,AP85,IF(AQ$8=0,INDEX($E85:$I85,0,AQ$6),(INDEX($E85:$I85,0,AQ$8+1)-INDEX($E85:$I85,0,AQ$8))/(INDEX($D$5:$H$5,0,AQ$8+1)-INDEX($D$5:$H$5,0,AQ$8))+AP85)))</f>
        <v>182.89375626200317</v>
      </c>
      <c r="AR85" s="8" cm="1">
        <f t="array" ref="AR85">IF(AR$8=-1,AS85,IF(AR$8=99,AQ85,IF(AR$8=0,INDEX($E85:$I85,0,AR$6),(INDEX($E85:$I85,0,AR$8+1)-INDEX($E85:$I85,0,AR$8))/(INDEX($D$5:$H$5,0,AR$8+1)-INDEX($D$5:$H$5,0,AR$8))+AQ85)))</f>
        <v>182.89375626200317</v>
      </c>
      <c r="AS85" s="8" cm="1">
        <f t="array" ref="AS85">IF(AS$8=-1,AT85,IF(AS$8=99,AR85,IF(AS$8=0,INDEX($E85:$I85,0,AS$6),(INDEX($E85:$I85,0,AS$8+1)-INDEX($E85:$I85,0,AS$8))/(INDEX($D$5:$H$5,0,AS$8+1)-INDEX($D$5:$H$5,0,AS$8))+AR85)))</f>
        <v>182.89375626200317</v>
      </c>
      <c r="AT85" s="8" cm="1">
        <f t="array" ref="AT85">IF(AT$8=-1,AU85,IF(AT$8=99,AS85,IF(AT$8=0,INDEX($E85:$I85,0,AT$6),(INDEX($E85:$I85,0,AT$8+1)-INDEX($E85:$I85,0,AT$8))/(INDEX($D$5:$H$5,0,AT$8+1)-INDEX($D$5:$H$5,0,AT$8))+AS85)))</f>
        <v>182.89375626200317</v>
      </c>
      <c r="AU85" s="8" cm="1">
        <f t="array" ref="AU85">IF(AU$8=-1,AV85,IF(AU$8=99,AT85,IF(AU$8=0,INDEX($E85:$I85,0,AU$6),(INDEX($E85:$I85,0,AU$8+1)-INDEX($E85:$I85,0,AU$8))/(INDEX($D$5:$H$5,0,AU$8+1)-INDEX($D$5:$H$5,0,AU$8))+AT85)))</f>
        <v>182.89375626200317</v>
      </c>
      <c r="AV85" s="8" cm="1">
        <f t="array" ref="AV85">IF(AV$8=-1,AW85,IF(AV$8=99,AU85,IF(AV$8=0,INDEX($E85:$I85,0,AV$6),(INDEX($E85:$I85,0,AV$8+1)-INDEX($E85:$I85,0,AV$8))/(INDEX($D$5:$H$5,0,AV$8+1)-INDEX($D$5:$H$5,0,AV$8))+AU85)))</f>
        <v>182.89375626200317</v>
      </c>
    </row>
    <row r="86" spans="1:48">
      <c r="A86" s="185" t="s">
        <v>16</v>
      </c>
      <c r="B86" s="263" t="s">
        <v>253</v>
      </c>
      <c r="C86" s="87" t="str">
        <f t="shared" si="28"/>
        <v>Commercial - Water Heating</v>
      </c>
      <c r="D86" s="87" t="s">
        <v>75</v>
      </c>
      <c r="E86" s="96">
        <f t="shared" si="31"/>
        <v>72.906473658117989</v>
      </c>
      <c r="F86" s="104">
        <f t="shared" si="31"/>
        <v>69.309069222923057</v>
      </c>
      <c r="G86" s="104">
        <f t="shared" si="29"/>
        <v>69.309069222923057</v>
      </c>
      <c r="H86" s="104">
        <f t="shared" si="32"/>
        <v>69.309069222923057</v>
      </c>
      <c r="I86" s="150">
        <f t="shared" si="30"/>
        <v>69.309069222923057</v>
      </c>
      <c r="J86" s="8" cm="1">
        <f t="array" ref="J86">IF(J$8=-1,K86,IF(J$8=99,I86,IF(J$8=0,INDEX($E86:$I86,0,J$6),(INDEX($E86:$I86,0,J$8+1)-INDEX($E86:$I86,0,J$8))/(INDEX($D$5:$H$5,0,J$8+1)-INDEX($D$5:$H$5,0,J$8))+I86)))</f>
        <v>72.906473658117989</v>
      </c>
      <c r="K86" s="8" cm="1">
        <f t="array" ref="K86">IF(K$8=-1,L86,IF(K$8=99,J86,IF(K$8=0,INDEX($E86:$I86,0,K$6),(INDEX($E86:$I86,0,K$8+1)-INDEX($E86:$I86,0,K$8))/(INDEX($D$5:$H$5,0,K$8+1)-INDEX($D$5:$H$5,0,K$8))+J86)))</f>
        <v>72.186992771079005</v>
      </c>
      <c r="L86" s="8" cm="1">
        <f t="array" ref="L86">IF(L$8=-1,M86,IF(L$8=99,K86,IF(L$8=0,INDEX($E86:$I86,0,L$6),(INDEX($E86:$I86,0,L$8+1)-INDEX($E86:$I86,0,L$8))/(INDEX($D$5:$H$5,0,L$8+1)-INDEX($D$5:$H$5,0,L$8))+K86)))</f>
        <v>71.467511884040022</v>
      </c>
      <c r="M86" s="8" cm="1">
        <f t="array" ref="M86">IF(M$8=-1,N86,IF(M$8=99,L86,IF(M$8=0,INDEX($E86:$I86,0,M$6),(INDEX($E86:$I86,0,M$8+1)-INDEX($E86:$I86,0,M$8))/(INDEX($D$5:$H$5,0,M$8+1)-INDEX($D$5:$H$5,0,M$8))+L86)))</f>
        <v>70.748030997001038</v>
      </c>
      <c r="N86" s="8" cm="1">
        <f t="array" ref="N86">IF(N$8=-1,O86,IF(N$8=99,M86,IF(N$8=0,INDEX($E86:$I86,0,N$6),(INDEX($E86:$I86,0,N$8+1)-INDEX($E86:$I86,0,N$8))/(INDEX($D$5:$H$5,0,N$8+1)-INDEX($D$5:$H$5,0,N$8))+M86)))</f>
        <v>70.028550109962055</v>
      </c>
      <c r="O86" s="8" cm="1">
        <f t="array" ref="O86">IF(O$8=-1,P86,IF(O$8=99,N86,IF(O$8=0,INDEX($E86:$I86,0,O$6),(INDEX($E86:$I86,0,O$8+1)-INDEX($E86:$I86,0,O$8))/(INDEX($D$5:$H$5,0,O$8+1)-INDEX($D$5:$H$5,0,O$8))+N86)))</f>
        <v>69.309069222923057</v>
      </c>
      <c r="P86" s="8" cm="1">
        <f t="array" ref="P86">IF(P$8=-1,Q86,IF(P$8=99,O86,IF(P$8=0,INDEX($E86:$I86,0,P$6),(INDEX($E86:$I86,0,P$8+1)-INDEX($E86:$I86,0,P$8))/(INDEX($D$5:$H$5,0,P$8+1)-INDEX($D$5:$H$5,0,P$8))+O86)))</f>
        <v>69.309069222923057</v>
      </c>
      <c r="Q86" s="8" cm="1">
        <f t="array" ref="Q86">IF(Q$8=-1,R86,IF(Q$8=99,P86,IF(Q$8=0,INDEX($E86:$I86,0,Q$6),(INDEX($E86:$I86,0,Q$8+1)-INDEX($E86:$I86,0,Q$8))/(INDEX($D$5:$H$5,0,Q$8+1)-INDEX($D$5:$H$5,0,Q$8))+P86)))</f>
        <v>69.309069222923057</v>
      </c>
      <c r="R86" s="8" cm="1">
        <f t="array" ref="R86">IF(R$8=-1,S86,IF(R$8=99,Q86,IF(R$8=0,INDEX($E86:$I86,0,R$6),(INDEX($E86:$I86,0,R$8+1)-INDEX($E86:$I86,0,R$8))/(INDEX($D$5:$H$5,0,R$8+1)-INDEX($D$5:$H$5,0,R$8))+Q86)))</f>
        <v>69.309069222923057</v>
      </c>
      <c r="S86" s="8" cm="1">
        <f t="array" ref="S86">IF(S$8=-1,T86,IF(S$8=99,R86,IF(S$8=0,INDEX($E86:$I86,0,S$6),(INDEX($E86:$I86,0,S$8+1)-INDEX($E86:$I86,0,S$8))/(INDEX($D$5:$H$5,0,S$8+1)-INDEX($D$5:$H$5,0,S$8))+R86)))</f>
        <v>69.309069222923057</v>
      </c>
      <c r="T86" s="8" cm="1">
        <f t="array" ref="T86">IF(T$8=-1,U86,IF(T$8=99,S86,IF(T$8=0,INDEX($E86:$I86,0,T$6),(INDEX($E86:$I86,0,T$8+1)-INDEX($E86:$I86,0,T$8))/(INDEX($D$5:$H$5,0,T$8+1)-INDEX($D$5:$H$5,0,T$8))+S86)))</f>
        <v>69.309069222923057</v>
      </c>
      <c r="U86" s="8" cm="1">
        <f t="array" ref="U86">IF(U$8=-1,V86,IF(U$8=99,T86,IF(U$8=0,INDEX($E86:$I86,0,U$6),(INDEX($E86:$I86,0,U$8+1)-INDEX($E86:$I86,0,U$8))/(INDEX($D$5:$H$5,0,U$8+1)-INDEX($D$5:$H$5,0,U$8))+T86)))</f>
        <v>69.309069222923057</v>
      </c>
      <c r="V86" s="8" cm="1">
        <f t="array" ref="V86">IF(V$8=-1,W86,IF(V$8=99,U86,IF(V$8=0,INDEX($E86:$I86,0,V$6),(INDEX($E86:$I86,0,V$8+1)-INDEX($E86:$I86,0,V$8))/(INDEX($D$5:$H$5,0,V$8+1)-INDEX($D$5:$H$5,0,V$8))+U86)))</f>
        <v>69.309069222923057</v>
      </c>
      <c r="W86" s="8" cm="1">
        <f t="array" ref="W86">IF(W$8=-1,X86,IF(W$8=99,V86,IF(W$8=0,INDEX($E86:$I86,0,W$6),(INDEX($E86:$I86,0,W$8+1)-INDEX($E86:$I86,0,W$8))/(INDEX($D$5:$H$5,0,W$8+1)-INDEX($D$5:$H$5,0,W$8))+V86)))</f>
        <v>69.309069222923057</v>
      </c>
      <c r="X86" s="8" cm="1">
        <f t="array" ref="X86">IF(X$8=-1,Y86,IF(X$8=99,W86,IF(X$8=0,INDEX($E86:$I86,0,X$6),(INDEX($E86:$I86,0,X$8+1)-INDEX($E86:$I86,0,X$8))/(INDEX($D$5:$H$5,0,X$8+1)-INDEX($D$5:$H$5,0,X$8))+W86)))</f>
        <v>69.309069222923057</v>
      </c>
      <c r="Y86" s="8" cm="1">
        <f t="array" ref="Y86">IF(Y$8=-1,Z86,IF(Y$8=99,X86,IF(Y$8=0,INDEX($E86:$I86,0,Y$6),(INDEX($E86:$I86,0,Y$8+1)-INDEX($E86:$I86,0,Y$8))/(INDEX($D$5:$H$5,0,Y$8+1)-INDEX($D$5:$H$5,0,Y$8))+X86)))</f>
        <v>69.309069222923057</v>
      </c>
      <c r="Z86" s="8" cm="1">
        <f t="array" ref="Z86">IF(Z$8=-1,AA86,IF(Z$8=99,Y86,IF(Z$8=0,INDEX($E86:$I86,0,Z$6),(INDEX($E86:$I86,0,Z$8+1)-INDEX($E86:$I86,0,Z$8))/(INDEX($D$5:$H$5,0,Z$8+1)-INDEX($D$5:$H$5,0,Z$8))+Y86)))</f>
        <v>69.309069222923057</v>
      </c>
      <c r="AA86" s="8" cm="1">
        <f t="array" ref="AA86">IF(AA$8=-1,AB86,IF(AA$8=99,Z86,IF(AA$8=0,INDEX($E86:$I86,0,AA$6),(INDEX($E86:$I86,0,AA$8+1)-INDEX($E86:$I86,0,AA$8))/(INDEX($D$5:$H$5,0,AA$8+1)-INDEX($D$5:$H$5,0,AA$8))+Z86)))</f>
        <v>69.309069222923057</v>
      </c>
      <c r="AB86" s="8" cm="1">
        <f t="array" ref="AB86">IF(AB$8=-1,AC86,IF(AB$8=99,AA86,IF(AB$8=0,INDEX($E86:$I86,0,AB$6),(INDEX($E86:$I86,0,AB$8+1)-INDEX($E86:$I86,0,AB$8))/(INDEX($D$5:$H$5,0,AB$8+1)-INDEX($D$5:$H$5,0,AB$8))+AA86)))</f>
        <v>69.309069222923057</v>
      </c>
      <c r="AC86" s="8" cm="1">
        <f t="array" ref="AC86">IF(AC$8=-1,AD86,IF(AC$8=99,AB86,IF(AC$8=0,INDEX($E86:$I86,0,AC$6),(INDEX($E86:$I86,0,AC$8+1)-INDEX($E86:$I86,0,AC$8))/(INDEX($D$5:$H$5,0,AC$8+1)-INDEX($D$5:$H$5,0,AC$8))+AB86)))</f>
        <v>69.309069222923057</v>
      </c>
      <c r="AD86" s="8" cm="1">
        <f t="array" ref="AD86">IF(AD$8=-1,AE86,IF(AD$8=99,AC86,IF(AD$8=0,INDEX($E86:$I86,0,AD$6),(INDEX($E86:$I86,0,AD$8+1)-INDEX($E86:$I86,0,AD$8))/(INDEX($D$5:$H$5,0,AD$8+1)-INDEX($D$5:$H$5,0,AD$8))+AC86)))</f>
        <v>69.309069222923057</v>
      </c>
      <c r="AE86" s="8" cm="1">
        <f t="array" ref="AE86">IF(AE$8=-1,AF86,IF(AE$8=99,AD86,IF(AE$8=0,INDEX($E86:$I86,0,AE$6),(INDEX($E86:$I86,0,AE$8+1)-INDEX($E86:$I86,0,AE$8))/(INDEX($D$5:$H$5,0,AE$8+1)-INDEX($D$5:$H$5,0,AE$8))+AD86)))</f>
        <v>69.309069222923057</v>
      </c>
      <c r="AF86" s="8" cm="1">
        <f t="array" ref="AF86">IF(AF$8=-1,AG86,IF(AF$8=99,AE86,IF(AF$8=0,INDEX($E86:$I86,0,AF$6),(INDEX($E86:$I86,0,AF$8+1)-INDEX($E86:$I86,0,AF$8))/(INDEX($D$5:$H$5,0,AF$8+1)-INDEX($D$5:$H$5,0,AF$8))+AE86)))</f>
        <v>69.309069222923057</v>
      </c>
      <c r="AG86" s="8" cm="1">
        <f t="array" ref="AG86">IF(AG$8=-1,AH86,IF(AG$8=99,AF86,IF(AG$8=0,INDEX($E86:$I86,0,AG$6),(INDEX($E86:$I86,0,AG$8+1)-INDEX($E86:$I86,0,AG$8))/(INDEX($D$5:$H$5,0,AG$8+1)-INDEX($D$5:$H$5,0,AG$8))+AF86)))</f>
        <v>69.309069222923057</v>
      </c>
      <c r="AH86" s="8" cm="1">
        <f t="array" ref="AH86">IF(AH$8=-1,AI86,IF(AH$8=99,AG86,IF(AH$8=0,INDEX($E86:$I86,0,AH$6),(INDEX($E86:$I86,0,AH$8+1)-INDEX($E86:$I86,0,AH$8))/(INDEX($D$5:$H$5,0,AH$8+1)-INDEX($D$5:$H$5,0,AH$8))+AG86)))</f>
        <v>69.309069222923057</v>
      </c>
      <c r="AI86" s="8" cm="1">
        <f t="array" ref="AI86">IF(AI$8=-1,AJ86,IF(AI$8=99,AH86,IF(AI$8=0,INDEX($E86:$I86,0,AI$6),(INDEX($E86:$I86,0,AI$8+1)-INDEX($E86:$I86,0,AI$8))/(INDEX($D$5:$H$5,0,AI$8+1)-INDEX($D$5:$H$5,0,AI$8))+AH86)))</f>
        <v>69.309069222923057</v>
      </c>
      <c r="AJ86" s="8" cm="1">
        <f t="array" ref="AJ86">IF(AJ$8=-1,AK86,IF(AJ$8=99,AI86,IF(AJ$8=0,INDEX($E86:$I86,0,AJ$6),(INDEX($E86:$I86,0,AJ$8+1)-INDEX($E86:$I86,0,AJ$8))/(INDEX($D$5:$H$5,0,AJ$8+1)-INDEX($D$5:$H$5,0,AJ$8))+AI86)))</f>
        <v>69.309069222923057</v>
      </c>
      <c r="AK86" s="8" cm="1">
        <f t="array" ref="AK86">IF(AK$8=-1,AL86,IF(AK$8=99,AJ86,IF(AK$8=0,INDEX($E86:$I86,0,AK$6),(INDEX($E86:$I86,0,AK$8+1)-INDEX($E86:$I86,0,AK$8))/(INDEX($D$5:$H$5,0,AK$8+1)-INDEX($D$5:$H$5,0,AK$8))+AJ86)))</f>
        <v>69.309069222923057</v>
      </c>
      <c r="AL86" s="8" cm="1">
        <f t="array" ref="AL86">IF(AL$8=-1,AM86,IF(AL$8=99,AK86,IF(AL$8=0,INDEX($E86:$I86,0,AL$6),(INDEX($E86:$I86,0,AL$8+1)-INDEX($E86:$I86,0,AL$8))/(INDEX($D$5:$H$5,0,AL$8+1)-INDEX($D$5:$H$5,0,AL$8))+AK86)))</f>
        <v>69.309069222923057</v>
      </c>
      <c r="AM86" s="8" cm="1">
        <f t="array" ref="AM86">IF(AM$8=-1,AN86,IF(AM$8=99,AL86,IF(AM$8=0,INDEX($E86:$I86,0,AM$6),(INDEX($E86:$I86,0,AM$8+1)-INDEX($E86:$I86,0,AM$8))/(INDEX($D$5:$H$5,0,AM$8+1)-INDEX($D$5:$H$5,0,AM$8))+AL86)))</f>
        <v>69.309069222923057</v>
      </c>
      <c r="AN86" s="8" cm="1">
        <f t="array" ref="AN86">IF(AN$8=-1,AO86,IF(AN$8=99,AM86,IF(AN$8=0,INDEX($E86:$I86,0,AN$6),(INDEX($E86:$I86,0,AN$8+1)-INDEX($E86:$I86,0,AN$8))/(INDEX($D$5:$H$5,0,AN$8+1)-INDEX($D$5:$H$5,0,AN$8))+AM86)))</f>
        <v>69.309069222923057</v>
      </c>
      <c r="AO86" s="8" cm="1">
        <f t="array" ref="AO86">IF(AO$8=-1,AP86,IF(AO$8=99,AN86,IF(AO$8=0,INDEX($E86:$I86,0,AO$6),(INDEX($E86:$I86,0,AO$8+1)-INDEX($E86:$I86,0,AO$8))/(INDEX($D$5:$H$5,0,AO$8+1)-INDEX($D$5:$H$5,0,AO$8))+AN86)))</f>
        <v>69.309069222923057</v>
      </c>
      <c r="AP86" s="8" cm="1">
        <f t="array" ref="AP86">IF(AP$8=-1,AQ86,IF(AP$8=99,AO86,IF(AP$8=0,INDEX($E86:$I86,0,AP$6),(INDEX($E86:$I86,0,AP$8+1)-INDEX($E86:$I86,0,AP$8))/(INDEX($D$5:$H$5,0,AP$8+1)-INDEX($D$5:$H$5,0,AP$8))+AO86)))</f>
        <v>69.309069222923057</v>
      </c>
      <c r="AQ86" s="8" cm="1">
        <f t="array" ref="AQ86">IF(AQ$8=-1,AR86,IF(AQ$8=99,AP86,IF(AQ$8=0,INDEX($E86:$I86,0,AQ$6),(INDEX($E86:$I86,0,AQ$8+1)-INDEX($E86:$I86,0,AQ$8))/(INDEX($D$5:$H$5,0,AQ$8+1)-INDEX($D$5:$H$5,0,AQ$8))+AP86)))</f>
        <v>69.309069222923057</v>
      </c>
      <c r="AR86" s="8" cm="1">
        <f t="array" ref="AR86">IF(AR$8=-1,AS86,IF(AR$8=99,AQ86,IF(AR$8=0,INDEX($E86:$I86,0,AR$6),(INDEX($E86:$I86,0,AR$8+1)-INDEX($E86:$I86,0,AR$8))/(INDEX($D$5:$H$5,0,AR$8+1)-INDEX($D$5:$H$5,0,AR$8))+AQ86)))</f>
        <v>69.309069222923057</v>
      </c>
      <c r="AS86" s="8" cm="1">
        <f t="array" ref="AS86">IF(AS$8=-1,AT86,IF(AS$8=99,AR86,IF(AS$8=0,INDEX($E86:$I86,0,AS$6),(INDEX($E86:$I86,0,AS$8+1)-INDEX($E86:$I86,0,AS$8))/(INDEX($D$5:$H$5,0,AS$8+1)-INDEX($D$5:$H$5,0,AS$8))+AR86)))</f>
        <v>69.309069222923057</v>
      </c>
      <c r="AT86" s="8" cm="1">
        <f t="array" ref="AT86">IF(AT$8=-1,AU86,IF(AT$8=99,AS86,IF(AT$8=0,INDEX($E86:$I86,0,AT$6),(INDEX($E86:$I86,0,AT$8+1)-INDEX($E86:$I86,0,AT$8))/(INDEX($D$5:$H$5,0,AT$8+1)-INDEX($D$5:$H$5,0,AT$8))+AS86)))</f>
        <v>69.309069222923057</v>
      </c>
      <c r="AU86" s="8" cm="1">
        <f t="array" ref="AU86">IF(AU$8=-1,AV86,IF(AU$8=99,AT86,IF(AU$8=0,INDEX($E86:$I86,0,AU$6),(INDEX($E86:$I86,0,AU$8+1)-INDEX($E86:$I86,0,AU$8))/(INDEX($D$5:$H$5,0,AU$8+1)-INDEX($D$5:$H$5,0,AU$8))+AT86)))</f>
        <v>69.309069222923057</v>
      </c>
      <c r="AV86" s="8" cm="1">
        <f t="array" ref="AV86">IF(AV$8=-1,AW86,IF(AV$8=99,AU86,IF(AV$8=0,INDEX($E86:$I86,0,AV$6),(INDEX($E86:$I86,0,AV$8+1)-INDEX($E86:$I86,0,AV$8))/(INDEX($D$5:$H$5,0,AV$8+1)-INDEX($D$5:$H$5,0,AV$8))+AU86)))</f>
        <v>69.309069222923057</v>
      </c>
    </row>
    <row r="87" spans="1:48">
      <c r="A87" s="185" t="s">
        <v>16</v>
      </c>
      <c r="B87" s="263" t="s">
        <v>254</v>
      </c>
      <c r="C87" s="107" t="str">
        <f t="shared" si="28"/>
        <v>Commercial - Public lights</v>
      </c>
      <c r="D87" s="107" t="s">
        <v>75</v>
      </c>
      <c r="E87" s="167">
        <f t="shared" si="31"/>
        <v>0</v>
      </c>
      <c r="F87" s="104">
        <f t="shared" si="31"/>
        <v>0</v>
      </c>
      <c r="G87" s="168">
        <f t="shared" si="29"/>
        <v>0</v>
      </c>
      <c r="H87" s="104">
        <f t="shared" si="32"/>
        <v>0</v>
      </c>
      <c r="I87" s="169">
        <f t="shared" si="30"/>
        <v>0</v>
      </c>
      <c r="J87" s="8" cm="1">
        <f t="array" ref="J87">IF(J$8=-1,K87,IF(J$8=99,I87,IF(J$8=0,INDEX($E87:$I87,0,J$6),(INDEX($E87:$I87,0,J$8+1)-INDEX($E87:$I87,0,J$8))/(INDEX($D$5:$H$5,0,J$8+1)-INDEX($D$5:$H$5,0,J$8))+I87)))</f>
        <v>0</v>
      </c>
      <c r="K87" s="8" cm="1">
        <f t="array" ref="K87">IF(K$8=-1,L87,IF(K$8=99,J87,IF(K$8=0,INDEX($E87:$I87,0,K$6),(INDEX($E87:$I87,0,K$8+1)-INDEX($E87:$I87,0,K$8))/(INDEX($D$5:$H$5,0,K$8+1)-INDEX($D$5:$H$5,0,K$8))+J87)))</f>
        <v>0</v>
      </c>
      <c r="L87" s="8" cm="1">
        <f t="array" ref="L87">IF(L$8=-1,M87,IF(L$8=99,K87,IF(L$8=0,INDEX($E87:$I87,0,L$6),(INDEX($E87:$I87,0,L$8+1)-INDEX($E87:$I87,0,L$8))/(INDEX($D$5:$H$5,0,L$8+1)-INDEX($D$5:$H$5,0,L$8))+K87)))</f>
        <v>0</v>
      </c>
      <c r="M87" s="8" cm="1">
        <f t="array" ref="M87">IF(M$8=-1,N87,IF(M$8=99,L87,IF(M$8=0,INDEX($E87:$I87,0,M$6),(INDEX($E87:$I87,0,M$8+1)-INDEX($E87:$I87,0,M$8))/(INDEX($D$5:$H$5,0,M$8+1)-INDEX($D$5:$H$5,0,M$8))+L87)))</f>
        <v>0</v>
      </c>
      <c r="N87" s="8" cm="1">
        <f t="array" ref="N87">IF(N$8=-1,O87,IF(N$8=99,M87,IF(N$8=0,INDEX($E87:$I87,0,N$6),(INDEX($E87:$I87,0,N$8+1)-INDEX($E87:$I87,0,N$8))/(INDEX($D$5:$H$5,0,N$8+1)-INDEX($D$5:$H$5,0,N$8))+M87)))</f>
        <v>0</v>
      </c>
      <c r="O87" s="8" cm="1">
        <f t="array" ref="O87">IF(O$8=-1,P87,IF(O$8=99,N87,IF(O$8=0,INDEX($E87:$I87,0,O$6),(INDEX($E87:$I87,0,O$8+1)-INDEX($E87:$I87,0,O$8))/(INDEX($D$5:$H$5,0,O$8+1)-INDEX($D$5:$H$5,0,O$8))+N87)))</f>
        <v>0</v>
      </c>
      <c r="P87" s="8" cm="1">
        <f t="array" ref="P87">IF(P$8=-1,Q87,IF(P$8=99,O87,IF(P$8=0,INDEX($E87:$I87,0,P$6),(INDEX($E87:$I87,0,P$8+1)-INDEX($E87:$I87,0,P$8))/(INDEX($D$5:$H$5,0,P$8+1)-INDEX($D$5:$H$5,0,P$8))+O87)))</f>
        <v>0</v>
      </c>
      <c r="Q87" s="8" cm="1">
        <f t="array" ref="Q87">IF(Q$8=-1,R87,IF(Q$8=99,P87,IF(Q$8=0,INDEX($E87:$I87,0,Q$6),(INDEX($E87:$I87,0,Q$8+1)-INDEX($E87:$I87,0,Q$8))/(INDEX($D$5:$H$5,0,Q$8+1)-INDEX($D$5:$H$5,0,Q$8))+P87)))</f>
        <v>0</v>
      </c>
      <c r="R87" s="8" cm="1">
        <f t="array" ref="R87">IF(R$8=-1,S87,IF(R$8=99,Q87,IF(R$8=0,INDEX($E87:$I87,0,R$6),(INDEX($E87:$I87,0,R$8+1)-INDEX($E87:$I87,0,R$8))/(INDEX($D$5:$H$5,0,R$8+1)-INDEX($D$5:$H$5,0,R$8))+Q87)))</f>
        <v>0</v>
      </c>
      <c r="S87" s="8" cm="1">
        <f t="array" ref="S87">IF(S$8=-1,T87,IF(S$8=99,R87,IF(S$8=0,INDEX($E87:$I87,0,S$6),(INDEX($E87:$I87,0,S$8+1)-INDEX($E87:$I87,0,S$8))/(INDEX($D$5:$H$5,0,S$8+1)-INDEX($D$5:$H$5,0,S$8))+R87)))</f>
        <v>0</v>
      </c>
      <c r="T87" s="8" cm="1">
        <f t="array" ref="T87">IF(T$8=-1,U87,IF(T$8=99,S87,IF(T$8=0,INDEX($E87:$I87,0,T$6),(INDEX($E87:$I87,0,T$8+1)-INDEX($E87:$I87,0,T$8))/(INDEX($D$5:$H$5,0,T$8+1)-INDEX($D$5:$H$5,0,T$8))+S87)))</f>
        <v>0</v>
      </c>
      <c r="U87" s="8" cm="1">
        <f t="array" ref="U87">IF(U$8=-1,V87,IF(U$8=99,T87,IF(U$8=0,INDEX($E87:$I87,0,U$6),(INDEX($E87:$I87,0,U$8+1)-INDEX($E87:$I87,0,U$8))/(INDEX($D$5:$H$5,0,U$8+1)-INDEX($D$5:$H$5,0,U$8))+T87)))</f>
        <v>0</v>
      </c>
      <c r="V87" s="8" cm="1">
        <f t="array" ref="V87">IF(V$8=-1,W87,IF(V$8=99,U87,IF(V$8=0,INDEX($E87:$I87,0,V$6),(INDEX($E87:$I87,0,V$8+1)-INDEX($E87:$I87,0,V$8))/(INDEX($D$5:$H$5,0,V$8+1)-INDEX($D$5:$H$5,0,V$8))+U87)))</f>
        <v>0</v>
      </c>
      <c r="W87" s="8" cm="1">
        <f t="array" ref="W87">IF(W$8=-1,X87,IF(W$8=99,V87,IF(W$8=0,INDEX($E87:$I87,0,W$6),(INDEX($E87:$I87,0,W$8+1)-INDEX($E87:$I87,0,W$8))/(INDEX($D$5:$H$5,0,W$8+1)-INDEX($D$5:$H$5,0,W$8))+V87)))</f>
        <v>0</v>
      </c>
      <c r="X87" s="8" cm="1">
        <f t="array" ref="X87">IF(X$8=-1,Y87,IF(X$8=99,W87,IF(X$8=0,INDEX($E87:$I87,0,X$6),(INDEX($E87:$I87,0,X$8+1)-INDEX($E87:$I87,0,X$8))/(INDEX($D$5:$H$5,0,X$8+1)-INDEX($D$5:$H$5,0,X$8))+W87)))</f>
        <v>0</v>
      </c>
      <c r="Y87" s="8" cm="1">
        <f t="array" ref="Y87">IF(Y$8=-1,Z87,IF(Y$8=99,X87,IF(Y$8=0,INDEX($E87:$I87,0,Y$6),(INDEX($E87:$I87,0,Y$8+1)-INDEX($E87:$I87,0,Y$8))/(INDEX($D$5:$H$5,0,Y$8+1)-INDEX($D$5:$H$5,0,Y$8))+X87)))</f>
        <v>0</v>
      </c>
      <c r="Z87" s="8" cm="1">
        <f t="array" ref="Z87">IF(Z$8=-1,AA87,IF(Z$8=99,Y87,IF(Z$8=0,INDEX($E87:$I87,0,Z$6),(INDEX($E87:$I87,0,Z$8+1)-INDEX($E87:$I87,0,Z$8))/(INDEX($D$5:$H$5,0,Z$8+1)-INDEX($D$5:$H$5,0,Z$8))+Y87)))</f>
        <v>0</v>
      </c>
      <c r="AA87" s="8" cm="1">
        <f t="array" ref="AA87">IF(AA$8=-1,AB87,IF(AA$8=99,Z87,IF(AA$8=0,INDEX($E87:$I87,0,AA$6),(INDEX($E87:$I87,0,AA$8+1)-INDEX($E87:$I87,0,AA$8))/(INDEX($D$5:$H$5,0,AA$8+1)-INDEX($D$5:$H$5,0,AA$8))+Z87)))</f>
        <v>0</v>
      </c>
      <c r="AB87" s="8" cm="1">
        <f t="array" ref="AB87">IF(AB$8=-1,AC87,IF(AB$8=99,AA87,IF(AB$8=0,INDEX($E87:$I87,0,AB$6),(INDEX($E87:$I87,0,AB$8+1)-INDEX($E87:$I87,0,AB$8))/(INDEX($D$5:$H$5,0,AB$8+1)-INDEX($D$5:$H$5,0,AB$8))+AA87)))</f>
        <v>0</v>
      </c>
      <c r="AC87" s="8" cm="1">
        <f t="array" ref="AC87">IF(AC$8=-1,AD87,IF(AC$8=99,AB87,IF(AC$8=0,INDEX($E87:$I87,0,AC$6),(INDEX($E87:$I87,0,AC$8+1)-INDEX($E87:$I87,0,AC$8))/(INDEX($D$5:$H$5,0,AC$8+1)-INDEX($D$5:$H$5,0,AC$8))+AB87)))</f>
        <v>0</v>
      </c>
      <c r="AD87" s="8" cm="1">
        <f t="array" ref="AD87">IF(AD$8=-1,AE87,IF(AD$8=99,AC87,IF(AD$8=0,INDEX($E87:$I87,0,AD$6),(INDEX($E87:$I87,0,AD$8+1)-INDEX($E87:$I87,0,AD$8))/(INDEX($D$5:$H$5,0,AD$8+1)-INDEX($D$5:$H$5,0,AD$8))+AC87)))</f>
        <v>0</v>
      </c>
      <c r="AE87" s="8" cm="1">
        <f t="array" ref="AE87">IF(AE$8=-1,AF87,IF(AE$8=99,AD87,IF(AE$8=0,INDEX($E87:$I87,0,AE$6),(INDEX($E87:$I87,0,AE$8+1)-INDEX($E87:$I87,0,AE$8))/(INDEX($D$5:$H$5,0,AE$8+1)-INDEX($D$5:$H$5,0,AE$8))+AD87)))</f>
        <v>0</v>
      </c>
      <c r="AF87" s="8" cm="1">
        <f t="array" ref="AF87">IF(AF$8=-1,AG87,IF(AF$8=99,AE87,IF(AF$8=0,INDEX($E87:$I87,0,AF$6),(INDEX($E87:$I87,0,AF$8+1)-INDEX($E87:$I87,0,AF$8))/(INDEX($D$5:$H$5,0,AF$8+1)-INDEX($D$5:$H$5,0,AF$8))+AE87)))</f>
        <v>0</v>
      </c>
      <c r="AG87" s="8" cm="1">
        <f t="array" ref="AG87">IF(AG$8=-1,AH87,IF(AG$8=99,AF87,IF(AG$8=0,INDEX($E87:$I87,0,AG$6),(INDEX($E87:$I87,0,AG$8+1)-INDEX($E87:$I87,0,AG$8))/(INDEX($D$5:$H$5,0,AG$8+1)-INDEX($D$5:$H$5,0,AG$8))+AF87)))</f>
        <v>0</v>
      </c>
      <c r="AH87" s="8" cm="1">
        <f t="array" ref="AH87">IF(AH$8=-1,AI87,IF(AH$8=99,AG87,IF(AH$8=0,INDEX($E87:$I87,0,AH$6),(INDEX($E87:$I87,0,AH$8+1)-INDEX($E87:$I87,0,AH$8))/(INDEX($D$5:$H$5,0,AH$8+1)-INDEX($D$5:$H$5,0,AH$8))+AG87)))</f>
        <v>0</v>
      </c>
      <c r="AI87" s="8" cm="1">
        <f t="array" ref="AI87">IF(AI$8=-1,AJ87,IF(AI$8=99,AH87,IF(AI$8=0,INDEX($E87:$I87,0,AI$6),(INDEX($E87:$I87,0,AI$8+1)-INDEX($E87:$I87,0,AI$8))/(INDEX($D$5:$H$5,0,AI$8+1)-INDEX($D$5:$H$5,0,AI$8))+AH87)))</f>
        <v>0</v>
      </c>
      <c r="AJ87" s="8" cm="1">
        <f t="array" ref="AJ87">IF(AJ$8=-1,AK87,IF(AJ$8=99,AI87,IF(AJ$8=0,INDEX($E87:$I87,0,AJ$6),(INDEX($E87:$I87,0,AJ$8+1)-INDEX($E87:$I87,0,AJ$8))/(INDEX($D$5:$H$5,0,AJ$8+1)-INDEX($D$5:$H$5,0,AJ$8))+AI87)))</f>
        <v>0</v>
      </c>
      <c r="AK87" s="8" cm="1">
        <f t="array" ref="AK87">IF(AK$8=-1,AL87,IF(AK$8=99,AJ87,IF(AK$8=0,INDEX($E87:$I87,0,AK$6),(INDEX($E87:$I87,0,AK$8+1)-INDEX($E87:$I87,0,AK$8))/(INDEX($D$5:$H$5,0,AK$8+1)-INDEX($D$5:$H$5,0,AK$8))+AJ87)))</f>
        <v>0</v>
      </c>
      <c r="AL87" s="8" cm="1">
        <f t="array" ref="AL87">IF(AL$8=-1,AM87,IF(AL$8=99,AK87,IF(AL$8=0,INDEX($E87:$I87,0,AL$6),(INDEX($E87:$I87,0,AL$8+1)-INDEX($E87:$I87,0,AL$8))/(INDEX($D$5:$H$5,0,AL$8+1)-INDEX($D$5:$H$5,0,AL$8))+AK87)))</f>
        <v>0</v>
      </c>
      <c r="AM87" s="8" cm="1">
        <f t="array" ref="AM87">IF(AM$8=-1,AN87,IF(AM$8=99,AL87,IF(AM$8=0,INDEX($E87:$I87,0,AM$6),(INDEX($E87:$I87,0,AM$8+1)-INDEX($E87:$I87,0,AM$8))/(INDEX($D$5:$H$5,0,AM$8+1)-INDEX($D$5:$H$5,0,AM$8))+AL87)))</f>
        <v>0</v>
      </c>
      <c r="AN87" s="8" cm="1">
        <f t="array" ref="AN87">IF(AN$8=-1,AO87,IF(AN$8=99,AM87,IF(AN$8=0,INDEX($E87:$I87,0,AN$6),(INDEX($E87:$I87,0,AN$8+1)-INDEX($E87:$I87,0,AN$8))/(INDEX($D$5:$H$5,0,AN$8+1)-INDEX($D$5:$H$5,0,AN$8))+AM87)))</f>
        <v>0</v>
      </c>
      <c r="AO87" s="8" cm="1">
        <f t="array" ref="AO87">IF(AO$8=-1,AP87,IF(AO$8=99,AN87,IF(AO$8=0,INDEX($E87:$I87,0,AO$6),(INDEX($E87:$I87,0,AO$8+1)-INDEX($E87:$I87,0,AO$8))/(INDEX($D$5:$H$5,0,AO$8+1)-INDEX($D$5:$H$5,0,AO$8))+AN87)))</f>
        <v>0</v>
      </c>
      <c r="AP87" s="8" cm="1">
        <f t="array" ref="AP87">IF(AP$8=-1,AQ87,IF(AP$8=99,AO87,IF(AP$8=0,INDEX($E87:$I87,0,AP$6),(INDEX($E87:$I87,0,AP$8+1)-INDEX($E87:$I87,0,AP$8))/(INDEX($D$5:$H$5,0,AP$8+1)-INDEX($D$5:$H$5,0,AP$8))+AO87)))</f>
        <v>0</v>
      </c>
      <c r="AQ87" s="8" cm="1">
        <f t="array" ref="AQ87">IF(AQ$8=-1,AR87,IF(AQ$8=99,AP87,IF(AQ$8=0,INDEX($E87:$I87,0,AQ$6),(INDEX($E87:$I87,0,AQ$8+1)-INDEX($E87:$I87,0,AQ$8))/(INDEX($D$5:$H$5,0,AQ$8+1)-INDEX($D$5:$H$5,0,AQ$8))+AP87)))</f>
        <v>0</v>
      </c>
      <c r="AR87" s="8" cm="1">
        <f t="array" ref="AR87">IF(AR$8=-1,AS87,IF(AR$8=99,AQ87,IF(AR$8=0,INDEX($E87:$I87,0,AR$6),(INDEX($E87:$I87,0,AR$8+1)-INDEX($E87:$I87,0,AR$8))/(INDEX($D$5:$H$5,0,AR$8+1)-INDEX($D$5:$H$5,0,AR$8))+AQ87)))</f>
        <v>0</v>
      </c>
      <c r="AS87" s="8" cm="1">
        <f t="array" ref="AS87">IF(AS$8=-1,AT87,IF(AS$8=99,AR87,IF(AS$8=0,INDEX($E87:$I87,0,AS$6),(INDEX($E87:$I87,0,AS$8+1)-INDEX($E87:$I87,0,AS$8))/(INDEX($D$5:$H$5,0,AS$8+1)-INDEX($D$5:$H$5,0,AS$8))+AR87)))</f>
        <v>0</v>
      </c>
      <c r="AT87" s="8" cm="1">
        <f t="array" ref="AT87">IF(AT$8=-1,AU87,IF(AT$8=99,AS87,IF(AT$8=0,INDEX($E87:$I87,0,AT$6),(INDEX($E87:$I87,0,AT$8+1)-INDEX($E87:$I87,0,AT$8))/(INDEX($D$5:$H$5,0,AT$8+1)-INDEX($D$5:$H$5,0,AT$8))+AS87)))</f>
        <v>0</v>
      </c>
      <c r="AU87" s="8" cm="1">
        <f t="array" ref="AU87">IF(AU$8=-1,AV87,IF(AU$8=99,AT87,IF(AU$8=0,INDEX($E87:$I87,0,AU$6),(INDEX($E87:$I87,0,AU$8+1)-INDEX($E87:$I87,0,AU$8))/(INDEX($D$5:$H$5,0,AU$8+1)-INDEX($D$5:$H$5,0,AU$8))+AT87)))</f>
        <v>0</v>
      </c>
      <c r="AV87" s="8" cm="1">
        <f t="array" ref="AV87">IF(AV$8=-1,AW87,IF(AV$8=99,AU87,IF(AV$8=0,INDEX($E87:$I87,0,AV$6),(INDEX($E87:$I87,0,AV$8+1)-INDEX($E87:$I87,0,AV$8))/(INDEX($D$5:$H$5,0,AV$8+1)-INDEX($D$5:$H$5,0,AV$8))+AU87)))</f>
        <v>0</v>
      </c>
    </row>
    <row r="88" spans="1:48">
      <c r="A88" s="185" t="s">
        <v>16</v>
      </c>
      <c r="B88" s="263" t="s">
        <v>255</v>
      </c>
      <c r="C88" s="107" t="str">
        <f t="shared" si="28"/>
        <v>Commercial - Public Water</v>
      </c>
      <c r="D88" s="107" t="s">
        <v>75</v>
      </c>
      <c r="E88" s="167">
        <f t="shared" si="31"/>
        <v>0</v>
      </c>
      <c r="F88" s="104">
        <f t="shared" si="31"/>
        <v>0</v>
      </c>
      <c r="G88" s="168">
        <f t="shared" si="29"/>
        <v>0</v>
      </c>
      <c r="H88" s="104">
        <f t="shared" si="32"/>
        <v>0</v>
      </c>
      <c r="I88" s="169">
        <f t="shared" si="30"/>
        <v>0</v>
      </c>
      <c r="J88" s="8" cm="1">
        <f t="array" ref="J88">IF(J$8=-1,K88,IF(J$8=99,I88,IF(J$8=0,INDEX($E88:$I88,0,J$6),(INDEX($E88:$I88,0,J$8+1)-INDEX($E88:$I88,0,J$8))/(INDEX($D$5:$H$5,0,J$8+1)-INDEX($D$5:$H$5,0,J$8))+I88)))</f>
        <v>0</v>
      </c>
      <c r="K88" s="8" cm="1">
        <f t="array" ref="K88">IF(K$8=-1,L88,IF(K$8=99,J88,IF(K$8=0,INDEX($E88:$I88,0,K$6),(INDEX($E88:$I88,0,K$8+1)-INDEX($E88:$I88,0,K$8))/(INDEX($D$5:$H$5,0,K$8+1)-INDEX($D$5:$H$5,0,K$8))+J88)))</f>
        <v>0</v>
      </c>
      <c r="L88" s="8" cm="1">
        <f t="array" ref="L88">IF(L$8=-1,M88,IF(L$8=99,K88,IF(L$8=0,INDEX($E88:$I88,0,L$6),(INDEX($E88:$I88,0,L$8+1)-INDEX($E88:$I88,0,L$8))/(INDEX($D$5:$H$5,0,L$8+1)-INDEX($D$5:$H$5,0,L$8))+K88)))</f>
        <v>0</v>
      </c>
      <c r="M88" s="8" cm="1">
        <f t="array" ref="M88">IF(M$8=-1,N88,IF(M$8=99,L88,IF(M$8=0,INDEX($E88:$I88,0,M$6),(INDEX($E88:$I88,0,M$8+1)-INDEX($E88:$I88,0,M$8))/(INDEX($D$5:$H$5,0,M$8+1)-INDEX($D$5:$H$5,0,M$8))+L88)))</f>
        <v>0</v>
      </c>
      <c r="N88" s="8" cm="1">
        <f t="array" ref="N88">IF(N$8=-1,O88,IF(N$8=99,M88,IF(N$8=0,INDEX($E88:$I88,0,N$6),(INDEX($E88:$I88,0,N$8+1)-INDEX($E88:$I88,0,N$8))/(INDEX($D$5:$H$5,0,N$8+1)-INDEX($D$5:$H$5,0,N$8))+M88)))</f>
        <v>0</v>
      </c>
      <c r="O88" s="8" cm="1">
        <f t="array" ref="O88">IF(O$8=-1,P88,IF(O$8=99,N88,IF(O$8=0,INDEX($E88:$I88,0,O$6),(INDEX($E88:$I88,0,O$8+1)-INDEX($E88:$I88,0,O$8))/(INDEX($D$5:$H$5,0,O$8+1)-INDEX($D$5:$H$5,0,O$8))+N88)))</f>
        <v>0</v>
      </c>
      <c r="P88" s="8" cm="1">
        <f t="array" ref="P88">IF(P$8=-1,Q88,IF(P$8=99,O88,IF(P$8=0,INDEX($E88:$I88,0,P$6),(INDEX($E88:$I88,0,P$8+1)-INDEX($E88:$I88,0,P$8))/(INDEX($D$5:$H$5,0,P$8+1)-INDEX($D$5:$H$5,0,P$8))+O88)))</f>
        <v>0</v>
      </c>
      <c r="Q88" s="8" cm="1">
        <f t="array" ref="Q88">IF(Q$8=-1,R88,IF(Q$8=99,P88,IF(Q$8=0,INDEX($E88:$I88,0,Q$6),(INDEX($E88:$I88,0,Q$8+1)-INDEX($E88:$I88,0,Q$8))/(INDEX($D$5:$H$5,0,Q$8+1)-INDEX($D$5:$H$5,0,Q$8))+P88)))</f>
        <v>0</v>
      </c>
      <c r="R88" s="8" cm="1">
        <f t="array" ref="R88">IF(R$8=-1,S88,IF(R$8=99,Q88,IF(R$8=0,INDEX($E88:$I88,0,R$6),(INDEX($E88:$I88,0,R$8+1)-INDEX($E88:$I88,0,R$8))/(INDEX($D$5:$H$5,0,R$8+1)-INDEX($D$5:$H$5,0,R$8))+Q88)))</f>
        <v>0</v>
      </c>
      <c r="S88" s="8" cm="1">
        <f t="array" ref="S88">IF(S$8=-1,T88,IF(S$8=99,R88,IF(S$8=0,INDEX($E88:$I88,0,S$6),(INDEX($E88:$I88,0,S$8+1)-INDEX($E88:$I88,0,S$8))/(INDEX($D$5:$H$5,0,S$8+1)-INDEX($D$5:$H$5,0,S$8))+R88)))</f>
        <v>0</v>
      </c>
      <c r="T88" s="8" cm="1">
        <f t="array" ref="T88">IF(T$8=-1,U88,IF(T$8=99,S88,IF(T$8=0,INDEX($E88:$I88,0,T$6),(INDEX($E88:$I88,0,T$8+1)-INDEX($E88:$I88,0,T$8))/(INDEX($D$5:$H$5,0,T$8+1)-INDEX($D$5:$H$5,0,T$8))+S88)))</f>
        <v>0</v>
      </c>
      <c r="U88" s="8" cm="1">
        <f t="array" ref="U88">IF(U$8=-1,V88,IF(U$8=99,T88,IF(U$8=0,INDEX($E88:$I88,0,U$6),(INDEX($E88:$I88,0,U$8+1)-INDEX($E88:$I88,0,U$8))/(INDEX($D$5:$H$5,0,U$8+1)-INDEX($D$5:$H$5,0,U$8))+T88)))</f>
        <v>0</v>
      </c>
      <c r="V88" s="8" cm="1">
        <f t="array" ref="V88">IF(V$8=-1,W88,IF(V$8=99,U88,IF(V$8=0,INDEX($E88:$I88,0,V$6),(INDEX($E88:$I88,0,V$8+1)-INDEX($E88:$I88,0,V$8))/(INDEX($D$5:$H$5,0,V$8+1)-INDEX($D$5:$H$5,0,V$8))+U88)))</f>
        <v>0</v>
      </c>
      <c r="W88" s="8" cm="1">
        <f t="array" ref="W88">IF(W$8=-1,X88,IF(W$8=99,V88,IF(W$8=0,INDEX($E88:$I88,0,W$6),(INDEX($E88:$I88,0,W$8+1)-INDEX($E88:$I88,0,W$8))/(INDEX($D$5:$H$5,0,W$8+1)-INDEX($D$5:$H$5,0,W$8))+V88)))</f>
        <v>0</v>
      </c>
      <c r="X88" s="8" cm="1">
        <f t="array" ref="X88">IF(X$8=-1,Y88,IF(X$8=99,W88,IF(X$8=0,INDEX($E88:$I88,0,X$6),(INDEX($E88:$I88,0,X$8+1)-INDEX($E88:$I88,0,X$8))/(INDEX($D$5:$H$5,0,X$8+1)-INDEX($D$5:$H$5,0,X$8))+W88)))</f>
        <v>0</v>
      </c>
      <c r="Y88" s="8" cm="1">
        <f t="array" ref="Y88">IF(Y$8=-1,Z88,IF(Y$8=99,X88,IF(Y$8=0,INDEX($E88:$I88,0,Y$6),(INDEX($E88:$I88,0,Y$8+1)-INDEX($E88:$I88,0,Y$8))/(INDEX($D$5:$H$5,0,Y$8+1)-INDEX($D$5:$H$5,0,Y$8))+X88)))</f>
        <v>0</v>
      </c>
      <c r="Z88" s="8" cm="1">
        <f t="array" ref="Z88">IF(Z$8=-1,AA88,IF(Z$8=99,Y88,IF(Z$8=0,INDEX($E88:$I88,0,Z$6),(INDEX($E88:$I88,0,Z$8+1)-INDEX($E88:$I88,0,Z$8))/(INDEX($D$5:$H$5,0,Z$8+1)-INDEX($D$5:$H$5,0,Z$8))+Y88)))</f>
        <v>0</v>
      </c>
      <c r="AA88" s="8" cm="1">
        <f t="array" ref="AA88">IF(AA$8=-1,AB88,IF(AA$8=99,Z88,IF(AA$8=0,INDEX($E88:$I88,0,AA$6),(INDEX($E88:$I88,0,AA$8+1)-INDEX($E88:$I88,0,AA$8))/(INDEX($D$5:$H$5,0,AA$8+1)-INDEX($D$5:$H$5,0,AA$8))+Z88)))</f>
        <v>0</v>
      </c>
      <c r="AB88" s="8" cm="1">
        <f t="array" ref="AB88">IF(AB$8=-1,AC88,IF(AB$8=99,AA88,IF(AB$8=0,INDEX($E88:$I88,0,AB$6),(INDEX($E88:$I88,0,AB$8+1)-INDEX($E88:$I88,0,AB$8))/(INDEX($D$5:$H$5,0,AB$8+1)-INDEX($D$5:$H$5,0,AB$8))+AA88)))</f>
        <v>0</v>
      </c>
      <c r="AC88" s="8" cm="1">
        <f t="array" ref="AC88">IF(AC$8=-1,AD88,IF(AC$8=99,AB88,IF(AC$8=0,INDEX($E88:$I88,0,AC$6),(INDEX($E88:$I88,0,AC$8+1)-INDEX($E88:$I88,0,AC$8))/(INDEX($D$5:$H$5,0,AC$8+1)-INDEX($D$5:$H$5,0,AC$8))+AB88)))</f>
        <v>0</v>
      </c>
      <c r="AD88" s="8" cm="1">
        <f t="array" ref="AD88">IF(AD$8=-1,AE88,IF(AD$8=99,AC88,IF(AD$8=0,INDEX($E88:$I88,0,AD$6),(INDEX($E88:$I88,0,AD$8+1)-INDEX($E88:$I88,0,AD$8))/(INDEX($D$5:$H$5,0,AD$8+1)-INDEX($D$5:$H$5,0,AD$8))+AC88)))</f>
        <v>0</v>
      </c>
      <c r="AE88" s="8" cm="1">
        <f t="array" ref="AE88">IF(AE$8=-1,AF88,IF(AE$8=99,AD88,IF(AE$8=0,INDEX($E88:$I88,0,AE$6),(INDEX($E88:$I88,0,AE$8+1)-INDEX($E88:$I88,0,AE$8))/(INDEX($D$5:$H$5,0,AE$8+1)-INDEX($D$5:$H$5,0,AE$8))+AD88)))</f>
        <v>0</v>
      </c>
      <c r="AF88" s="8" cm="1">
        <f t="array" ref="AF88">IF(AF$8=-1,AG88,IF(AF$8=99,AE88,IF(AF$8=0,INDEX($E88:$I88,0,AF$6),(INDEX($E88:$I88,0,AF$8+1)-INDEX($E88:$I88,0,AF$8))/(INDEX($D$5:$H$5,0,AF$8+1)-INDEX($D$5:$H$5,0,AF$8))+AE88)))</f>
        <v>0</v>
      </c>
      <c r="AG88" s="8" cm="1">
        <f t="array" ref="AG88">IF(AG$8=-1,AH88,IF(AG$8=99,AF88,IF(AG$8=0,INDEX($E88:$I88,0,AG$6),(INDEX($E88:$I88,0,AG$8+1)-INDEX($E88:$I88,0,AG$8))/(INDEX($D$5:$H$5,0,AG$8+1)-INDEX($D$5:$H$5,0,AG$8))+AF88)))</f>
        <v>0</v>
      </c>
      <c r="AH88" s="8" cm="1">
        <f t="array" ref="AH88">IF(AH$8=-1,AI88,IF(AH$8=99,AG88,IF(AH$8=0,INDEX($E88:$I88,0,AH$6),(INDEX($E88:$I88,0,AH$8+1)-INDEX($E88:$I88,0,AH$8))/(INDEX($D$5:$H$5,0,AH$8+1)-INDEX($D$5:$H$5,0,AH$8))+AG88)))</f>
        <v>0</v>
      </c>
      <c r="AI88" s="8" cm="1">
        <f t="array" ref="AI88">IF(AI$8=-1,AJ88,IF(AI$8=99,AH88,IF(AI$8=0,INDEX($E88:$I88,0,AI$6),(INDEX($E88:$I88,0,AI$8+1)-INDEX($E88:$I88,0,AI$8))/(INDEX($D$5:$H$5,0,AI$8+1)-INDEX($D$5:$H$5,0,AI$8))+AH88)))</f>
        <v>0</v>
      </c>
      <c r="AJ88" s="8" cm="1">
        <f t="array" ref="AJ88">IF(AJ$8=-1,AK88,IF(AJ$8=99,AI88,IF(AJ$8=0,INDEX($E88:$I88,0,AJ$6),(INDEX($E88:$I88,0,AJ$8+1)-INDEX($E88:$I88,0,AJ$8))/(INDEX($D$5:$H$5,0,AJ$8+1)-INDEX($D$5:$H$5,0,AJ$8))+AI88)))</f>
        <v>0</v>
      </c>
      <c r="AK88" s="8" cm="1">
        <f t="array" ref="AK88">IF(AK$8=-1,AL88,IF(AK$8=99,AJ88,IF(AK$8=0,INDEX($E88:$I88,0,AK$6),(INDEX($E88:$I88,0,AK$8+1)-INDEX($E88:$I88,0,AK$8))/(INDEX($D$5:$H$5,0,AK$8+1)-INDEX($D$5:$H$5,0,AK$8))+AJ88)))</f>
        <v>0</v>
      </c>
      <c r="AL88" s="8" cm="1">
        <f t="array" ref="AL88">IF(AL$8=-1,AM88,IF(AL$8=99,AK88,IF(AL$8=0,INDEX($E88:$I88,0,AL$6),(INDEX($E88:$I88,0,AL$8+1)-INDEX($E88:$I88,0,AL$8))/(INDEX($D$5:$H$5,0,AL$8+1)-INDEX($D$5:$H$5,0,AL$8))+AK88)))</f>
        <v>0</v>
      </c>
      <c r="AM88" s="8" cm="1">
        <f t="array" ref="AM88">IF(AM$8=-1,AN88,IF(AM$8=99,AL88,IF(AM$8=0,INDEX($E88:$I88,0,AM$6),(INDEX($E88:$I88,0,AM$8+1)-INDEX($E88:$I88,0,AM$8))/(INDEX($D$5:$H$5,0,AM$8+1)-INDEX($D$5:$H$5,0,AM$8))+AL88)))</f>
        <v>0</v>
      </c>
      <c r="AN88" s="8" cm="1">
        <f t="array" ref="AN88">IF(AN$8=-1,AO88,IF(AN$8=99,AM88,IF(AN$8=0,INDEX($E88:$I88,0,AN$6),(INDEX($E88:$I88,0,AN$8+1)-INDEX($E88:$I88,0,AN$8))/(INDEX($D$5:$H$5,0,AN$8+1)-INDEX($D$5:$H$5,0,AN$8))+AM88)))</f>
        <v>0</v>
      </c>
      <c r="AO88" s="8" cm="1">
        <f t="array" ref="AO88">IF(AO$8=-1,AP88,IF(AO$8=99,AN88,IF(AO$8=0,INDEX($E88:$I88,0,AO$6),(INDEX($E88:$I88,0,AO$8+1)-INDEX($E88:$I88,0,AO$8))/(INDEX($D$5:$H$5,0,AO$8+1)-INDEX($D$5:$H$5,0,AO$8))+AN88)))</f>
        <v>0</v>
      </c>
      <c r="AP88" s="8" cm="1">
        <f t="array" ref="AP88">IF(AP$8=-1,AQ88,IF(AP$8=99,AO88,IF(AP$8=0,INDEX($E88:$I88,0,AP$6),(INDEX($E88:$I88,0,AP$8+1)-INDEX($E88:$I88,0,AP$8))/(INDEX($D$5:$H$5,0,AP$8+1)-INDEX($D$5:$H$5,0,AP$8))+AO88)))</f>
        <v>0</v>
      </c>
      <c r="AQ88" s="8" cm="1">
        <f t="array" ref="AQ88">IF(AQ$8=-1,AR88,IF(AQ$8=99,AP88,IF(AQ$8=0,INDEX($E88:$I88,0,AQ$6),(INDEX($E88:$I88,0,AQ$8+1)-INDEX($E88:$I88,0,AQ$8))/(INDEX($D$5:$H$5,0,AQ$8+1)-INDEX($D$5:$H$5,0,AQ$8))+AP88)))</f>
        <v>0</v>
      </c>
      <c r="AR88" s="8" cm="1">
        <f t="array" ref="AR88">IF(AR$8=-1,AS88,IF(AR$8=99,AQ88,IF(AR$8=0,INDEX($E88:$I88,0,AR$6),(INDEX($E88:$I88,0,AR$8+1)-INDEX($E88:$I88,0,AR$8))/(INDEX($D$5:$H$5,0,AR$8+1)-INDEX($D$5:$H$5,0,AR$8))+AQ88)))</f>
        <v>0</v>
      </c>
      <c r="AS88" s="8" cm="1">
        <f t="array" ref="AS88">IF(AS$8=-1,AT88,IF(AS$8=99,AR88,IF(AS$8=0,INDEX($E88:$I88,0,AS$6),(INDEX($E88:$I88,0,AS$8+1)-INDEX($E88:$I88,0,AS$8))/(INDEX($D$5:$H$5,0,AS$8+1)-INDEX($D$5:$H$5,0,AS$8))+AR88)))</f>
        <v>0</v>
      </c>
      <c r="AT88" s="8" cm="1">
        <f t="array" ref="AT88">IF(AT$8=-1,AU88,IF(AT$8=99,AS88,IF(AT$8=0,INDEX($E88:$I88,0,AT$6),(INDEX($E88:$I88,0,AT$8+1)-INDEX($E88:$I88,0,AT$8))/(INDEX($D$5:$H$5,0,AT$8+1)-INDEX($D$5:$H$5,0,AT$8))+AS88)))</f>
        <v>0</v>
      </c>
      <c r="AU88" s="8" cm="1">
        <f t="array" ref="AU88">IF(AU$8=-1,AV88,IF(AU$8=99,AT88,IF(AU$8=0,INDEX($E88:$I88,0,AU$6),(INDEX($E88:$I88,0,AU$8+1)-INDEX($E88:$I88,0,AU$8))/(INDEX($D$5:$H$5,0,AU$8+1)-INDEX($D$5:$H$5,0,AU$8))+AT88)))</f>
        <v>0</v>
      </c>
      <c r="AV88" s="8" cm="1">
        <f t="array" ref="AV88">IF(AV$8=-1,AW88,IF(AV$8=99,AU88,IF(AV$8=0,INDEX($E88:$I88,0,AV$6),(INDEX($E88:$I88,0,AV$8+1)-INDEX($E88:$I88,0,AV$8))/(INDEX($D$5:$H$5,0,AV$8+1)-INDEX($D$5:$H$5,0,AV$8))+AU88)))</f>
        <v>0</v>
      </c>
    </row>
    <row r="89" spans="1:48">
      <c r="A89" s="185" t="s">
        <v>16</v>
      </c>
      <c r="B89" s="263" t="s">
        <v>256</v>
      </c>
      <c r="C89" s="87" t="str">
        <f t="shared" si="28"/>
        <v>Commercial - Other</v>
      </c>
      <c r="D89" s="87" t="s">
        <v>75</v>
      </c>
      <c r="E89" s="96">
        <f t="shared" si="31"/>
        <v>141.24997285391134</v>
      </c>
      <c r="F89" s="104">
        <f t="shared" si="31"/>
        <v>122.09850463575508</v>
      </c>
      <c r="G89" s="104">
        <f t="shared" si="29"/>
        <v>122.09850463575508</v>
      </c>
      <c r="H89" s="104">
        <f t="shared" si="32"/>
        <v>122.09850463575508</v>
      </c>
      <c r="I89" s="150">
        <f t="shared" si="30"/>
        <v>122.09850463575508</v>
      </c>
      <c r="J89" s="8" cm="1">
        <f t="array" ref="J89">IF(J$8=-1,K89,IF(J$8=99,I89,IF(J$8=0,INDEX($E89:$I89,0,J$6),(INDEX($E89:$I89,0,J$8+1)-INDEX($E89:$I89,0,J$8))/(INDEX($D$5:$H$5,0,J$8+1)-INDEX($D$5:$H$5,0,J$8))+I89)))</f>
        <v>141.24997285391134</v>
      </c>
      <c r="K89" s="8" cm="1">
        <f t="array" ref="K89">IF(K$8=-1,L89,IF(K$8=99,J89,IF(K$8=0,INDEX($E89:$I89,0,K$6),(INDEX($E89:$I89,0,K$8+1)-INDEX($E89:$I89,0,K$8))/(INDEX($D$5:$H$5,0,K$8+1)-INDEX($D$5:$H$5,0,K$8))+J89)))</f>
        <v>137.41967921028009</v>
      </c>
      <c r="L89" s="8" cm="1">
        <f t="array" ref="L89">IF(L$8=-1,M89,IF(L$8=99,K89,IF(L$8=0,INDEX($E89:$I89,0,L$6),(INDEX($E89:$I89,0,L$8+1)-INDEX($E89:$I89,0,L$8))/(INDEX($D$5:$H$5,0,L$8+1)-INDEX($D$5:$H$5,0,L$8))+K89)))</f>
        <v>133.58938556664884</v>
      </c>
      <c r="M89" s="8" cm="1">
        <f t="array" ref="M89">IF(M$8=-1,N89,IF(M$8=99,L89,IF(M$8=0,INDEX($E89:$I89,0,M$6),(INDEX($E89:$I89,0,M$8+1)-INDEX($E89:$I89,0,M$8))/(INDEX($D$5:$H$5,0,M$8+1)-INDEX($D$5:$H$5,0,M$8))+L89)))</f>
        <v>129.75909192301759</v>
      </c>
      <c r="N89" s="8" cm="1">
        <f t="array" ref="N89">IF(N$8=-1,O89,IF(N$8=99,M89,IF(N$8=0,INDEX($E89:$I89,0,N$6),(INDEX($E89:$I89,0,N$8+1)-INDEX($E89:$I89,0,N$8))/(INDEX($D$5:$H$5,0,N$8+1)-INDEX($D$5:$H$5,0,N$8))+M89)))</f>
        <v>125.92879827938634</v>
      </c>
      <c r="O89" s="8" cm="1">
        <f t="array" ref="O89">IF(O$8=-1,P89,IF(O$8=99,N89,IF(O$8=0,INDEX($E89:$I89,0,O$6),(INDEX($E89:$I89,0,O$8+1)-INDEX($E89:$I89,0,O$8))/(INDEX($D$5:$H$5,0,O$8+1)-INDEX($D$5:$H$5,0,O$8))+N89)))</f>
        <v>122.09850463575508</v>
      </c>
      <c r="P89" s="8" cm="1">
        <f t="array" ref="P89">IF(P$8=-1,Q89,IF(P$8=99,O89,IF(P$8=0,INDEX($E89:$I89,0,P$6),(INDEX($E89:$I89,0,P$8+1)-INDEX($E89:$I89,0,P$8))/(INDEX($D$5:$H$5,0,P$8+1)-INDEX($D$5:$H$5,0,P$8))+O89)))</f>
        <v>122.09850463575508</v>
      </c>
      <c r="Q89" s="8" cm="1">
        <f t="array" ref="Q89">IF(Q$8=-1,R89,IF(Q$8=99,P89,IF(Q$8=0,INDEX($E89:$I89,0,Q$6),(INDEX($E89:$I89,0,Q$8+1)-INDEX($E89:$I89,0,Q$8))/(INDEX($D$5:$H$5,0,Q$8+1)-INDEX($D$5:$H$5,0,Q$8))+P89)))</f>
        <v>122.09850463575508</v>
      </c>
      <c r="R89" s="8" cm="1">
        <f t="array" ref="R89">IF(R$8=-1,S89,IF(R$8=99,Q89,IF(R$8=0,INDEX($E89:$I89,0,R$6),(INDEX($E89:$I89,0,R$8+1)-INDEX($E89:$I89,0,R$8))/(INDEX($D$5:$H$5,0,R$8+1)-INDEX($D$5:$H$5,0,R$8))+Q89)))</f>
        <v>122.09850463575508</v>
      </c>
      <c r="S89" s="8" cm="1">
        <f t="array" ref="S89">IF(S$8=-1,T89,IF(S$8=99,R89,IF(S$8=0,INDEX($E89:$I89,0,S$6),(INDEX($E89:$I89,0,S$8+1)-INDEX($E89:$I89,0,S$8))/(INDEX($D$5:$H$5,0,S$8+1)-INDEX($D$5:$H$5,0,S$8))+R89)))</f>
        <v>122.09850463575508</v>
      </c>
      <c r="T89" s="8" cm="1">
        <f t="array" ref="T89">IF(T$8=-1,U89,IF(T$8=99,S89,IF(T$8=0,INDEX($E89:$I89,0,T$6),(INDEX($E89:$I89,0,T$8+1)-INDEX($E89:$I89,0,T$8))/(INDEX($D$5:$H$5,0,T$8+1)-INDEX($D$5:$H$5,0,T$8))+S89)))</f>
        <v>122.09850463575508</v>
      </c>
      <c r="U89" s="8" cm="1">
        <f t="array" ref="U89">IF(U$8=-1,V89,IF(U$8=99,T89,IF(U$8=0,INDEX($E89:$I89,0,U$6),(INDEX($E89:$I89,0,U$8+1)-INDEX($E89:$I89,0,U$8))/(INDEX($D$5:$H$5,0,U$8+1)-INDEX($D$5:$H$5,0,U$8))+T89)))</f>
        <v>122.09850463575508</v>
      </c>
      <c r="V89" s="8" cm="1">
        <f t="array" ref="V89">IF(V$8=-1,W89,IF(V$8=99,U89,IF(V$8=0,INDEX($E89:$I89,0,V$6),(INDEX($E89:$I89,0,V$8+1)-INDEX($E89:$I89,0,V$8))/(INDEX($D$5:$H$5,0,V$8+1)-INDEX($D$5:$H$5,0,V$8))+U89)))</f>
        <v>122.09850463575508</v>
      </c>
      <c r="W89" s="8" cm="1">
        <f t="array" ref="W89">IF(W$8=-1,X89,IF(W$8=99,V89,IF(W$8=0,INDEX($E89:$I89,0,W$6),(INDEX($E89:$I89,0,W$8+1)-INDEX($E89:$I89,0,W$8))/(INDEX($D$5:$H$5,0,W$8+1)-INDEX($D$5:$H$5,0,W$8))+V89)))</f>
        <v>122.09850463575508</v>
      </c>
      <c r="X89" s="8" cm="1">
        <f t="array" ref="X89">IF(X$8=-1,Y89,IF(X$8=99,W89,IF(X$8=0,INDEX($E89:$I89,0,X$6),(INDEX($E89:$I89,0,X$8+1)-INDEX($E89:$I89,0,X$8))/(INDEX($D$5:$H$5,0,X$8+1)-INDEX($D$5:$H$5,0,X$8))+W89)))</f>
        <v>122.09850463575508</v>
      </c>
      <c r="Y89" s="8" cm="1">
        <f t="array" ref="Y89">IF(Y$8=-1,Z89,IF(Y$8=99,X89,IF(Y$8=0,INDEX($E89:$I89,0,Y$6),(INDEX($E89:$I89,0,Y$8+1)-INDEX($E89:$I89,0,Y$8))/(INDEX($D$5:$H$5,0,Y$8+1)-INDEX($D$5:$H$5,0,Y$8))+X89)))</f>
        <v>122.09850463575508</v>
      </c>
      <c r="Z89" s="8" cm="1">
        <f t="array" ref="Z89">IF(Z$8=-1,AA89,IF(Z$8=99,Y89,IF(Z$8=0,INDEX($E89:$I89,0,Z$6),(INDEX($E89:$I89,0,Z$8+1)-INDEX($E89:$I89,0,Z$8))/(INDEX($D$5:$H$5,0,Z$8+1)-INDEX($D$5:$H$5,0,Z$8))+Y89)))</f>
        <v>122.09850463575508</v>
      </c>
      <c r="AA89" s="8" cm="1">
        <f t="array" ref="AA89">IF(AA$8=-1,AB89,IF(AA$8=99,Z89,IF(AA$8=0,INDEX($E89:$I89,0,AA$6),(INDEX($E89:$I89,0,AA$8+1)-INDEX($E89:$I89,0,AA$8))/(INDEX($D$5:$H$5,0,AA$8+1)-INDEX($D$5:$H$5,0,AA$8))+Z89)))</f>
        <v>122.09850463575508</v>
      </c>
      <c r="AB89" s="8" cm="1">
        <f t="array" ref="AB89">IF(AB$8=-1,AC89,IF(AB$8=99,AA89,IF(AB$8=0,INDEX($E89:$I89,0,AB$6),(INDEX($E89:$I89,0,AB$8+1)-INDEX($E89:$I89,0,AB$8))/(INDEX($D$5:$H$5,0,AB$8+1)-INDEX($D$5:$H$5,0,AB$8))+AA89)))</f>
        <v>122.09850463575508</v>
      </c>
      <c r="AC89" s="8" cm="1">
        <f t="array" ref="AC89">IF(AC$8=-1,AD89,IF(AC$8=99,AB89,IF(AC$8=0,INDEX($E89:$I89,0,AC$6),(INDEX($E89:$I89,0,AC$8+1)-INDEX($E89:$I89,0,AC$8))/(INDEX($D$5:$H$5,0,AC$8+1)-INDEX($D$5:$H$5,0,AC$8))+AB89)))</f>
        <v>122.09850463575508</v>
      </c>
      <c r="AD89" s="8" cm="1">
        <f t="array" ref="AD89">IF(AD$8=-1,AE89,IF(AD$8=99,AC89,IF(AD$8=0,INDEX($E89:$I89,0,AD$6),(INDEX($E89:$I89,0,AD$8+1)-INDEX($E89:$I89,0,AD$8))/(INDEX($D$5:$H$5,0,AD$8+1)-INDEX($D$5:$H$5,0,AD$8))+AC89)))</f>
        <v>122.09850463575508</v>
      </c>
      <c r="AE89" s="8" cm="1">
        <f t="array" ref="AE89">IF(AE$8=-1,AF89,IF(AE$8=99,AD89,IF(AE$8=0,INDEX($E89:$I89,0,AE$6),(INDEX($E89:$I89,0,AE$8+1)-INDEX($E89:$I89,0,AE$8))/(INDEX($D$5:$H$5,0,AE$8+1)-INDEX($D$5:$H$5,0,AE$8))+AD89)))</f>
        <v>122.09850463575508</v>
      </c>
      <c r="AF89" s="8" cm="1">
        <f t="array" ref="AF89">IF(AF$8=-1,AG89,IF(AF$8=99,AE89,IF(AF$8=0,INDEX($E89:$I89,0,AF$6),(INDEX($E89:$I89,0,AF$8+1)-INDEX($E89:$I89,0,AF$8))/(INDEX($D$5:$H$5,0,AF$8+1)-INDEX($D$5:$H$5,0,AF$8))+AE89)))</f>
        <v>122.09850463575508</v>
      </c>
      <c r="AG89" s="8" cm="1">
        <f t="array" ref="AG89">IF(AG$8=-1,AH89,IF(AG$8=99,AF89,IF(AG$8=0,INDEX($E89:$I89,0,AG$6),(INDEX($E89:$I89,0,AG$8+1)-INDEX($E89:$I89,0,AG$8))/(INDEX($D$5:$H$5,0,AG$8+1)-INDEX($D$5:$H$5,0,AG$8))+AF89)))</f>
        <v>122.09850463575508</v>
      </c>
      <c r="AH89" s="8" cm="1">
        <f t="array" ref="AH89">IF(AH$8=-1,AI89,IF(AH$8=99,AG89,IF(AH$8=0,INDEX($E89:$I89,0,AH$6),(INDEX($E89:$I89,0,AH$8+1)-INDEX($E89:$I89,0,AH$8))/(INDEX($D$5:$H$5,0,AH$8+1)-INDEX($D$5:$H$5,0,AH$8))+AG89)))</f>
        <v>122.09850463575508</v>
      </c>
      <c r="AI89" s="8" cm="1">
        <f t="array" ref="AI89">IF(AI$8=-1,AJ89,IF(AI$8=99,AH89,IF(AI$8=0,INDEX($E89:$I89,0,AI$6),(INDEX($E89:$I89,0,AI$8+1)-INDEX($E89:$I89,0,AI$8))/(INDEX($D$5:$H$5,0,AI$8+1)-INDEX($D$5:$H$5,0,AI$8))+AH89)))</f>
        <v>122.09850463575508</v>
      </c>
      <c r="AJ89" s="8" cm="1">
        <f t="array" ref="AJ89">IF(AJ$8=-1,AK89,IF(AJ$8=99,AI89,IF(AJ$8=0,INDEX($E89:$I89,0,AJ$6),(INDEX($E89:$I89,0,AJ$8+1)-INDEX($E89:$I89,0,AJ$8))/(INDEX($D$5:$H$5,0,AJ$8+1)-INDEX($D$5:$H$5,0,AJ$8))+AI89)))</f>
        <v>122.09850463575508</v>
      </c>
      <c r="AK89" s="8" cm="1">
        <f t="array" ref="AK89">IF(AK$8=-1,AL89,IF(AK$8=99,AJ89,IF(AK$8=0,INDEX($E89:$I89,0,AK$6),(INDEX($E89:$I89,0,AK$8+1)-INDEX($E89:$I89,0,AK$8))/(INDEX($D$5:$H$5,0,AK$8+1)-INDEX($D$5:$H$5,0,AK$8))+AJ89)))</f>
        <v>122.09850463575508</v>
      </c>
      <c r="AL89" s="8" cm="1">
        <f t="array" ref="AL89">IF(AL$8=-1,AM89,IF(AL$8=99,AK89,IF(AL$8=0,INDEX($E89:$I89,0,AL$6),(INDEX($E89:$I89,0,AL$8+1)-INDEX($E89:$I89,0,AL$8))/(INDEX($D$5:$H$5,0,AL$8+1)-INDEX($D$5:$H$5,0,AL$8))+AK89)))</f>
        <v>122.09850463575508</v>
      </c>
      <c r="AM89" s="8" cm="1">
        <f t="array" ref="AM89">IF(AM$8=-1,AN89,IF(AM$8=99,AL89,IF(AM$8=0,INDEX($E89:$I89,0,AM$6),(INDEX($E89:$I89,0,AM$8+1)-INDEX($E89:$I89,0,AM$8))/(INDEX($D$5:$H$5,0,AM$8+1)-INDEX($D$5:$H$5,0,AM$8))+AL89)))</f>
        <v>122.09850463575508</v>
      </c>
      <c r="AN89" s="8" cm="1">
        <f t="array" ref="AN89">IF(AN$8=-1,AO89,IF(AN$8=99,AM89,IF(AN$8=0,INDEX($E89:$I89,0,AN$6),(INDEX($E89:$I89,0,AN$8+1)-INDEX($E89:$I89,0,AN$8))/(INDEX($D$5:$H$5,0,AN$8+1)-INDEX($D$5:$H$5,0,AN$8))+AM89)))</f>
        <v>122.09850463575508</v>
      </c>
      <c r="AO89" s="8" cm="1">
        <f t="array" ref="AO89">IF(AO$8=-1,AP89,IF(AO$8=99,AN89,IF(AO$8=0,INDEX($E89:$I89,0,AO$6),(INDEX($E89:$I89,0,AO$8+1)-INDEX($E89:$I89,0,AO$8))/(INDEX($D$5:$H$5,0,AO$8+1)-INDEX($D$5:$H$5,0,AO$8))+AN89)))</f>
        <v>122.09850463575508</v>
      </c>
      <c r="AP89" s="8" cm="1">
        <f t="array" ref="AP89">IF(AP$8=-1,AQ89,IF(AP$8=99,AO89,IF(AP$8=0,INDEX($E89:$I89,0,AP$6),(INDEX($E89:$I89,0,AP$8+1)-INDEX($E89:$I89,0,AP$8))/(INDEX($D$5:$H$5,0,AP$8+1)-INDEX($D$5:$H$5,0,AP$8))+AO89)))</f>
        <v>122.09850463575508</v>
      </c>
      <c r="AQ89" s="8" cm="1">
        <f t="array" ref="AQ89">IF(AQ$8=-1,AR89,IF(AQ$8=99,AP89,IF(AQ$8=0,INDEX($E89:$I89,0,AQ$6),(INDEX($E89:$I89,0,AQ$8+1)-INDEX($E89:$I89,0,AQ$8))/(INDEX($D$5:$H$5,0,AQ$8+1)-INDEX($D$5:$H$5,0,AQ$8))+AP89)))</f>
        <v>122.09850463575508</v>
      </c>
      <c r="AR89" s="8" cm="1">
        <f t="array" ref="AR89">IF(AR$8=-1,AS89,IF(AR$8=99,AQ89,IF(AR$8=0,INDEX($E89:$I89,0,AR$6),(INDEX($E89:$I89,0,AR$8+1)-INDEX($E89:$I89,0,AR$8))/(INDEX($D$5:$H$5,0,AR$8+1)-INDEX($D$5:$H$5,0,AR$8))+AQ89)))</f>
        <v>122.09850463575508</v>
      </c>
      <c r="AS89" s="8" cm="1">
        <f t="array" ref="AS89">IF(AS$8=-1,AT89,IF(AS$8=99,AR89,IF(AS$8=0,INDEX($E89:$I89,0,AS$6),(INDEX($E89:$I89,0,AS$8+1)-INDEX($E89:$I89,0,AS$8))/(INDEX($D$5:$H$5,0,AS$8+1)-INDEX($D$5:$H$5,0,AS$8))+AR89)))</f>
        <v>122.09850463575508</v>
      </c>
      <c r="AT89" s="8" cm="1">
        <f t="array" ref="AT89">IF(AT$8=-1,AU89,IF(AT$8=99,AS89,IF(AT$8=0,INDEX($E89:$I89,0,AT$6),(INDEX($E89:$I89,0,AT$8+1)-INDEX($E89:$I89,0,AT$8))/(INDEX($D$5:$H$5,0,AT$8+1)-INDEX($D$5:$H$5,0,AT$8))+AS89)))</f>
        <v>122.09850463575508</v>
      </c>
      <c r="AU89" s="8" cm="1">
        <f t="array" ref="AU89">IF(AU$8=-1,AV89,IF(AU$8=99,AT89,IF(AU$8=0,INDEX($E89:$I89,0,AU$6),(INDEX($E89:$I89,0,AU$8+1)-INDEX($E89:$I89,0,AU$8))/(INDEX($D$5:$H$5,0,AU$8+1)-INDEX($D$5:$H$5,0,AU$8))+AT89)))</f>
        <v>122.09850463575508</v>
      </c>
      <c r="AV89" s="8" cm="1">
        <f t="array" ref="AV89">IF(AV$8=-1,AW89,IF(AV$8=99,AU89,IF(AV$8=0,INDEX($E89:$I89,0,AV$6),(INDEX($E89:$I89,0,AV$8+1)-INDEX($E89:$I89,0,AV$8))/(INDEX($D$5:$H$5,0,AV$8+1)-INDEX($D$5:$H$5,0,AV$8))+AU89)))</f>
        <v>122.09850463575508</v>
      </c>
    </row>
    <row r="90" spans="1:48">
      <c r="A90" s="185" t="s">
        <v>16</v>
      </c>
      <c r="B90" s="263"/>
      <c r="I90" s="151"/>
      <c r="K90" s="87"/>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row>
    <row r="91" spans="1:48" ht="15.75" thickBot="1">
      <c r="A91" s="185" t="s">
        <v>16</v>
      </c>
      <c r="B91" s="103" t="s">
        <v>485</v>
      </c>
      <c r="C91" s="84"/>
      <c r="D91" s="85"/>
      <c r="H91" s="175">
        <f>VLOOKUP($L$57,$K$59:$O$66,4)</f>
        <v>0</v>
      </c>
      <c r="I91" s="176">
        <f>VLOOKUP($L$57,$K$59:$O$66,5)</f>
        <v>0</v>
      </c>
      <c r="K91" s="87"/>
      <c r="P91" s="8"/>
      <c r="Q91" s="8"/>
      <c r="R91" s="8"/>
      <c r="S91" s="8"/>
      <c r="T91" s="8"/>
      <c r="U91" s="8"/>
      <c r="V91" s="8"/>
      <c r="W91" s="8"/>
      <c r="X91" s="8"/>
      <c r="Y91" s="8"/>
      <c r="Z91" s="8"/>
      <c r="AA91" s="8"/>
      <c r="AB91" s="8"/>
      <c r="AC91" s="8"/>
      <c r="AD91" s="8"/>
      <c r="AE91" s="8"/>
      <c r="AF91" s="8"/>
      <c r="AG91" s="8"/>
      <c r="AH91" s="8"/>
      <c r="AI91" s="8"/>
      <c r="AJ91" s="8"/>
      <c r="AK91" s="8"/>
      <c r="AL91" s="8"/>
      <c r="AM91" s="8"/>
      <c r="AN91" s="8"/>
      <c r="AO91" s="8"/>
      <c r="AP91" s="8"/>
      <c r="AQ91" s="8"/>
      <c r="AR91" s="8"/>
      <c r="AS91" s="8"/>
      <c r="AT91" s="8"/>
      <c r="AU91" s="8"/>
      <c r="AV91" s="8"/>
    </row>
    <row r="92" spans="1:48">
      <c r="A92" s="185" t="s">
        <v>16</v>
      </c>
      <c r="B92" s="263" t="str">
        <f>B70</f>
        <v>CEC</v>
      </c>
      <c r="C92" s="87" t="str">
        <f t="shared" ref="C92:C100" si="33">C81</f>
        <v>Commercial - Cooling</v>
      </c>
      <c r="D92" s="87" t="s">
        <v>75</v>
      </c>
      <c r="E92" s="96">
        <f>E81</f>
        <v>1051.567060091292</v>
      </c>
      <c r="F92" s="104">
        <f>F81</f>
        <v>863.94535743263168</v>
      </c>
      <c r="G92" s="104">
        <f t="shared" ref="G92:G100" si="34">F92</f>
        <v>863.94535743263168</v>
      </c>
      <c r="H92" s="104">
        <f>IF($L$57=-1,G92,((F92-E92)*2/5+E92)*(1+$H$91))</f>
        <v>863.94535743263168</v>
      </c>
      <c r="I92" s="150">
        <f>H92</f>
        <v>863.94535743263168</v>
      </c>
      <c r="J92" s="8" cm="1">
        <f t="array" ref="J92">IF(J$8=-1,K92,IF(J$8=99,I92,IF(J$8=0,INDEX($E92:$I92,0,J$6),(INDEX($E92:$I92,0,J$8+1)-INDEX($E92:$I92,0,J$8))/(INDEX($D$5:$H$5,0,J$8+1)-INDEX($D$5:$H$5,0,J$8))+I92)))</f>
        <v>1051.567060091292</v>
      </c>
      <c r="K92" s="8" cm="1">
        <f t="array" ref="K92">IF(K$8=-1,L92,IF(K$8=99,J92,IF(K$8=0,INDEX($E92:$I92,0,K$6),(INDEX($E92:$I92,0,K$8+1)-INDEX($E92:$I92,0,K$8))/(INDEX($D$5:$H$5,0,K$8+1)-INDEX($D$5:$H$5,0,K$8))+J92)))</f>
        <v>1014.0427195595599</v>
      </c>
      <c r="L92" s="8" cm="1">
        <f t="array" ref="L92">IF(L$8=-1,M92,IF(L$8=99,K92,IF(L$8=0,INDEX($E92:$I92,0,L$6),(INDEX($E92:$I92,0,L$8+1)-INDEX($E92:$I92,0,L$8))/(INDEX($D$5:$H$5,0,L$8+1)-INDEX($D$5:$H$5,0,L$8))+K92)))</f>
        <v>976.5183790278279</v>
      </c>
      <c r="M92" s="8" cm="1">
        <f t="array" ref="M92">IF(M$8=-1,N92,IF(M$8=99,L92,IF(M$8=0,INDEX($E92:$I92,0,M$6),(INDEX($E92:$I92,0,M$8+1)-INDEX($E92:$I92,0,M$8))/(INDEX($D$5:$H$5,0,M$8+1)-INDEX($D$5:$H$5,0,M$8))+L92)))</f>
        <v>938.99403849609587</v>
      </c>
      <c r="N92" s="8" cm="1">
        <f t="array" ref="N92">IF(N$8=-1,O92,IF(N$8=99,M92,IF(N$8=0,INDEX($E92:$I92,0,N$6),(INDEX($E92:$I92,0,N$8+1)-INDEX($E92:$I92,0,N$8))/(INDEX($D$5:$H$5,0,N$8+1)-INDEX($D$5:$H$5,0,N$8))+M92)))</f>
        <v>901.46969796436383</v>
      </c>
      <c r="O92" s="8" cm="1">
        <f t="array" ref="O92">IF(O$8=-1,P92,IF(O$8=99,N92,IF(O$8=0,INDEX($E92:$I92,0,O$6),(INDEX($E92:$I92,0,O$8+1)-INDEX($E92:$I92,0,O$8))/(INDEX($D$5:$H$5,0,O$8+1)-INDEX($D$5:$H$5,0,O$8))+N92)))</f>
        <v>863.94535743263168</v>
      </c>
      <c r="P92" s="8" cm="1">
        <f t="array" ref="P92">IF(P$8=-1,Q92,IF(P$8=99,O92,IF(P$8=0,INDEX($E92:$I92,0,P$6),(INDEX($E92:$I92,0,P$8+1)-INDEX($E92:$I92,0,P$8))/(INDEX($D$5:$H$5,0,P$8+1)-INDEX($D$5:$H$5,0,P$8))+O92)))</f>
        <v>863.94535743263168</v>
      </c>
      <c r="Q92" s="8" cm="1">
        <f t="array" ref="Q92">IF(Q$8=-1,R92,IF(Q$8=99,P92,IF(Q$8=0,INDEX($E92:$I92,0,Q$6),(INDEX($E92:$I92,0,Q$8+1)-INDEX($E92:$I92,0,Q$8))/(INDEX($D$5:$H$5,0,Q$8+1)-INDEX($D$5:$H$5,0,Q$8))+P92)))</f>
        <v>863.94535743263168</v>
      </c>
      <c r="R92" s="8" cm="1">
        <f t="array" ref="R92">IF(R$8=-1,S92,IF(R$8=99,Q92,IF(R$8=0,INDEX($E92:$I92,0,R$6),(INDEX($E92:$I92,0,R$8+1)-INDEX($E92:$I92,0,R$8))/(INDEX($D$5:$H$5,0,R$8+1)-INDEX($D$5:$H$5,0,R$8))+Q92)))</f>
        <v>863.94535743263168</v>
      </c>
      <c r="S92" s="8" cm="1">
        <f t="array" ref="S92">IF(S$8=-1,T92,IF(S$8=99,R92,IF(S$8=0,INDEX($E92:$I92,0,S$6),(INDEX($E92:$I92,0,S$8+1)-INDEX($E92:$I92,0,S$8))/(INDEX($D$5:$H$5,0,S$8+1)-INDEX($D$5:$H$5,0,S$8))+R92)))</f>
        <v>863.94535743263168</v>
      </c>
      <c r="T92" s="8" cm="1">
        <f t="array" ref="T92">IF(T$8=-1,U92,IF(T$8=99,S92,IF(T$8=0,INDEX($E92:$I92,0,T$6),(INDEX($E92:$I92,0,T$8+1)-INDEX($E92:$I92,0,T$8))/(INDEX($D$5:$H$5,0,T$8+1)-INDEX($D$5:$H$5,0,T$8))+S92)))</f>
        <v>863.94535743263168</v>
      </c>
      <c r="U92" s="8" cm="1">
        <f t="array" ref="U92">IF(U$8=-1,V92,IF(U$8=99,T92,IF(U$8=0,INDEX($E92:$I92,0,U$6),(INDEX($E92:$I92,0,U$8+1)-INDEX($E92:$I92,0,U$8))/(INDEX($D$5:$H$5,0,U$8+1)-INDEX($D$5:$H$5,0,U$8))+T92)))</f>
        <v>863.94535743263168</v>
      </c>
      <c r="V92" s="8" cm="1">
        <f t="array" ref="V92">IF(V$8=-1,W92,IF(V$8=99,U92,IF(V$8=0,INDEX($E92:$I92,0,V$6),(INDEX($E92:$I92,0,V$8+1)-INDEX($E92:$I92,0,V$8))/(INDEX($D$5:$H$5,0,V$8+1)-INDEX($D$5:$H$5,0,V$8))+U92)))</f>
        <v>863.94535743263168</v>
      </c>
      <c r="W92" s="8" cm="1">
        <f t="array" ref="W92">IF(W$8=-1,X92,IF(W$8=99,V92,IF(W$8=0,INDEX($E92:$I92,0,W$6),(INDEX($E92:$I92,0,W$8+1)-INDEX($E92:$I92,0,W$8))/(INDEX($D$5:$H$5,0,W$8+1)-INDEX($D$5:$H$5,0,W$8))+V92)))</f>
        <v>863.94535743263168</v>
      </c>
      <c r="X92" s="8" cm="1">
        <f t="array" ref="X92">IF(X$8=-1,Y92,IF(X$8=99,W92,IF(X$8=0,INDEX($E92:$I92,0,X$6),(INDEX($E92:$I92,0,X$8+1)-INDEX($E92:$I92,0,X$8))/(INDEX($D$5:$H$5,0,X$8+1)-INDEX($D$5:$H$5,0,X$8))+W92)))</f>
        <v>863.94535743263168</v>
      </c>
      <c r="Y92" s="8" cm="1">
        <f t="array" ref="Y92">IF(Y$8=-1,Z92,IF(Y$8=99,X92,IF(Y$8=0,INDEX($E92:$I92,0,Y$6),(INDEX($E92:$I92,0,Y$8+1)-INDEX($E92:$I92,0,Y$8))/(INDEX($D$5:$H$5,0,Y$8+1)-INDEX($D$5:$H$5,0,Y$8))+X92)))</f>
        <v>863.94535743263168</v>
      </c>
      <c r="Z92" s="8" cm="1">
        <f t="array" ref="Z92">IF(Z$8=-1,AA92,IF(Z$8=99,Y92,IF(Z$8=0,INDEX($E92:$I92,0,Z$6),(INDEX($E92:$I92,0,Z$8+1)-INDEX($E92:$I92,0,Z$8))/(INDEX($D$5:$H$5,0,Z$8+1)-INDEX($D$5:$H$5,0,Z$8))+Y92)))</f>
        <v>863.94535743263168</v>
      </c>
      <c r="AA92" s="8" cm="1">
        <f t="array" ref="AA92">IF(AA$8=-1,AB92,IF(AA$8=99,Z92,IF(AA$8=0,INDEX($E92:$I92,0,AA$6),(INDEX($E92:$I92,0,AA$8+1)-INDEX($E92:$I92,0,AA$8))/(INDEX($D$5:$H$5,0,AA$8+1)-INDEX($D$5:$H$5,0,AA$8))+Z92)))</f>
        <v>863.94535743263168</v>
      </c>
      <c r="AB92" s="8" cm="1">
        <f t="array" ref="AB92">IF(AB$8=-1,AC92,IF(AB$8=99,AA92,IF(AB$8=0,INDEX($E92:$I92,0,AB$6),(INDEX($E92:$I92,0,AB$8+1)-INDEX($E92:$I92,0,AB$8))/(INDEX($D$5:$H$5,0,AB$8+1)-INDEX($D$5:$H$5,0,AB$8))+AA92)))</f>
        <v>863.94535743263168</v>
      </c>
      <c r="AC92" s="8" cm="1">
        <f t="array" ref="AC92">IF(AC$8=-1,AD92,IF(AC$8=99,AB92,IF(AC$8=0,INDEX($E92:$I92,0,AC$6),(INDEX($E92:$I92,0,AC$8+1)-INDEX($E92:$I92,0,AC$8))/(INDEX($D$5:$H$5,0,AC$8+1)-INDEX($D$5:$H$5,0,AC$8))+AB92)))</f>
        <v>863.94535743263168</v>
      </c>
      <c r="AD92" s="8" cm="1">
        <f t="array" ref="AD92">IF(AD$8=-1,AE92,IF(AD$8=99,AC92,IF(AD$8=0,INDEX($E92:$I92,0,AD$6),(INDEX($E92:$I92,0,AD$8+1)-INDEX($E92:$I92,0,AD$8))/(INDEX($D$5:$H$5,0,AD$8+1)-INDEX($D$5:$H$5,0,AD$8))+AC92)))</f>
        <v>863.94535743263168</v>
      </c>
      <c r="AE92" s="8" cm="1">
        <f t="array" ref="AE92">IF(AE$8=-1,AF92,IF(AE$8=99,AD92,IF(AE$8=0,INDEX($E92:$I92,0,AE$6),(INDEX($E92:$I92,0,AE$8+1)-INDEX($E92:$I92,0,AE$8))/(INDEX($D$5:$H$5,0,AE$8+1)-INDEX($D$5:$H$5,0,AE$8))+AD92)))</f>
        <v>863.94535743263168</v>
      </c>
      <c r="AF92" s="8" cm="1">
        <f t="array" ref="AF92">IF(AF$8=-1,AG92,IF(AF$8=99,AE92,IF(AF$8=0,INDEX($E92:$I92,0,AF$6),(INDEX($E92:$I92,0,AF$8+1)-INDEX($E92:$I92,0,AF$8))/(INDEX($D$5:$H$5,0,AF$8+1)-INDEX($D$5:$H$5,0,AF$8))+AE92)))</f>
        <v>863.94535743263168</v>
      </c>
      <c r="AG92" s="8" cm="1">
        <f t="array" ref="AG92">IF(AG$8=-1,AH92,IF(AG$8=99,AF92,IF(AG$8=0,INDEX($E92:$I92,0,AG$6),(INDEX($E92:$I92,0,AG$8+1)-INDEX($E92:$I92,0,AG$8))/(INDEX($D$5:$H$5,0,AG$8+1)-INDEX($D$5:$H$5,0,AG$8))+AF92)))</f>
        <v>863.94535743263168</v>
      </c>
      <c r="AH92" s="8" cm="1">
        <f t="array" ref="AH92">IF(AH$8=-1,AI92,IF(AH$8=99,AG92,IF(AH$8=0,INDEX($E92:$I92,0,AH$6),(INDEX($E92:$I92,0,AH$8+1)-INDEX($E92:$I92,0,AH$8))/(INDEX($D$5:$H$5,0,AH$8+1)-INDEX($D$5:$H$5,0,AH$8))+AG92)))</f>
        <v>863.94535743263168</v>
      </c>
      <c r="AI92" s="8" cm="1">
        <f t="array" ref="AI92">IF(AI$8=-1,AJ92,IF(AI$8=99,AH92,IF(AI$8=0,INDEX($E92:$I92,0,AI$6),(INDEX($E92:$I92,0,AI$8+1)-INDEX($E92:$I92,0,AI$8))/(INDEX($D$5:$H$5,0,AI$8+1)-INDEX($D$5:$H$5,0,AI$8))+AH92)))</f>
        <v>863.94535743263168</v>
      </c>
      <c r="AJ92" s="8" cm="1">
        <f t="array" ref="AJ92">IF(AJ$8=-1,AK92,IF(AJ$8=99,AI92,IF(AJ$8=0,INDEX($E92:$I92,0,AJ$6),(INDEX($E92:$I92,0,AJ$8+1)-INDEX($E92:$I92,0,AJ$8))/(INDEX($D$5:$H$5,0,AJ$8+1)-INDEX($D$5:$H$5,0,AJ$8))+AI92)))</f>
        <v>863.94535743263168</v>
      </c>
      <c r="AK92" s="8" cm="1">
        <f t="array" ref="AK92">IF(AK$8=-1,AL92,IF(AK$8=99,AJ92,IF(AK$8=0,INDEX($E92:$I92,0,AK$6),(INDEX($E92:$I92,0,AK$8+1)-INDEX($E92:$I92,0,AK$8))/(INDEX($D$5:$H$5,0,AK$8+1)-INDEX($D$5:$H$5,0,AK$8))+AJ92)))</f>
        <v>863.94535743263168</v>
      </c>
      <c r="AL92" s="8" cm="1">
        <f t="array" ref="AL92">IF(AL$8=-1,AM92,IF(AL$8=99,AK92,IF(AL$8=0,INDEX($E92:$I92,0,AL$6),(INDEX($E92:$I92,0,AL$8+1)-INDEX($E92:$I92,0,AL$8))/(INDEX($D$5:$H$5,0,AL$8+1)-INDEX($D$5:$H$5,0,AL$8))+AK92)))</f>
        <v>863.94535743263168</v>
      </c>
      <c r="AM92" s="8" cm="1">
        <f t="array" ref="AM92">IF(AM$8=-1,AN92,IF(AM$8=99,AL92,IF(AM$8=0,INDEX($E92:$I92,0,AM$6),(INDEX($E92:$I92,0,AM$8+1)-INDEX($E92:$I92,0,AM$8))/(INDEX($D$5:$H$5,0,AM$8+1)-INDEX($D$5:$H$5,0,AM$8))+AL92)))</f>
        <v>863.94535743263168</v>
      </c>
      <c r="AN92" s="8" cm="1">
        <f t="array" ref="AN92">IF(AN$8=-1,AO92,IF(AN$8=99,AM92,IF(AN$8=0,INDEX($E92:$I92,0,AN$6),(INDEX($E92:$I92,0,AN$8+1)-INDEX($E92:$I92,0,AN$8))/(INDEX($D$5:$H$5,0,AN$8+1)-INDEX($D$5:$H$5,0,AN$8))+AM92)))</f>
        <v>863.94535743263168</v>
      </c>
      <c r="AO92" s="8" cm="1">
        <f t="array" ref="AO92">IF(AO$8=-1,AP92,IF(AO$8=99,AN92,IF(AO$8=0,INDEX($E92:$I92,0,AO$6),(INDEX($E92:$I92,0,AO$8+1)-INDEX($E92:$I92,0,AO$8))/(INDEX($D$5:$H$5,0,AO$8+1)-INDEX($D$5:$H$5,0,AO$8))+AN92)))</f>
        <v>863.94535743263168</v>
      </c>
      <c r="AP92" s="8" cm="1">
        <f t="array" ref="AP92">IF(AP$8=-1,AQ92,IF(AP$8=99,AO92,IF(AP$8=0,INDEX($E92:$I92,0,AP$6),(INDEX($E92:$I92,0,AP$8+1)-INDEX($E92:$I92,0,AP$8))/(INDEX($D$5:$H$5,0,AP$8+1)-INDEX($D$5:$H$5,0,AP$8))+AO92)))</f>
        <v>863.94535743263168</v>
      </c>
      <c r="AQ92" s="8" cm="1">
        <f t="array" ref="AQ92">IF(AQ$8=-1,AR92,IF(AQ$8=99,AP92,IF(AQ$8=0,INDEX($E92:$I92,0,AQ$6),(INDEX($E92:$I92,0,AQ$8+1)-INDEX($E92:$I92,0,AQ$8))/(INDEX($D$5:$H$5,0,AQ$8+1)-INDEX($D$5:$H$5,0,AQ$8))+AP92)))</f>
        <v>863.94535743263168</v>
      </c>
      <c r="AR92" s="8" cm="1">
        <f t="array" ref="AR92">IF(AR$8=-1,AS92,IF(AR$8=99,AQ92,IF(AR$8=0,INDEX($E92:$I92,0,AR$6),(INDEX($E92:$I92,0,AR$8+1)-INDEX($E92:$I92,0,AR$8))/(INDEX($D$5:$H$5,0,AR$8+1)-INDEX($D$5:$H$5,0,AR$8))+AQ92)))</f>
        <v>863.94535743263168</v>
      </c>
      <c r="AS92" s="8" cm="1">
        <f t="array" ref="AS92">IF(AS$8=-1,AT92,IF(AS$8=99,AR92,IF(AS$8=0,INDEX($E92:$I92,0,AS$6),(INDEX($E92:$I92,0,AS$8+1)-INDEX($E92:$I92,0,AS$8))/(INDEX($D$5:$H$5,0,AS$8+1)-INDEX($D$5:$H$5,0,AS$8))+AR92)))</f>
        <v>863.94535743263168</v>
      </c>
      <c r="AT92" s="8" cm="1">
        <f t="array" ref="AT92">IF(AT$8=-1,AU92,IF(AT$8=99,AS92,IF(AT$8=0,INDEX($E92:$I92,0,AT$6),(INDEX($E92:$I92,0,AT$8+1)-INDEX($E92:$I92,0,AT$8))/(INDEX($D$5:$H$5,0,AT$8+1)-INDEX($D$5:$H$5,0,AT$8))+AS92)))</f>
        <v>863.94535743263168</v>
      </c>
      <c r="AU92" s="8" cm="1">
        <f t="array" ref="AU92">IF(AU$8=-1,AV92,IF(AU$8=99,AT92,IF(AU$8=0,INDEX($E92:$I92,0,AU$6),(INDEX($E92:$I92,0,AU$8+1)-INDEX($E92:$I92,0,AU$8))/(INDEX($D$5:$H$5,0,AU$8+1)-INDEX($D$5:$H$5,0,AU$8))+AT92)))</f>
        <v>863.94535743263168</v>
      </c>
      <c r="AV92" s="8" cm="1">
        <f t="array" ref="AV92">IF(AV$8=-1,AW92,IF(AV$8=99,AU92,IF(AV$8=0,INDEX($E92:$I92,0,AV$6),(INDEX($E92:$I92,0,AV$8+1)-INDEX($E92:$I92,0,AV$8))/(INDEX($D$5:$H$5,0,AV$8+1)-INDEX($D$5:$H$5,0,AV$8))+AU92)))</f>
        <v>863.94535743263168</v>
      </c>
    </row>
    <row r="93" spans="1:48">
      <c r="A93" s="185" t="s">
        <v>16</v>
      </c>
      <c r="B93" s="263" t="str">
        <f t="shared" ref="B93:B100" si="35">B71</f>
        <v>CEH</v>
      </c>
      <c r="C93" s="87" t="str">
        <f t="shared" si="33"/>
        <v>Commercial - Space Heating</v>
      </c>
      <c r="D93" s="87" t="s">
        <v>75</v>
      </c>
      <c r="E93" s="96">
        <f t="shared" ref="E93:F100" si="36">E82</f>
        <v>59.117764859369188</v>
      </c>
      <c r="F93" s="104">
        <f t="shared" si="36"/>
        <v>82.391305130342559</v>
      </c>
      <c r="G93" s="104">
        <f t="shared" si="34"/>
        <v>82.391305130342559</v>
      </c>
      <c r="H93" s="104">
        <f t="shared" ref="H93:H97" si="37">IF($L$57=-1,G93,((F93-E93)*2/5+E93)*(1+$H$91))</f>
        <v>82.391305130342559</v>
      </c>
      <c r="I93" s="150">
        <f t="shared" ref="I93:I100" si="38">H93</f>
        <v>82.391305130342559</v>
      </c>
      <c r="J93" s="8" cm="1">
        <f t="array" ref="J93">IF(J$8=-1,K93,IF(J$8=99,I93,IF(J$8=0,INDEX($E93:$I93,0,J$6),(INDEX($E93:$I93,0,J$8+1)-INDEX($E93:$I93,0,J$8))/(INDEX($D$5:$H$5,0,J$8+1)-INDEX($D$5:$H$5,0,J$8))+I93)))</f>
        <v>59.117764859369188</v>
      </c>
      <c r="K93" s="8" cm="1">
        <f t="array" ref="K93">IF(K$8=-1,L93,IF(K$8=99,J93,IF(K$8=0,INDEX($E93:$I93,0,K$6),(INDEX($E93:$I93,0,K$8+1)-INDEX($E93:$I93,0,K$8))/(INDEX($D$5:$H$5,0,K$8+1)-INDEX($D$5:$H$5,0,K$8))+J93)))</f>
        <v>63.77247291356386</v>
      </c>
      <c r="L93" s="8" cm="1">
        <f t="array" ref="L93">IF(L$8=-1,M93,IF(L$8=99,K93,IF(L$8=0,INDEX($E93:$I93,0,L$6),(INDEX($E93:$I93,0,L$8+1)-INDEX($E93:$I93,0,L$8))/(INDEX($D$5:$H$5,0,L$8+1)-INDEX($D$5:$H$5,0,L$8))+K93)))</f>
        <v>68.427180967758531</v>
      </c>
      <c r="M93" s="8" cm="1">
        <f t="array" ref="M93">IF(M$8=-1,N93,IF(M$8=99,L93,IF(M$8=0,INDEX($E93:$I93,0,M$6),(INDEX($E93:$I93,0,M$8+1)-INDEX($E93:$I93,0,M$8))/(INDEX($D$5:$H$5,0,M$8+1)-INDEX($D$5:$H$5,0,M$8))+L93)))</f>
        <v>73.081889021953202</v>
      </c>
      <c r="N93" s="8" cm="1">
        <f t="array" ref="N93">IF(N$8=-1,O93,IF(N$8=99,M93,IF(N$8=0,INDEX($E93:$I93,0,N$6),(INDEX($E93:$I93,0,N$8+1)-INDEX($E93:$I93,0,N$8))/(INDEX($D$5:$H$5,0,N$8+1)-INDEX($D$5:$H$5,0,N$8))+M93)))</f>
        <v>77.736597076147874</v>
      </c>
      <c r="O93" s="8" cm="1">
        <f t="array" ref="O93">IF(O$8=-1,P93,IF(O$8=99,N93,IF(O$8=0,INDEX($E93:$I93,0,O$6),(INDEX($E93:$I93,0,O$8+1)-INDEX($E93:$I93,0,O$8))/(INDEX($D$5:$H$5,0,O$8+1)-INDEX($D$5:$H$5,0,O$8))+N93)))</f>
        <v>82.391305130342559</v>
      </c>
      <c r="P93" s="8" cm="1">
        <f t="array" ref="P93">IF(P$8=-1,Q93,IF(P$8=99,O93,IF(P$8=0,INDEX($E93:$I93,0,P$6),(INDEX($E93:$I93,0,P$8+1)-INDEX($E93:$I93,0,P$8))/(INDEX($D$5:$H$5,0,P$8+1)-INDEX($D$5:$H$5,0,P$8))+O93)))</f>
        <v>82.391305130342559</v>
      </c>
      <c r="Q93" s="8" cm="1">
        <f t="array" ref="Q93">IF(Q$8=-1,R93,IF(Q$8=99,P93,IF(Q$8=0,INDEX($E93:$I93,0,Q$6),(INDEX($E93:$I93,0,Q$8+1)-INDEX($E93:$I93,0,Q$8))/(INDEX($D$5:$H$5,0,Q$8+1)-INDEX($D$5:$H$5,0,Q$8))+P93)))</f>
        <v>82.391305130342559</v>
      </c>
      <c r="R93" s="8" cm="1">
        <f t="array" ref="R93">IF(R$8=-1,S93,IF(R$8=99,Q93,IF(R$8=0,INDEX($E93:$I93,0,R$6),(INDEX($E93:$I93,0,R$8+1)-INDEX($E93:$I93,0,R$8))/(INDEX($D$5:$H$5,0,R$8+1)-INDEX($D$5:$H$5,0,R$8))+Q93)))</f>
        <v>82.391305130342559</v>
      </c>
      <c r="S93" s="8" cm="1">
        <f t="array" ref="S93">IF(S$8=-1,T93,IF(S$8=99,R93,IF(S$8=0,INDEX($E93:$I93,0,S$6),(INDEX($E93:$I93,0,S$8+1)-INDEX($E93:$I93,0,S$8))/(INDEX($D$5:$H$5,0,S$8+1)-INDEX($D$5:$H$5,0,S$8))+R93)))</f>
        <v>82.391305130342559</v>
      </c>
      <c r="T93" s="8" cm="1">
        <f t="array" ref="T93">IF(T$8=-1,U93,IF(T$8=99,S93,IF(T$8=0,INDEX($E93:$I93,0,T$6),(INDEX($E93:$I93,0,T$8+1)-INDEX($E93:$I93,0,T$8))/(INDEX($D$5:$H$5,0,T$8+1)-INDEX($D$5:$H$5,0,T$8))+S93)))</f>
        <v>82.391305130342559</v>
      </c>
      <c r="U93" s="8" cm="1">
        <f t="array" ref="U93">IF(U$8=-1,V93,IF(U$8=99,T93,IF(U$8=0,INDEX($E93:$I93,0,U$6),(INDEX($E93:$I93,0,U$8+1)-INDEX($E93:$I93,0,U$8))/(INDEX($D$5:$H$5,0,U$8+1)-INDEX($D$5:$H$5,0,U$8))+T93)))</f>
        <v>82.391305130342559</v>
      </c>
      <c r="V93" s="8" cm="1">
        <f t="array" ref="V93">IF(V$8=-1,W93,IF(V$8=99,U93,IF(V$8=0,INDEX($E93:$I93,0,V$6),(INDEX($E93:$I93,0,V$8+1)-INDEX($E93:$I93,0,V$8))/(INDEX($D$5:$H$5,0,V$8+1)-INDEX($D$5:$H$5,0,V$8))+U93)))</f>
        <v>82.391305130342559</v>
      </c>
      <c r="W93" s="8" cm="1">
        <f t="array" ref="W93">IF(W$8=-1,X93,IF(W$8=99,V93,IF(W$8=0,INDEX($E93:$I93,0,W$6),(INDEX($E93:$I93,0,W$8+1)-INDEX($E93:$I93,0,W$8))/(INDEX($D$5:$H$5,0,W$8+1)-INDEX($D$5:$H$5,0,W$8))+V93)))</f>
        <v>82.391305130342559</v>
      </c>
      <c r="X93" s="8" cm="1">
        <f t="array" ref="X93">IF(X$8=-1,Y93,IF(X$8=99,W93,IF(X$8=0,INDEX($E93:$I93,0,X$6),(INDEX($E93:$I93,0,X$8+1)-INDEX($E93:$I93,0,X$8))/(INDEX($D$5:$H$5,0,X$8+1)-INDEX($D$5:$H$5,0,X$8))+W93)))</f>
        <v>82.391305130342559</v>
      </c>
      <c r="Y93" s="8" cm="1">
        <f t="array" ref="Y93">IF(Y$8=-1,Z93,IF(Y$8=99,X93,IF(Y$8=0,INDEX($E93:$I93,0,Y$6),(INDEX($E93:$I93,0,Y$8+1)-INDEX($E93:$I93,0,Y$8))/(INDEX($D$5:$H$5,0,Y$8+1)-INDEX($D$5:$H$5,0,Y$8))+X93)))</f>
        <v>82.391305130342559</v>
      </c>
      <c r="Z93" s="8" cm="1">
        <f t="array" ref="Z93">IF(Z$8=-1,AA93,IF(Z$8=99,Y93,IF(Z$8=0,INDEX($E93:$I93,0,Z$6),(INDEX($E93:$I93,0,Z$8+1)-INDEX($E93:$I93,0,Z$8))/(INDEX($D$5:$H$5,0,Z$8+1)-INDEX($D$5:$H$5,0,Z$8))+Y93)))</f>
        <v>82.391305130342559</v>
      </c>
      <c r="AA93" s="8" cm="1">
        <f t="array" ref="AA93">IF(AA$8=-1,AB93,IF(AA$8=99,Z93,IF(AA$8=0,INDEX($E93:$I93,0,AA$6),(INDEX($E93:$I93,0,AA$8+1)-INDEX($E93:$I93,0,AA$8))/(INDEX($D$5:$H$5,0,AA$8+1)-INDEX($D$5:$H$5,0,AA$8))+Z93)))</f>
        <v>82.391305130342559</v>
      </c>
      <c r="AB93" s="8" cm="1">
        <f t="array" ref="AB93">IF(AB$8=-1,AC93,IF(AB$8=99,AA93,IF(AB$8=0,INDEX($E93:$I93,0,AB$6),(INDEX($E93:$I93,0,AB$8+1)-INDEX($E93:$I93,0,AB$8))/(INDEX($D$5:$H$5,0,AB$8+1)-INDEX($D$5:$H$5,0,AB$8))+AA93)))</f>
        <v>82.391305130342559</v>
      </c>
      <c r="AC93" s="8" cm="1">
        <f t="array" ref="AC93">IF(AC$8=-1,AD93,IF(AC$8=99,AB93,IF(AC$8=0,INDEX($E93:$I93,0,AC$6),(INDEX($E93:$I93,0,AC$8+1)-INDEX($E93:$I93,0,AC$8))/(INDEX($D$5:$H$5,0,AC$8+1)-INDEX($D$5:$H$5,0,AC$8))+AB93)))</f>
        <v>82.391305130342559</v>
      </c>
      <c r="AD93" s="8" cm="1">
        <f t="array" ref="AD93">IF(AD$8=-1,AE93,IF(AD$8=99,AC93,IF(AD$8=0,INDEX($E93:$I93,0,AD$6),(INDEX($E93:$I93,0,AD$8+1)-INDEX($E93:$I93,0,AD$8))/(INDEX($D$5:$H$5,0,AD$8+1)-INDEX($D$5:$H$5,0,AD$8))+AC93)))</f>
        <v>82.391305130342559</v>
      </c>
      <c r="AE93" s="8" cm="1">
        <f t="array" ref="AE93">IF(AE$8=-1,AF93,IF(AE$8=99,AD93,IF(AE$8=0,INDEX($E93:$I93,0,AE$6),(INDEX($E93:$I93,0,AE$8+1)-INDEX($E93:$I93,0,AE$8))/(INDEX($D$5:$H$5,0,AE$8+1)-INDEX($D$5:$H$5,0,AE$8))+AD93)))</f>
        <v>82.391305130342559</v>
      </c>
      <c r="AF93" s="8" cm="1">
        <f t="array" ref="AF93">IF(AF$8=-1,AG93,IF(AF$8=99,AE93,IF(AF$8=0,INDEX($E93:$I93,0,AF$6),(INDEX($E93:$I93,0,AF$8+1)-INDEX($E93:$I93,0,AF$8))/(INDEX($D$5:$H$5,0,AF$8+1)-INDEX($D$5:$H$5,0,AF$8))+AE93)))</f>
        <v>82.391305130342559</v>
      </c>
      <c r="AG93" s="8" cm="1">
        <f t="array" ref="AG93">IF(AG$8=-1,AH93,IF(AG$8=99,AF93,IF(AG$8=0,INDEX($E93:$I93,0,AG$6),(INDEX($E93:$I93,0,AG$8+1)-INDEX($E93:$I93,0,AG$8))/(INDEX($D$5:$H$5,0,AG$8+1)-INDEX($D$5:$H$5,0,AG$8))+AF93)))</f>
        <v>82.391305130342559</v>
      </c>
      <c r="AH93" s="8" cm="1">
        <f t="array" ref="AH93">IF(AH$8=-1,AI93,IF(AH$8=99,AG93,IF(AH$8=0,INDEX($E93:$I93,0,AH$6),(INDEX($E93:$I93,0,AH$8+1)-INDEX($E93:$I93,0,AH$8))/(INDEX($D$5:$H$5,0,AH$8+1)-INDEX($D$5:$H$5,0,AH$8))+AG93)))</f>
        <v>82.391305130342559</v>
      </c>
      <c r="AI93" s="8" cm="1">
        <f t="array" ref="AI93">IF(AI$8=-1,AJ93,IF(AI$8=99,AH93,IF(AI$8=0,INDEX($E93:$I93,0,AI$6),(INDEX($E93:$I93,0,AI$8+1)-INDEX($E93:$I93,0,AI$8))/(INDEX($D$5:$H$5,0,AI$8+1)-INDEX($D$5:$H$5,0,AI$8))+AH93)))</f>
        <v>82.391305130342559</v>
      </c>
      <c r="AJ93" s="8" cm="1">
        <f t="array" ref="AJ93">IF(AJ$8=-1,AK93,IF(AJ$8=99,AI93,IF(AJ$8=0,INDEX($E93:$I93,0,AJ$6),(INDEX($E93:$I93,0,AJ$8+1)-INDEX($E93:$I93,0,AJ$8))/(INDEX($D$5:$H$5,0,AJ$8+1)-INDEX($D$5:$H$5,0,AJ$8))+AI93)))</f>
        <v>82.391305130342559</v>
      </c>
      <c r="AK93" s="8" cm="1">
        <f t="array" ref="AK93">IF(AK$8=-1,AL93,IF(AK$8=99,AJ93,IF(AK$8=0,INDEX($E93:$I93,0,AK$6),(INDEX($E93:$I93,0,AK$8+1)-INDEX($E93:$I93,0,AK$8))/(INDEX($D$5:$H$5,0,AK$8+1)-INDEX($D$5:$H$5,0,AK$8))+AJ93)))</f>
        <v>82.391305130342559</v>
      </c>
      <c r="AL93" s="8" cm="1">
        <f t="array" ref="AL93">IF(AL$8=-1,AM93,IF(AL$8=99,AK93,IF(AL$8=0,INDEX($E93:$I93,0,AL$6),(INDEX($E93:$I93,0,AL$8+1)-INDEX($E93:$I93,0,AL$8))/(INDEX($D$5:$H$5,0,AL$8+1)-INDEX($D$5:$H$5,0,AL$8))+AK93)))</f>
        <v>82.391305130342559</v>
      </c>
      <c r="AM93" s="8" cm="1">
        <f t="array" ref="AM93">IF(AM$8=-1,AN93,IF(AM$8=99,AL93,IF(AM$8=0,INDEX($E93:$I93,0,AM$6),(INDEX($E93:$I93,0,AM$8+1)-INDEX($E93:$I93,0,AM$8))/(INDEX($D$5:$H$5,0,AM$8+1)-INDEX($D$5:$H$5,0,AM$8))+AL93)))</f>
        <v>82.391305130342559</v>
      </c>
      <c r="AN93" s="8" cm="1">
        <f t="array" ref="AN93">IF(AN$8=-1,AO93,IF(AN$8=99,AM93,IF(AN$8=0,INDEX($E93:$I93,0,AN$6),(INDEX($E93:$I93,0,AN$8+1)-INDEX($E93:$I93,0,AN$8))/(INDEX($D$5:$H$5,0,AN$8+1)-INDEX($D$5:$H$5,0,AN$8))+AM93)))</f>
        <v>82.391305130342559</v>
      </c>
      <c r="AO93" s="8" cm="1">
        <f t="array" ref="AO93">IF(AO$8=-1,AP93,IF(AO$8=99,AN93,IF(AO$8=0,INDEX($E93:$I93,0,AO$6),(INDEX($E93:$I93,0,AO$8+1)-INDEX($E93:$I93,0,AO$8))/(INDEX($D$5:$H$5,0,AO$8+1)-INDEX($D$5:$H$5,0,AO$8))+AN93)))</f>
        <v>82.391305130342559</v>
      </c>
      <c r="AP93" s="8" cm="1">
        <f t="array" ref="AP93">IF(AP$8=-1,AQ93,IF(AP$8=99,AO93,IF(AP$8=0,INDEX($E93:$I93,0,AP$6),(INDEX($E93:$I93,0,AP$8+1)-INDEX($E93:$I93,0,AP$8))/(INDEX($D$5:$H$5,0,AP$8+1)-INDEX($D$5:$H$5,0,AP$8))+AO93)))</f>
        <v>82.391305130342559</v>
      </c>
      <c r="AQ93" s="8" cm="1">
        <f t="array" ref="AQ93">IF(AQ$8=-1,AR93,IF(AQ$8=99,AP93,IF(AQ$8=0,INDEX($E93:$I93,0,AQ$6),(INDEX($E93:$I93,0,AQ$8+1)-INDEX($E93:$I93,0,AQ$8))/(INDEX($D$5:$H$5,0,AQ$8+1)-INDEX($D$5:$H$5,0,AQ$8))+AP93)))</f>
        <v>82.391305130342559</v>
      </c>
      <c r="AR93" s="8" cm="1">
        <f t="array" ref="AR93">IF(AR$8=-1,AS93,IF(AR$8=99,AQ93,IF(AR$8=0,INDEX($E93:$I93,0,AR$6),(INDEX($E93:$I93,0,AR$8+1)-INDEX($E93:$I93,0,AR$8))/(INDEX($D$5:$H$5,0,AR$8+1)-INDEX($D$5:$H$5,0,AR$8))+AQ93)))</f>
        <v>82.391305130342559</v>
      </c>
      <c r="AS93" s="8" cm="1">
        <f t="array" ref="AS93">IF(AS$8=-1,AT93,IF(AS$8=99,AR93,IF(AS$8=0,INDEX($E93:$I93,0,AS$6),(INDEX($E93:$I93,0,AS$8+1)-INDEX($E93:$I93,0,AS$8))/(INDEX($D$5:$H$5,0,AS$8+1)-INDEX($D$5:$H$5,0,AS$8))+AR93)))</f>
        <v>82.391305130342559</v>
      </c>
      <c r="AT93" s="8" cm="1">
        <f t="array" ref="AT93">IF(AT$8=-1,AU93,IF(AT$8=99,AS93,IF(AT$8=0,INDEX($E93:$I93,0,AT$6),(INDEX($E93:$I93,0,AT$8+1)-INDEX($E93:$I93,0,AT$8))/(INDEX($D$5:$H$5,0,AT$8+1)-INDEX($D$5:$H$5,0,AT$8))+AS93)))</f>
        <v>82.391305130342559</v>
      </c>
      <c r="AU93" s="8" cm="1">
        <f t="array" ref="AU93">IF(AU$8=-1,AV93,IF(AU$8=99,AT93,IF(AU$8=0,INDEX($E93:$I93,0,AU$6),(INDEX($E93:$I93,0,AU$8+1)-INDEX($E93:$I93,0,AU$8))/(INDEX($D$5:$H$5,0,AU$8+1)-INDEX($D$5:$H$5,0,AU$8))+AT93)))</f>
        <v>82.391305130342559</v>
      </c>
      <c r="AV93" s="8" cm="1">
        <f t="array" ref="AV93">IF(AV$8=-1,AW93,IF(AV$8=99,AU93,IF(AV$8=0,INDEX($E93:$I93,0,AV$6),(INDEX($E93:$I93,0,AV$8+1)-INDEX($E93:$I93,0,AV$8))/(INDEX($D$5:$H$5,0,AV$8+1)-INDEX($D$5:$H$5,0,AV$8))+AU93)))</f>
        <v>82.391305130342559</v>
      </c>
    </row>
    <row r="94" spans="1:48">
      <c r="A94" s="185" t="s">
        <v>16</v>
      </c>
      <c r="B94" s="263" t="str">
        <f t="shared" si="35"/>
        <v>CEK</v>
      </c>
      <c r="C94" s="87" t="str">
        <f t="shared" si="33"/>
        <v>Commercial - Cooking</v>
      </c>
      <c r="D94" s="87" t="s">
        <v>75</v>
      </c>
      <c r="E94" s="96">
        <f t="shared" si="36"/>
        <v>74.498085701673531</v>
      </c>
      <c r="F94" s="104">
        <f t="shared" si="36"/>
        <v>59.276589186426349</v>
      </c>
      <c r="G94" s="104">
        <f t="shared" si="34"/>
        <v>59.276589186426349</v>
      </c>
      <c r="H94" s="104">
        <f t="shared" si="37"/>
        <v>59.276589186426349</v>
      </c>
      <c r="I94" s="150">
        <f t="shared" si="38"/>
        <v>59.276589186426349</v>
      </c>
      <c r="J94" s="8" cm="1">
        <f t="array" ref="J94">IF(J$8=-1,K94,IF(J$8=99,I94,IF(J$8=0,INDEX($E94:$I94,0,J$6),(INDEX($E94:$I94,0,J$8+1)-INDEX($E94:$I94,0,J$8))/(INDEX($D$5:$H$5,0,J$8+1)-INDEX($D$5:$H$5,0,J$8))+I94)))</f>
        <v>74.498085701673531</v>
      </c>
      <c r="K94" s="8" cm="1">
        <f t="array" ref="K94">IF(K$8=-1,L94,IF(K$8=99,J94,IF(K$8=0,INDEX($E94:$I94,0,K$6),(INDEX($E94:$I94,0,K$8+1)-INDEX($E94:$I94,0,K$8))/(INDEX($D$5:$H$5,0,K$8+1)-INDEX($D$5:$H$5,0,K$8))+J94)))</f>
        <v>71.453786398624089</v>
      </c>
      <c r="L94" s="8" cm="1">
        <f t="array" ref="L94">IF(L$8=-1,M94,IF(L$8=99,K94,IF(L$8=0,INDEX($E94:$I94,0,L$6),(INDEX($E94:$I94,0,L$8+1)-INDEX($E94:$I94,0,L$8))/(INDEX($D$5:$H$5,0,L$8+1)-INDEX($D$5:$H$5,0,L$8))+K94)))</f>
        <v>68.409487095574647</v>
      </c>
      <c r="M94" s="8" cm="1">
        <f t="array" ref="M94">IF(M$8=-1,N94,IF(M$8=99,L94,IF(M$8=0,INDEX($E94:$I94,0,M$6),(INDEX($E94:$I94,0,M$8+1)-INDEX($E94:$I94,0,M$8))/(INDEX($D$5:$H$5,0,M$8+1)-INDEX($D$5:$H$5,0,M$8))+L94)))</f>
        <v>65.365187792525205</v>
      </c>
      <c r="N94" s="8" cm="1">
        <f t="array" ref="N94">IF(N$8=-1,O94,IF(N$8=99,M94,IF(N$8=0,INDEX($E94:$I94,0,N$6),(INDEX($E94:$I94,0,N$8+1)-INDEX($E94:$I94,0,N$8))/(INDEX($D$5:$H$5,0,N$8+1)-INDEX($D$5:$H$5,0,N$8))+M94)))</f>
        <v>62.32088848947577</v>
      </c>
      <c r="O94" s="8" cm="1">
        <f t="array" ref="O94">IF(O$8=-1,P94,IF(O$8=99,N94,IF(O$8=0,INDEX($E94:$I94,0,O$6),(INDEX($E94:$I94,0,O$8+1)-INDEX($E94:$I94,0,O$8))/(INDEX($D$5:$H$5,0,O$8+1)-INDEX($D$5:$H$5,0,O$8))+N94)))</f>
        <v>59.276589186426349</v>
      </c>
      <c r="P94" s="8" cm="1">
        <f t="array" ref="P94">IF(P$8=-1,Q94,IF(P$8=99,O94,IF(P$8=0,INDEX($E94:$I94,0,P$6),(INDEX($E94:$I94,0,P$8+1)-INDEX($E94:$I94,0,P$8))/(INDEX($D$5:$H$5,0,P$8+1)-INDEX($D$5:$H$5,0,P$8))+O94)))</f>
        <v>59.276589186426349</v>
      </c>
      <c r="Q94" s="8" cm="1">
        <f t="array" ref="Q94">IF(Q$8=-1,R94,IF(Q$8=99,P94,IF(Q$8=0,INDEX($E94:$I94,0,Q$6),(INDEX($E94:$I94,0,Q$8+1)-INDEX($E94:$I94,0,Q$8))/(INDEX($D$5:$H$5,0,Q$8+1)-INDEX($D$5:$H$5,0,Q$8))+P94)))</f>
        <v>59.276589186426349</v>
      </c>
      <c r="R94" s="8" cm="1">
        <f t="array" ref="R94">IF(R$8=-1,S94,IF(R$8=99,Q94,IF(R$8=0,INDEX($E94:$I94,0,R$6),(INDEX($E94:$I94,0,R$8+1)-INDEX($E94:$I94,0,R$8))/(INDEX($D$5:$H$5,0,R$8+1)-INDEX($D$5:$H$5,0,R$8))+Q94)))</f>
        <v>59.276589186426349</v>
      </c>
      <c r="S94" s="8" cm="1">
        <f t="array" ref="S94">IF(S$8=-1,T94,IF(S$8=99,R94,IF(S$8=0,INDEX($E94:$I94,0,S$6),(INDEX($E94:$I94,0,S$8+1)-INDEX($E94:$I94,0,S$8))/(INDEX($D$5:$H$5,0,S$8+1)-INDEX($D$5:$H$5,0,S$8))+R94)))</f>
        <v>59.276589186426349</v>
      </c>
      <c r="T94" s="8" cm="1">
        <f t="array" ref="T94">IF(T$8=-1,U94,IF(T$8=99,S94,IF(T$8=0,INDEX($E94:$I94,0,T$6),(INDEX($E94:$I94,0,T$8+1)-INDEX($E94:$I94,0,T$8))/(INDEX($D$5:$H$5,0,T$8+1)-INDEX($D$5:$H$5,0,T$8))+S94)))</f>
        <v>59.276589186426349</v>
      </c>
      <c r="U94" s="8" cm="1">
        <f t="array" ref="U94">IF(U$8=-1,V94,IF(U$8=99,T94,IF(U$8=0,INDEX($E94:$I94,0,U$6),(INDEX($E94:$I94,0,U$8+1)-INDEX($E94:$I94,0,U$8))/(INDEX($D$5:$H$5,0,U$8+1)-INDEX($D$5:$H$5,0,U$8))+T94)))</f>
        <v>59.276589186426349</v>
      </c>
      <c r="V94" s="8" cm="1">
        <f t="array" ref="V94">IF(V$8=-1,W94,IF(V$8=99,U94,IF(V$8=0,INDEX($E94:$I94,0,V$6),(INDEX($E94:$I94,0,V$8+1)-INDEX($E94:$I94,0,V$8))/(INDEX($D$5:$H$5,0,V$8+1)-INDEX($D$5:$H$5,0,V$8))+U94)))</f>
        <v>59.276589186426349</v>
      </c>
      <c r="W94" s="8" cm="1">
        <f t="array" ref="W94">IF(W$8=-1,X94,IF(W$8=99,V94,IF(W$8=0,INDEX($E94:$I94,0,W$6),(INDEX($E94:$I94,0,W$8+1)-INDEX($E94:$I94,0,W$8))/(INDEX($D$5:$H$5,0,W$8+1)-INDEX($D$5:$H$5,0,W$8))+V94)))</f>
        <v>59.276589186426349</v>
      </c>
      <c r="X94" s="8" cm="1">
        <f t="array" ref="X94">IF(X$8=-1,Y94,IF(X$8=99,W94,IF(X$8=0,INDEX($E94:$I94,0,X$6),(INDEX($E94:$I94,0,X$8+1)-INDEX($E94:$I94,0,X$8))/(INDEX($D$5:$H$5,0,X$8+1)-INDEX($D$5:$H$5,0,X$8))+W94)))</f>
        <v>59.276589186426349</v>
      </c>
      <c r="Y94" s="8" cm="1">
        <f t="array" ref="Y94">IF(Y$8=-1,Z94,IF(Y$8=99,X94,IF(Y$8=0,INDEX($E94:$I94,0,Y$6),(INDEX($E94:$I94,0,Y$8+1)-INDEX($E94:$I94,0,Y$8))/(INDEX($D$5:$H$5,0,Y$8+1)-INDEX($D$5:$H$5,0,Y$8))+X94)))</f>
        <v>59.276589186426349</v>
      </c>
      <c r="Z94" s="8" cm="1">
        <f t="array" ref="Z94">IF(Z$8=-1,AA94,IF(Z$8=99,Y94,IF(Z$8=0,INDEX($E94:$I94,0,Z$6),(INDEX($E94:$I94,0,Z$8+1)-INDEX($E94:$I94,0,Z$8))/(INDEX($D$5:$H$5,0,Z$8+1)-INDEX($D$5:$H$5,0,Z$8))+Y94)))</f>
        <v>59.276589186426349</v>
      </c>
      <c r="AA94" s="8" cm="1">
        <f t="array" ref="AA94">IF(AA$8=-1,AB94,IF(AA$8=99,Z94,IF(AA$8=0,INDEX($E94:$I94,0,AA$6),(INDEX($E94:$I94,0,AA$8+1)-INDEX($E94:$I94,0,AA$8))/(INDEX($D$5:$H$5,0,AA$8+1)-INDEX($D$5:$H$5,0,AA$8))+Z94)))</f>
        <v>59.276589186426349</v>
      </c>
      <c r="AB94" s="8" cm="1">
        <f t="array" ref="AB94">IF(AB$8=-1,AC94,IF(AB$8=99,AA94,IF(AB$8=0,INDEX($E94:$I94,0,AB$6),(INDEX($E94:$I94,0,AB$8+1)-INDEX($E94:$I94,0,AB$8))/(INDEX($D$5:$H$5,0,AB$8+1)-INDEX($D$5:$H$5,0,AB$8))+AA94)))</f>
        <v>59.276589186426349</v>
      </c>
      <c r="AC94" s="8" cm="1">
        <f t="array" ref="AC94">IF(AC$8=-1,AD94,IF(AC$8=99,AB94,IF(AC$8=0,INDEX($E94:$I94,0,AC$6),(INDEX($E94:$I94,0,AC$8+1)-INDEX($E94:$I94,0,AC$8))/(INDEX($D$5:$H$5,0,AC$8+1)-INDEX($D$5:$H$5,0,AC$8))+AB94)))</f>
        <v>59.276589186426349</v>
      </c>
      <c r="AD94" s="8" cm="1">
        <f t="array" ref="AD94">IF(AD$8=-1,AE94,IF(AD$8=99,AC94,IF(AD$8=0,INDEX($E94:$I94,0,AD$6),(INDEX($E94:$I94,0,AD$8+1)-INDEX($E94:$I94,0,AD$8))/(INDEX($D$5:$H$5,0,AD$8+1)-INDEX($D$5:$H$5,0,AD$8))+AC94)))</f>
        <v>59.276589186426349</v>
      </c>
      <c r="AE94" s="8" cm="1">
        <f t="array" ref="AE94">IF(AE$8=-1,AF94,IF(AE$8=99,AD94,IF(AE$8=0,INDEX($E94:$I94,0,AE$6),(INDEX($E94:$I94,0,AE$8+1)-INDEX($E94:$I94,0,AE$8))/(INDEX($D$5:$H$5,0,AE$8+1)-INDEX($D$5:$H$5,0,AE$8))+AD94)))</f>
        <v>59.276589186426349</v>
      </c>
      <c r="AF94" s="8" cm="1">
        <f t="array" ref="AF94">IF(AF$8=-1,AG94,IF(AF$8=99,AE94,IF(AF$8=0,INDEX($E94:$I94,0,AF$6),(INDEX($E94:$I94,0,AF$8+1)-INDEX($E94:$I94,0,AF$8))/(INDEX($D$5:$H$5,0,AF$8+1)-INDEX($D$5:$H$5,0,AF$8))+AE94)))</f>
        <v>59.276589186426349</v>
      </c>
      <c r="AG94" s="8" cm="1">
        <f t="array" ref="AG94">IF(AG$8=-1,AH94,IF(AG$8=99,AF94,IF(AG$8=0,INDEX($E94:$I94,0,AG$6),(INDEX($E94:$I94,0,AG$8+1)-INDEX($E94:$I94,0,AG$8))/(INDEX($D$5:$H$5,0,AG$8+1)-INDEX($D$5:$H$5,0,AG$8))+AF94)))</f>
        <v>59.276589186426349</v>
      </c>
      <c r="AH94" s="8" cm="1">
        <f t="array" ref="AH94">IF(AH$8=-1,AI94,IF(AH$8=99,AG94,IF(AH$8=0,INDEX($E94:$I94,0,AH$6),(INDEX($E94:$I94,0,AH$8+1)-INDEX($E94:$I94,0,AH$8))/(INDEX($D$5:$H$5,0,AH$8+1)-INDEX($D$5:$H$5,0,AH$8))+AG94)))</f>
        <v>59.276589186426349</v>
      </c>
      <c r="AI94" s="8" cm="1">
        <f t="array" ref="AI94">IF(AI$8=-1,AJ94,IF(AI$8=99,AH94,IF(AI$8=0,INDEX($E94:$I94,0,AI$6),(INDEX($E94:$I94,0,AI$8+1)-INDEX($E94:$I94,0,AI$8))/(INDEX($D$5:$H$5,0,AI$8+1)-INDEX($D$5:$H$5,0,AI$8))+AH94)))</f>
        <v>59.276589186426349</v>
      </c>
      <c r="AJ94" s="8" cm="1">
        <f t="array" ref="AJ94">IF(AJ$8=-1,AK94,IF(AJ$8=99,AI94,IF(AJ$8=0,INDEX($E94:$I94,0,AJ$6),(INDEX($E94:$I94,0,AJ$8+1)-INDEX($E94:$I94,0,AJ$8))/(INDEX($D$5:$H$5,0,AJ$8+1)-INDEX($D$5:$H$5,0,AJ$8))+AI94)))</f>
        <v>59.276589186426349</v>
      </c>
      <c r="AK94" s="8" cm="1">
        <f t="array" ref="AK94">IF(AK$8=-1,AL94,IF(AK$8=99,AJ94,IF(AK$8=0,INDEX($E94:$I94,0,AK$6),(INDEX($E94:$I94,0,AK$8+1)-INDEX($E94:$I94,0,AK$8))/(INDEX($D$5:$H$5,0,AK$8+1)-INDEX($D$5:$H$5,0,AK$8))+AJ94)))</f>
        <v>59.276589186426349</v>
      </c>
      <c r="AL94" s="8" cm="1">
        <f t="array" ref="AL94">IF(AL$8=-1,AM94,IF(AL$8=99,AK94,IF(AL$8=0,INDEX($E94:$I94,0,AL$6),(INDEX($E94:$I94,0,AL$8+1)-INDEX($E94:$I94,0,AL$8))/(INDEX($D$5:$H$5,0,AL$8+1)-INDEX($D$5:$H$5,0,AL$8))+AK94)))</f>
        <v>59.276589186426349</v>
      </c>
      <c r="AM94" s="8" cm="1">
        <f t="array" ref="AM94">IF(AM$8=-1,AN94,IF(AM$8=99,AL94,IF(AM$8=0,INDEX($E94:$I94,0,AM$6),(INDEX($E94:$I94,0,AM$8+1)-INDEX($E94:$I94,0,AM$8))/(INDEX($D$5:$H$5,0,AM$8+1)-INDEX($D$5:$H$5,0,AM$8))+AL94)))</f>
        <v>59.276589186426349</v>
      </c>
      <c r="AN94" s="8" cm="1">
        <f t="array" ref="AN94">IF(AN$8=-1,AO94,IF(AN$8=99,AM94,IF(AN$8=0,INDEX($E94:$I94,0,AN$6),(INDEX($E94:$I94,0,AN$8+1)-INDEX($E94:$I94,0,AN$8))/(INDEX($D$5:$H$5,0,AN$8+1)-INDEX($D$5:$H$5,0,AN$8))+AM94)))</f>
        <v>59.276589186426349</v>
      </c>
      <c r="AO94" s="8" cm="1">
        <f t="array" ref="AO94">IF(AO$8=-1,AP94,IF(AO$8=99,AN94,IF(AO$8=0,INDEX($E94:$I94,0,AO$6),(INDEX($E94:$I94,0,AO$8+1)-INDEX($E94:$I94,0,AO$8))/(INDEX($D$5:$H$5,0,AO$8+1)-INDEX($D$5:$H$5,0,AO$8))+AN94)))</f>
        <v>59.276589186426349</v>
      </c>
      <c r="AP94" s="8" cm="1">
        <f t="array" ref="AP94">IF(AP$8=-1,AQ94,IF(AP$8=99,AO94,IF(AP$8=0,INDEX($E94:$I94,0,AP$6),(INDEX($E94:$I94,0,AP$8+1)-INDEX($E94:$I94,0,AP$8))/(INDEX($D$5:$H$5,0,AP$8+1)-INDEX($D$5:$H$5,0,AP$8))+AO94)))</f>
        <v>59.276589186426349</v>
      </c>
      <c r="AQ94" s="8" cm="1">
        <f t="array" ref="AQ94">IF(AQ$8=-1,AR94,IF(AQ$8=99,AP94,IF(AQ$8=0,INDEX($E94:$I94,0,AQ$6),(INDEX($E94:$I94,0,AQ$8+1)-INDEX($E94:$I94,0,AQ$8))/(INDEX($D$5:$H$5,0,AQ$8+1)-INDEX($D$5:$H$5,0,AQ$8))+AP94)))</f>
        <v>59.276589186426349</v>
      </c>
      <c r="AR94" s="8" cm="1">
        <f t="array" ref="AR94">IF(AR$8=-1,AS94,IF(AR$8=99,AQ94,IF(AR$8=0,INDEX($E94:$I94,0,AR$6),(INDEX($E94:$I94,0,AR$8+1)-INDEX($E94:$I94,0,AR$8))/(INDEX($D$5:$H$5,0,AR$8+1)-INDEX($D$5:$H$5,0,AR$8))+AQ94)))</f>
        <v>59.276589186426349</v>
      </c>
      <c r="AS94" s="8" cm="1">
        <f t="array" ref="AS94">IF(AS$8=-1,AT94,IF(AS$8=99,AR94,IF(AS$8=0,INDEX($E94:$I94,0,AS$6),(INDEX($E94:$I94,0,AS$8+1)-INDEX($E94:$I94,0,AS$8))/(INDEX($D$5:$H$5,0,AS$8+1)-INDEX($D$5:$H$5,0,AS$8))+AR94)))</f>
        <v>59.276589186426349</v>
      </c>
      <c r="AT94" s="8" cm="1">
        <f t="array" ref="AT94">IF(AT$8=-1,AU94,IF(AT$8=99,AS94,IF(AT$8=0,INDEX($E94:$I94,0,AT$6),(INDEX($E94:$I94,0,AT$8+1)-INDEX($E94:$I94,0,AT$8))/(INDEX($D$5:$H$5,0,AT$8+1)-INDEX($D$5:$H$5,0,AT$8))+AS94)))</f>
        <v>59.276589186426349</v>
      </c>
      <c r="AU94" s="8" cm="1">
        <f t="array" ref="AU94">IF(AU$8=-1,AV94,IF(AU$8=99,AT94,IF(AU$8=0,INDEX($E94:$I94,0,AU$6),(INDEX($E94:$I94,0,AU$8+1)-INDEX($E94:$I94,0,AU$8))/(INDEX($D$5:$H$5,0,AU$8+1)-INDEX($D$5:$H$5,0,AU$8))+AT94)))</f>
        <v>59.276589186426349</v>
      </c>
      <c r="AV94" s="8" cm="1">
        <f t="array" ref="AV94">IF(AV$8=-1,AW94,IF(AV$8=99,AU94,IF(AV$8=0,INDEX($E94:$I94,0,AV$6),(INDEX($E94:$I94,0,AV$8+1)-INDEX($E94:$I94,0,AV$8))/(INDEX($D$5:$H$5,0,AV$8+1)-INDEX($D$5:$H$5,0,AV$8))+AU94)))</f>
        <v>59.276589186426349</v>
      </c>
    </row>
    <row r="95" spans="1:48">
      <c r="A95" s="185" t="s">
        <v>16</v>
      </c>
      <c r="B95" s="263" t="str">
        <f t="shared" si="35"/>
        <v>CEL</v>
      </c>
      <c r="C95" s="87" t="str">
        <f t="shared" si="33"/>
        <v>Commercial - Lighting</v>
      </c>
      <c r="D95" s="87" t="s">
        <v>75</v>
      </c>
      <c r="E95" s="96">
        <f t="shared" si="36"/>
        <v>915.10615144128838</v>
      </c>
      <c r="F95" s="104">
        <f t="shared" si="36"/>
        <v>751.83194786180138</v>
      </c>
      <c r="G95" s="104">
        <f t="shared" si="34"/>
        <v>751.83194786180138</v>
      </c>
      <c r="H95" s="104">
        <f t="shared" si="37"/>
        <v>751.83194786180138</v>
      </c>
      <c r="I95" s="150">
        <f t="shared" si="38"/>
        <v>751.83194786180138</v>
      </c>
      <c r="J95" s="8" cm="1">
        <f t="array" ref="J95">IF(J$8=-1,K95,IF(J$8=99,I95,IF(J$8=0,INDEX($E95:$I95,0,J$6),(INDEX($E95:$I95,0,J$8+1)-INDEX($E95:$I95,0,J$8))/(INDEX($D$5:$H$5,0,J$8+1)-INDEX($D$5:$H$5,0,J$8))+I95)))</f>
        <v>915.10615144128838</v>
      </c>
      <c r="K95" s="8" cm="1">
        <f t="array" ref="K95">IF(K$8=-1,L95,IF(K$8=99,J95,IF(K$8=0,INDEX($E95:$I95,0,K$6),(INDEX($E95:$I95,0,K$8+1)-INDEX($E95:$I95,0,K$8))/(INDEX($D$5:$H$5,0,K$8+1)-INDEX($D$5:$H$5,0,K$8))+J95)))</f>
        <v>882.45131072539095</v>
      </c>
      <c r="L95" s="8" cm="1">
        <f t="array" ref="L95">IF(L$8=-1,M95,IF(L$8=99,K95,IF(L$8=0,INDEX($E95:$I95,0,L$6),(INDEX($E95:$I95,0,L$8+1)-INDEX($E95:$I95,0,L$8))/(INDEX($D$5:$H$5,0,L$8+1)-INDEX($D$5:$H$5,0,L$8))+K95)))</f>
        <v>849.79647000949353</v>
      </c>
      <c r="M95" s="8" cm="1">
        <f t="array" ref="M95">IF(M$8=-1,N95,IF(M$8=99,L95,IF(M$8=0,INDEX($E95:$I95,0,M$6),(INDEX($E95:$I95,0,M$8+1)-INDEX($E95:$I95,0,M$8))/(INDEX($D$5:$H$5,0,M$8+1)-INDEX($D$5:$H$5,0,M$8))+L95)))</f>
        <v>817.14162929359611</v>
      </c>
      <c r="N95" s="8" cm="1">
        <f t="array" ref="N95">IF(N$8=-1,O95,IF(N$8=99,M95,IF(N$8=0,INDEX($E95:$I95,0,N$6),(INDEX($E95:$I95,0,N$8+1)-INDEX($E95:$I95,0,N$8))/(INDEX($D$5:$H$5,0,N$8+1)-INDEX($D$5:$H$5,0,N$8))+M95)))</f>
        <v>784.48678857769869</v>
      </c>
      <c r="O95" s="8" cm="1">
        <f t="array" ref="O95">IF(O$8=-1,P95,IF(O$8=99,N95,IF(O$8=0,INDEX($E95:$I95,0,O$6),(INDEX($E95:$I95,0,O$8+1)-INDEX($E95:$I95,0,O$8))/(INDEX($D$5:$H$5,0,O$8+1)-INDEX($D$5:$H$5,0,O$8))+N95)))</f>
        <v>751.83194786180138</v>
      </c>
      <c r="P95" s="8" cm="1">
        <f t="array" ref="P95">IF(P$8=-1,Q95,IF(P$8=99,O95,IF(P$8=0,INDEX($E95:$I95,0,P$6),(INDEX($E95:$I95,0,P$8+1)-INDEX($E95:$I95,0,P$8))/(INDEX($D$5:$H$5,0,P$8+1)-INDEX($D$5:$H$5,0,P$8))+O95)))</f>
        <v>751.83194786180138</v>
      </c>
      <c r="Q95" s="8" cm="1">
        <f t="array" ref="Q95">IF(Q$8=-1,R95,IF(Q$8=99,P95,IF(Q$8=0,INDEX($E95:$I95,0,Q$6),(INDEX($E95:$I95,0,Q$8+1)-INDEX($E95:$I95,0,Q$8))/(INDEX($D$5:$H$5,0,Q$8+1)-INDEX($D$5:$H$5,0,Q$8))+P95)))</f>
        <v>751.83194786180138</v>
      </c>
      <c r="R95" s="8" cm="1">
        <f t="array" ref="R95">IF(R$8=-1,S95,IF(R$8=99,Q95,IF(R$8=0,INDEX($E95:$I95,0,R$6),(INDEX($E95:$I95,0,R$8+1)-INDEX($E95:$I95,0,R$8))/(INDEX($D$5:$H$5,0,R$8+1)-INDEX($D$5:$H$5,0,R$8))+Q95)))</f>
        <v>751.83194786180138</v>
      </c>
      <c r="S95" s="8" cm="1">
        <f t="array" ref="S95">IF(S$8=-1,T95,IF(S$8=99,R95,IF(S$8=0,INDEX($E95:$I95,0,S$6),(INDEX($E95:$I95,0,S$8+1)-INDEX($E95:$I95,0,S$8))/(INDEX($D$5:$H$5,0,S$8+1)-INDEX($D$5:$H$5,0,S$8))+R95)))</f>
        <v>751.83194786180138</v>
      </c>
      <c r="T95" s="8" cm="1">
        <f t="array" ref="T95">IF(T$8=-1,U95,IF(T$8=99,S95,IF(T$8=0,INDEX($E95:$I95,0,T$6),(INDEX($E95:$I95,0,T$8+1)-INDEX($E95:$I95,0,T$8))/(INDEX($D$5:$H$5,0,T$8+1)-INDEX($D$5:$H$5,0,T$8))+S95)))</f>
        <v>751.83194786180138</v>
      </c>
      <c r="U95" s="8" cm="1">
        <f t="array" ref="U95">IF(U$8=-1,V95,IF(U$8=99,T95,IF(U$8=0,INDEX($E95:$I95,0,U$6),(INDEX($E95:$I95,0,U$8+1)-INDEX($E95:$I95,0,U$8))/(INDEX($D$5:$H$5,0,U$8+1)-INDEX($D$5:$H$5,0,U$8))+T95)))</f>
        <v>751.83194786180138</v>
      </c>
      <c r="V95" s="8" cm="1">
        <f t="array" ref="V95">IF(V$8=-1,W95,IF(V$8=99,U95,IF(V$8=0,INDEX($E95:$I95,0,V$6),(INDEX($E95:$I95,0,V$8+1)-INDEX($E95:$I95,0,V$8))/(INDEX($D$5:$H$5,0,V$8+1)-INDEX($D$5:$H$5,0,V$8))+U95)))</f>
        <v>751.83194786180138</v>
      </c>
      <c r="W95" s="8" cm="1">
        <f t="array" ref="W95">IF(W$8=-1,X95,IF(W$8=99,V95,IF(W$8=0,INDEX($E95:$I95,0,W$6),(INDEX($E95:$I95,0,W$8+1)-INDEX($E95:$I95,0,W$8))/(INDEX($D$5:$H$5,0,W$8+1)-INDEX($D$5:$H$5,0,W$8))+V95)))</f>
        <v>751.83194786180138</v>
      </c>
      <c r="X95" s="8" cm="1">
        <f t="array" ref="X95">IF(X$8=-1,Y95,IF(X$8=99,W95,IF(X$8=0,INDEX($E95:$I95,0,X$6),(INDEX($E95:$I95,0,X$8+1)-INDEX($E95:$I95,0,X$8))/(INDEX($D$5:$H$5,0,X$8+1)-INDEX($D$5:$H$5,0,X$8))+W95)))</f>
        <v>751.83194786180138</v>
      </c>
      <c r="Y95" s="8" cm="1">
        <f t="array" ref="Y95">IF(Y$8=-1,Z95,IF(Y$8=99,X95,IF(Y$8=0,INDEX($E95:$I95,0,Y$6),(INDEX($E95:$I95,0,Y$8+1)-INDEX($E95:$I95,0,Y$8))/(INDEX($D$5:$H$5,0,Y$8+1)-INDEX($D$5:$H$5,0,Y$8))+X95)))</f>
        <v>751.83194786180138</v>
      </c>
      <c r="Z95" s="8" cm="1">
        <f t="array" ref="Z95">IF(Z$8=-1,AA95,IF(Z$8=99,Y95,IF(Z$8=0,INDEX($E95:$I95,0,Z$6),(INDEX($E95:$I95,0,Z$8+1)-INDEX($E95:$I95,0,Z$8))/(INDEX($D$5:$H$5,0,Z$8+1)-INDEX($D$5:$H$5,0,Z$8))+Y95)))</f>
        <v>751.83194786180138</v>
      </c>
      <c r="AA95" s="8" cm="1">
        <f t="array" ref="AA95">IF(AA$8=-1,AB95,IF(AA$8=99,Z95,IF(AA$8=0,INDEX($E95:$I95,0,AA$6),(INDEX($E95:$I95,0,AA$8+1)-INDEX($E95:$I95,0,AA$8))/(INDEX($D$5:$H$5,0,AA$8+1)-INDEX($D$5:$H$5,0,AA$8))+Z95)))</f>
        <v>751.83194786180138</v>
      </c>
      <c r="AB95" s="8" cm="1">
        <f t="array" ref="AB95">IF(AB$8=-1,AC95,IF(AB$8=99,AA95,IF(AB$8=0,INDEX($E95:$I95,0,AB$6),(INDEX($E95:$I95,0,AB$8+1)-INDEX($E95:$I95,0,AB$8))/(INDEX($D$5:$H$5,0,AB$8+1)-INDEX($D$5:$H$5,0,AB$8))+AA95)))</f>
        <v>751.83194786180138</v>
      </c>
      <c r="AC95" s="8" cm="1">
        <f t="array" ref="AC95">IF(AC$8=-1,AD95,IF(AC$8=99,AB95,IF(AC$8=0,INDEX($E95:$I95,0,AC$6),(INDEX($E95:$I95,0,AC$8+1)-INDEX($E95:$I95,0,AC$8))/(INDEX($D$5:$H$5,0,AC$8+1)-INDEX($D$5:$H$5,0,AC$8))+AB95)))</f>
        <v>751.83194786180138</v>
      </c>
      <c r="AD95" s="8" cm="1">
        <f t="array" ref="AD95">IF(AD$8=-1,AE95,IF(AD$8=99,AC95,IF(AD$8=0,INDEX($E95:$I95,0,AD$6),(INDEX($E95:$I95,0,AD$8+1)-INDEX($E95:$I95,0,AD$8))/(INDEX($D$5:$H$5,0,AD$8+1)-INDEX($D$5:$H$5,0,AD$8))+AC95)))</f>
        <v>751.83194786180138</v>
      </c>
      <c r="AE95" s="8" cm="1">
        <f t="array" ref="AE95">IF(AE$8=-1,AF95,IF(AE$8=99,AD95,IF(AE$8=0,INDEX($E95:$I95,0,AE$6),(INDEX($E95:$I95,0,AE$8+1)-INDEX($E95:$I95,0,AE$8))/(INDEX($D$5:$H$5,0,AE$8+1)-INDEX($D$5:$H$5,0,AE$8))+AD95)))</f>
        <v>751.83194786180138</v>
      </c>
      <c r="AF95" s="8" cm="1">
        <f t="array" ref="AF95">IF(AF$8=-1,AG95,IF(AF$8=99,AE95,IF(AF$8=0,INDEX($E95:$I95,0,AF$6),(INDEX($E95:$I95,0,AF$8+1)-INDEX($E95:$I95,0,AF$8))/(INDEX($D$5:$H$5,0,AF$8+1)-INDEX($D$5:$H$5,0,AF$8))+AE95)))</f>
        <v>751.83194786180138</v>
      </c>
      <c r="AG95" s="8" cm="1">
        <f t="array" ref="AG95">IF(AG$8=-1,AH95,IF(AG$8=99,AF95,IF(AG$8=0,INDEX($E95:$I95,0,AG$6),(INDEX($E95:$I95,0,AG$8+1)-INDEX($E95:$I95,0,AG$8))/(INDEX($D$5:$H$5,0,AG$8+1)-INDEX($D$5:$H$5,0,AG$8))+AF95)))</f>
        <v>751.83194786180138</v>
      </c>
      <c r="AH95" s="8" cm="1">
        <f t="array" ref="AH95">IF(AH$8=-1,AI95,IF(AH$8=99,AG95,IF(AH$8=0,INDEX($E95:$I95,0,AH$6),(INDEX($E95:$I95,0,AH$8+1)-INDEX($E95:$I95,0,AH$8))/(INDEX($D$5:$H$5,0,AH$8+1)-INDEX($D$5:$H$5,0,AH$8))+AG95)))</f>
        <v>751.83194786180138</v>
      </c>
      <c r="AI95" s="8" cm="1">
        <f t="array" ref="AI95">IF(AI$8=-1,AJ95,IF(AI$8=99,AH95,IF(AI$8=0,INDEX($E95:$I95,0,AI$6),(INDEX($E95:$I95,0,AI$8+1)-INDEX($E95:$I95,0,AI$8))/(INDEX($D$5:$H$5,0,AI$8+1)-INDEX($D$5:$H$5,0,AI$8))+AH95)))</f>
        <v>751.83194786180138</v>
      </c>
      <c r="AJ95" s="8" cm="1">
        <f t="array" ref="AJ95">IF(AJ$8=-1,AK95,IF(AJ$8=99,AI95,IF(AJ$8=0,INDEX($E95:$I95,0,AJ$6),(INDEX($E95:$I95,0,AJ$8+1)-INDEX($E95:$I95,0,AJ$8))/(INDEX($D$5:$H$5,0,AJ$8+1)-INDEX($D$5:$H$5,0,AJ$8))+AI95)))</f>
        <v>751.83194786180138</v>
      </c>
      <c r="AK95" s="8" cm="1">
        <f t="array" ref="AK95">IF(AK$8=-1,AL95,IF(AK$8=99,AJ95,IF(AK$8=0,INDEX($E95:$I95,0,AK$6),(INDEX($E95:$I95,0,AK$8+1)-INDEX($E95:$I95,0,AK$8))/(INDEX($D$5:$H$5,0,AK$8+1)-INDEX($D$5:$H$5,0,AK$8))+AJ95)))</f>
        <v>751.83194786180138</v>
      </c>
      <c r="AL95" s="8" cm="1">
        <f t="array" ref="AL95">IF(AL$8=-1,AM95,IF(AL$8=99,AK95,IF(AL$8=0,INDEX($E95:$I95,0,AL$6),(INDEX($E95:$I95,0,AL$8+1)-INDEX($E95:$I95,0,AL$8))/(INDEX($D$5:$H$5,0,AL$8+1)-INDEX($D$5:$H$5,0,AL$8))+AK95)))</f>
        <v>751.83194786180138</v>
      </c>
      <c r="AM95" s="8" cm="1">
        <f t="array" ref="AM95">IF(AM$8=-1,AN95,IF(AM$8=99,AL95,IF(AM$8=0,INDEX($E95:$I95,0,AM$6),(INDEX($E95:$I95,0,AM$8+1)-INDEX($E95:$I95,0,AM$8))/(INDEX($D$5:$H$5,0,AM$8+1)-INDEX($D$5:$H$5,0,AM$8))+AL95)))</f>
        <v>751.83194786180138</v>
      </c>
      <c r="AN95" s="8" cm="1">
        <f t="array" ref="AN95">IF(AN$8=-1,AO95,IF(AN$8=99,AM95,IF(AN$8=0,INDEX($E95:$I95,0,AN$6),(INDEX($E95:$I95,0,AN$8+1)-INDEX($E95:$I95,0,AN$8))/(INDEX($D$5:$H$5,0,AN$8+1)-INDEX($D$5:$H$5,0,AN$8))+AM95)))</f>
        <v>751.83194786180138</v>
      </c>
      <c r="AO95" s="8" cm="1">
        <f t="array" ref="AO95">IF(AO$8=-1,AP95,IF(AO$8=99,AN95,IF(AO$8=0,INDEX($E95:$I95,0,AO$6),(INDEX($E95:$I95,0,AO$8+1)-INDEX($E95:$I95,0,AO$8))/(INDEX($D$5:$H$5,0,AO$8+1)-INDEX($D$5:$H$5,0,AO$8))+AN95)))</f>
        <v>751.83194786180138</v>
      </c>
      <c r="AP95" s="8" cm="1">
        <f t="array" ref="AP95">IF(AP$8=-1,AQ95,IF(AP$8=99,AO95,IF(AP$8=0,INDEX($E95:$I95,0,AP$6),(INDEX($E95:$I95,0,AP$8+1)-INDEX($E95:$I95,0,AP$8))/(INDEX($D$5:$H$5,0,AP$8+1)-INDEX($D$5:$H$5,0,AP$8))+AO95)))</f>
        <v>751.83194786180138</v>
      </c>
      <c r="AQ95" s="8" cm="1">
        <f t="array" ref="AQ95">IF(AQ$8=-1,AR95,IF(AQ$8=99,AP95,IF(AQ$8=0,INDEX($E95:$I95,0,AQ$6),(INDEX($E95:$I95,0,AQ$8+1)-INDEX($E95:$I95,0,AQ$8))/(INDEX($D$5:$H$5,0,AQ$8+1)-INDEX($D$5:$H$5,0,AQ$8))+AP95)))</f>
        <v>751.83194786180138</v>
      </c>
      <c r="AR95" s="8" cm="1">
        <f t="array" ref="AR95">IF(AR$8=-1,AS95,IF(AR$8=99,AQ95,IF(AR$8=0,INDEX($E95:$I95,0,AR$6),(INDEX($E95:$I95,0,AR$8+1)-INDEX($E95:$I95,0,AR$8))/(INDEX($D$5:$H$5,0,AR$8+1)-INDEX($D$5:$H$5,0,AR$8))+AQ95)))</f>
        <v>751.83194786180138</v>
      </c>
      <c r="AS95" s="8" cm="1">
        <f t="array" ref="AS95">IF(AS$8=-1,AT95,IF(AS$8=99,AR95,IF(AS$8=0,INDEX($E95:$I95,0,AS$6),(INDEX($E95:$I95,0,AS$8+1)-INDEX($E95:$I95,0,AS$8))/(INDEX($D$5:$H$5,0,AS$8+1)-INDEX($D$5:$H$5,0,AS$8))+AR95)))</f>
        <v>751.83194786180138</v>
      </c>
      <c r="AT95" s="8" cm="1">
        <f t="array" ref="AT95">IF(AT$8=-1,AU95,IF(AT$8=99,AS95,IF(AT$8=0,INDEX($E95:$I95,0,AT$6),(INDEX($E95:$I95,0,AT$8+1)-INDEX($E95:$I95,0,AT$8))/(INDEX($D$5:$H$5,0,AT$8+1)-INDEX($D$5:$H$5,0,AT$8))+AS95)))</f>
        <v>751.83194786180138</v>
      </c>
      <c r="AU95" s="8" cm="1">
        <f t="array" ref="AU95">IF(AU$8=-1,AV95,IF(AU$8=99,AT95,IF(AU$8=0,INDEX($E95:$I95,0,AU$6),(INDEX($E95:$I95,0,AU$8+1)-INDEX($E95:$I95,0,AU$8))/(INDEX($D$5:$H$5,0,AU$8+1)-INDEX($D$5:$H$5,0,AU$8))+AT95)))</f>
        <v>751.83194786180138</v>
      </c>
      <c r="AV95" s="8" cm="1">
        <f t="array" ref="AV95">IF(AV$8=-1,AW95,IF(AV$8=99,AU95,IF(AV$8=0,INDEX($E95:$I95,0,AV$6),(INDEX($E95:$I95,0,AV$8+1)-INDEX($E95:$I95,0,AV$8))/(INDEX($D$5:$H$5,0,AV$8+1)-INDEX($D$5:$H$5,0,AV$8))+AU95)))</f>
        <v>751.83194786180138</v>
      </c>
    </row>
    <row r="96" spans="1:48">
      <c r="A96" s="185" t="s">
        <v>16</v>
      </c>
      <c r="B96" s="263" t="str">
        <f t="shared" si="35"/>
        <v>CER</v>
      </c>
      <c r="C96" s="87" t="str">
        <f t="shared" si="33"/>
        <v>Commercial - Refrigeration</v>
      </c>
      <c r="D96" s="87" t="s">
        <v>75</v>
      </c>
      <c r="E96" s="96">
        <f t="shared" si="36"/>
        <v>222.61251585750318</v>
      </c>
      <c r="F96" s="104">
        <f t="shared" si="36"/>
        <v>182.89375626200317</v>
      </c>
      <c r="G96" s="104">
        <f t="shared" si="34"/>
        <v>182.89375626200317</v>
      </c>
      <c r="H96" s="104">
        <f t="shared" si="37"/>
        <v>182.89375626200317</v>
      </c>
      <c r="I96" s="150">
        <f t="shared" si="38"/>
        <v>182.89375626200317</v>
      </c>
      <c r="J96" s="8" cm="1">
        <f t="array" ref="J96">IF(J$8=-1,K96,IF(J$8=99,I96,IF(J$8=0,INDEX($E96:$I96,0,J$6),(INDEX($E96:$I96,0,J$8+1)-INDEX($E96:$I96,0,J$8))/(INDEX($D$5:$H$5,0,J$8+1)-INDEX($D$5:$H$5,0,J$8))+I96)))</f>
        <v>222.61251585750318</v>
      </c>
      <c r="K96" s="8" cm="1">
        <f t="array" ref="K96">IF(K$8=-1,L96,IF(K$8=99,J96,IF(K$8=0,INDEX($E96:$I96,0,K$6),(INDEX($E96:$I96,0,K$8+1)-INDEX($E96:$I96,0,K$8))/(INDEX($D$5:$H$5,0,K$8+1)-INDEX($D$5:$H$5,0,K$8))+J96)))</f>
        <v>214.66876393840317</v>
      </c>
      <c r="L96" s="8" cm="1">
        <f t="array" ref="L96">IF(L$8=-1,M96,IF(L$8=99,K96,IF(L$8=0,INDEX($E96:$I96,0,L$6),(INDEX($E96:$I96,0,L$8+1)-INDEX($E96:$I96,0,L$8))/(INDEX($D$5:$H$5,0,L$8+1)-INDEX($D$5:$H$5,0,L$8))+K96)))</f>
        <v>206.72501201930316</v>
      </c>
      <c r="M96" s="8" cm="1">
        <f t="array" ref="M96">IF(M$8=-1,N96,IF(M$8=99,L96,IF(M$8=0,INDEX($E96:$I96,0,M$6),(INDEX($E96:$I96,0,M$8+1)-INDEX($E96:$I96,0,M$8))/(INDEX($D$5:$H$5,0,M$8+1)-INDEX($D$5:$H$5,0,M$8))+L96)))</f>
        <v>198.78126010020316</v>
      </c>
      <c r="N96" s="8" cm="1">
        <f t="array" ref="N96">IF(N$8=-1,O96,IF(N$8=99,M96,IF(N$8=0,INDEX($E96:$I96,0,N$6),(INDEX($E96:$I96,0,N$8+1)-INDEX($E96:$I96,0,N$8))/(INDEX($D$5:$H$5,0,N$8+1)-INDEX($D$5:$H$5,0,N$8))+M96)))</f>
        <v>190.83750818110315</v>
      </c>
      <c r="O96" s="8" cm="1">
        <f t="array" ref="O96">IF(O$8=-1,P96,IF(O$8=99,N96,IF(O$8=0,INDEX($E96:$I96,0,O$6),(INDEX($E96:$I96,0,O$8+1)-INDEX($E96:$I96,0,O$8))/(INDEX($D$5:$H$5,0,O$8+1)-INDEX($D$5:$H$5,0,O$8))+N96)))</f>
        <v>182.89375626200317</v>
      </c>
      <c r="P96" s="8" cm="1">
        <f t="array" ref="P96">IF(P$8=-1,Q96,IF(P$8=99,O96,IF(P$8=0,INDEX($E96:$I96,0,P$6),(INDEX($E96:$I96,0,P$8+1)-INDEX($E96:$I96,0,P$8))/(INDEX($D$5:$H$5,0,P$8+1)-INDEX($D$5:$H$5,0,P$8))+O96)))</f>
        <v>182.89375626200317</v>
      </c>
      <c r="Q96" s="8" cm="1">
        <f t="array" ref="Q96">IF(Q$8=-1,R96,IF(Q$8=99,P96,IF(Q$8=0,INDEX($E96:$I96,0,Q$6),(INDEX($E96:$I96,0,Q$8+1)-INDEX($E96:$I96,0,Q$8))/(INDEX($D$5:$H$5,0,Q$8+1)-INDEX($D$5:$H$5,0,Q$8))+P96)))</f>
        <v>182.89375626200317</v>
      </c>
      <c r="R96" s="8" cm="1">
        <f t="array" ref="R96">IF(R$8=-1,S96,IF(R$8=99,Q96,IF(R$8=0,INDEX($E96:$I96,0,R$6),(INDEX($E96:$I96,0,R$8+1)-INDEX($E96:$I96,0,R$8))/(INDEX($D$5:$H$5,0,R$8+1)-INDEX($D$5:$H$5,0,R$8))+Q96)))</f>
        <v>182.89375626200317</v>
      </c>
      <c r="S96" s="8" cm="1">
        <f t="array" ref="S96">IF(S$8=-1,T96,IF(S$8=99,R96,IF(S$8=0,INDEX($E96:$I96,0,S$6),(INDEX($E96:$I96,0,S$8+1)-INDEX($E96:$I96,0,S$8))/(INDEX($D$5:$H$5,0,S$8+1)-INDEX($D$5:$H$5,0,S$8))+R96)))</f>
        <v>182.89375626200317</v>
      </c>
      <c r="T96" s="8" cm="1">
        <f t="array" ref="T96">IF(T$8=-1,U96,IF(T$8=99,S96,IF(T$8=0,INDEX($E96:$I96,0,T$6),(INDEX($E96:$I96,0,T$8+1)-INDEX($E96:$I96,0,T$8))/(INDEX($D$5:$H$5,0,T$8+1)-INDEX($D$5:$H$5,0,T$8))+S96)))</f>
        <v>182.89375626200317</v>
      </c>
      <c r="U96" s="8" cm="1">
        <f t="array" ref="U96">IF(U$8=-1,V96,IF(U$8=99,T96,IF(U$8=0,INDEX($E96:$I96,0,U$6),(INDEX($E96:$I96,0,U$8+1)-INDEX($E96:$I96,0,U$8))/(INDEX($D$5:$H$5,0,U$8+1)-INDEX($D$5:$H$5,0,U$8))+T96)))</f>
        <v>182.89375626200317</v>
      </c>
      <c r="V96" s="8" cm="1">
        <f t="array" ref="V96">IF(V$8=-1,W96,IF(V$8=99,U96,IF(V$8=0,INDEX($E96:$I96,0,V$6),(INDEX($E96:$I96,0,V$8+1)-INDEX($E96:$I96,0,V$8))/(INDEX($D$5:$H$5,0,V$8+1)-INDEX($D$5:$H$5,0,V$8))+U96)))</f>
        <v>182.89375626200317</v>
      </c>
      <c r="W96" s="8" cm="1">
        <f t="array" ref="W96">IF(W$8=-1,X96,IF(W$8=99,V96,IF(W$8=0,INDEX($E96:$I96,0,W$6),(INDEX($E96:$I96,0,W$8+1)-INDEX($E96:$I96,0,W$8))/(INDEX($D$5:$H$5,0,W$8+1)-INDEX($D$5:$H$5,0,W$8))+V96)))</f>
        <v>182.89375626200317</v>
      </c>
      <c r="X96" s="8" cm="1">
        <f t="array" ref="X96">IF(X$8=-1,Y96,IF(X$8=99,W96,IF(X$8=0,INDEX($E96:$I96,0,X$6),(INDEX($E96:$I96,0,X$8+1)-INDEX($E96:$I96,0,X$8))/(INDEX($D$5:$H$5,0,X$8+1)-INDEX($D$5:$H$5,0,X$8))+W96)))</f>
        <v>182.89375626200317</v>
      </c>
      <c r="Y96" s="8" cm="1">
        <f t="array" ref="Y96">IF(Y$8=-1,Z96,IF(Y$8=99,X96,IF(Y$8=0,INDEX($E96:$I96,0,Y$6),(INDEX($E96:$I96,0,Y$8+1)-INDEX($E96:$I96,0,Y$8))/(INDEX($D$5:$H$5,0,Y$8+1)-INDEX($D$5:$H$5,0,Y$8))+X96)))</f>
        <v>182.89375626200317</v>
      </c>
      <c r="Z96" s="8" cm="1">
        <f t="array" ref="Z96">IF(Z$8=-1,AA96,IF(Z$8=99,Y96,IF(Z$8=0,INDEX($E96:$I96,0,Z$6),(INDEX($E96:$I96,0,Z$8+1)-INDEX($E96:$I96,0,Z$8))/(INDEX($D$5:$H$5,0,Z$8+1)-INDEX($D$5:$H$5,0,Z$8))+Y96)))</f>
        <v>182.89375626200317</v>
      </c>
      <c r="AA96" s="8" cm="1">
        <f t="array" ref="AA96">IF(AA$8=-1,AB96,IF(AA$8=99,Z96,IF(AA$8=0,INDEX($E96:$I96,0,AA$6),(INDEX($E96:$I96,0,AA$8+1)-INDEX($E96:$I96,0,AA$8))/(INDEX($D$5:$H$5,0,AA$8+1)-INDEX($D$5:$H$5,0,AA$8))+Z96)))</f>
        <v>182.89375626200317</v>
      </c>
      <c r="AB96" s="8" cm="1">
        <f t="array" ref="AB96">IF(AB$8=-1,AC96,IF(AB$8=99,AA96,IF(AB$8=0,INDEX($E96:$I96,0,AB$6),(INDEX($E96:$I96,0,AB$8+1)-INDEX($E96:$I96,0,AB$8))/(INDEX($D$5:$H$5,0,AB$8+1)-INDEX($D$5:$H$5,0,AB$8))+AA96)))</f>
        <v>182.89375626200317</v>
      </c>
      <c r="AC96" s="8" cm="1">
        <f t="array" ref="AC96">IF(AC$8=-1,AD96,IF(AC$8=99,AB96,IF(AC$8=0,INDEX($E96:$I96,0,AC$6),(INDEX($E96:$I96,0,AC$8+1)-INDEX($E96:$I96,0,AC$8))/(INDEX($D$5:$H$5,0,AC$8+1)-INDEX($D$5:$H$5,0,AC$8))+AB96)))</f>
        <v>182.89375626200317</v>
      </c>
      <c r="AD96" s="8" cm="1">
        <f t="array" ref="AD96">IF(AD$8=-1,AE96,IF(AD$8=99,AC96,IF(AD$8=0,INDEX($E96:$I96,0,AD$6),(INDEX($E96:$I96,0,AD$8+1)-INDEX($E96:$I96,0,AD$8))/(INDEX($D$5:$H$5,0,AD$8+1)-INDEX($D$5:$H$5,0,AD$8))+AC96)))</f>
        <v>182.89375626200317</v>
      </c>
      <c r="AE96" s="8" cm="1">
        <f t="array" ref="AE96">IF(AE$8=-1,AF96,IF(AE$8=99,AD96,IF(AE$8=0,INDEX($E96:$I96,0,AE$6),(INDEX($E96:$I96,0,AE$8+1)-INDEX($E96:$I96,0,AE$8))/(INDEX($D$5:$H$5,0,AE$8+1)-INDEX($D$5:$H$5,0,AE$8))+AD96)))</f>
        <v>182.89375626200317</v>
      </c>
      <c r="AF96" s="8" cm="1">
        <f t="array" ref="AF96">IF(AF$8=-1,AG96,IF(AF$8=99,AE96,IF(AF$8=0,INDEX($E96:$I96,0,AF$6),(INDEX($E96:$I96,0,AF$8+1)-INDEX($E96:$I96,0,AF$8))/(INDEX($D$5:$H$5,0,AF$8+1)-INDEX($D$5:$H$5,0,AF$8))+AE96)))</f>
        <v>182.89375626200317</v>
      </c>
      <c r="AG96" s="8" cm="1">
        <f t="array" ref="AG96">IF(AG$8=-1,AH96,IF(AG$8=99,AF96,IF(AG$8=0,INDEX($E96:$I96,0,AG$6),(INDEX($E96:$I96,0,AG$8+1)-INDEX($E96:$I96,0,AG$8))/(INDEX($D$5:$H$5,0,AG$8+1)-INDEX($D$5:$H$5,0,AG$8))+AF96)))</f>
        <v>182.89375626200317</v>
      </c>
      <c r="AH96" s="8" cm="1">
        <f t="array" ref="AH96">IF(AH$8=-1,AI96,IF(AH$8=99,AG96,IF(AH$8=0,INDEX($E96:$I96,0,AH$6),(INDEX($E96:$I96,0,AH$8+1)-INDEX($E96:$I96,0,AH$8))/(INDEX($D$5:$H$5,0,AH$8+1)-INDEX($D$5:$H$5,0,AH$8))+AG96)))</f>
        <v>182.89375626200317</v>
      </c>
      <c r="AI96" s="8" cm="1">
        <f t="array" ref="AI96">IF(AI$8=-1,AJ96,IF(AI$8=99,AH96,IF(AI$8=0,INDEX($E96:$I96,0,AI$6),(INDEX($E96:$I96,0,AI$8+1)-INDEX($E96:$I96,0,AI$8))/(INDEX($D$5:$H$5,0,AI$8+1)-INDEX($D$5:$H$5,0,AI$8))+AH96)))</f>
        <v>182.89375626200317</v>
      </c>
      <c r="AJ96" s="8" cm="1">
        <f t="array" ref="AJ96">IF(AJ$8=-1,AK96,IF(AJ$8=99,AI96,IF(AJ$8=0,INDEX($E96:$I96,0,AJ$6),(INDEX($E96:$I96,0,AJ$8+1)-INDEX($E96:$I96,0,AJ$8))/(INDEX($D$5:$H$5,0,AJ$8+1)-INDEX($D$5:$H$5,0,AJ$8))+AI96)))</f>
        <v>182.89375626200317</v>
      </c>
      <c r="AK96" s="8" cm="1">
        <f t="array" ref="AK96">IF(AK$8=-1,AL96,IF(AK$8=99,AJ96,IF(AK$8=0,INDEX($E96:$I96,0,AK$6),(INDEX($E96:$I96,0,AK$8+1)-INDEX($E96:$I96,0,AK$8))/(INDEX($D$5:$H$5,0,AK$8+1)-INDEX($D$5:$H$5,0,AK$8))+AJ96)))</f>
        <v>182.89375626200317</v>
      </c>
      <c r="AL96" s="8" cm="1">
        <f t="array" ref="AL96">IF(AL$8=-1,AM96,IF(AL$8=99,AK96,IF(AL$8=0,INDEX($E96:$I96,0,AL$6),(INDEX($E96:$I96,0,AL$8+1)-INDEX($E96:$I96,0,AL$8))/(INDEX($D$5:$H$5,0,AL$8+1)-INDEX($D$5:$H$5,0,AL$8))+AK96)))</f>
        <v>182.89375626200317</v>
      </c>
      <c r="AM96" s="8" cm="1">
        <f t="array" ref="AM96">IF(AM$8=-1,AN96,IF(AM$8=99,AL96,IF(AM$8=0,INDEX($E96:$I96,0,AM$6),(INDEX($E96:$I96,0,AM$8+1)-INDEX($E96:$I96,0,AM$8))/(INDEX($D$5:$H$5,0,AM$8+1)-INDEX($D$5:$H$5,0,AM$8))+AL96)))</f>
        <v>182.89375626200317</v>
      </c>
      <c r="AN96" s="8" cm="1">
        <f t="array" ref="AN96">IF(AN$8=-1,AO96,IF(AN$8=99,AM96,IF(AN$8=0,INDEX($E96:$I96,0,AN$6),(INDEX($E96:$I96,0,AN$8+1)-INDEX($E96:$I96,0,AN$8))/(INDEX($D$5:$H$5,0,AN$8+1)-INDEX($D$5:$H$5,0,AN$8))+AM96)))</f>
        <v>182.89375626200317</v>
      </c>
      <c r="AO96" s="8" cm="1">
        <f t="array" ref="AO96">IF(AO$8=-1,AP96,IF(AO$8=99,AN96,IF(AO$8=0,INDEX($E96:$I96,0,AO$6),(INDEX($E96:$I96,0,AO$8+1)-INDEX($E96:$I96,0,AO$8))/(INDEX($D$5:$H$5,0,AO$8+1)-INDEX($D$5:$H$5,0,AO$8))+AN96)))</f>
        <v>182.89375626200317</v>
      </c>
      <c r="AP96" s="8" cm="1">
        <f t="array" ref="AP96">IF(AP$8=-1,AQ96,IF(AP$8=99,AO96,IF(AP$8=0,INDEX($E96:$I96,0,AP$6),(INDEX($E96:$I96,0,AP$8+1)-INDEX($E96:$I96,0,AP$8))/(INDEX($D$5:$H$5,0,AP$8+1)-INDEX($D$5:$H$5,0,AP$8))+AO96)))</f>
        <v>182.89375626200317</v>
      </c>
      <c r="AQ96" s="8" cm="1">
        <f t="array" ref="AQ96">IF(AQ$8=-1,AR96,IF(AQ$8=99,AP96,IF(AQ$8=0,INDEX($E96:$I96,0,AQ$6),(INDEX($E96:$I96,0,AQ$8+1)-INDEX($E96:$I96,0,AQ$8))/(INDEX($D$5:$H$5,0,AQ$8+1)-INDEX($D$5:$H$5,0,AQ$8))+AP96)))</f>
        <v>182.89375626200317</v>
      </c>
      <c r="AR96" s="8" cm="1">
        <f t="array" ref="AR96">IF(AR$8=-1,AS96,IF(AR$8=99,AQ96,IF(AR$8=0,INDEX($E96:$I96,0,AR$6),(INDEX($E96:$I96,0,AR$8+1)-INDEX($E96:$I96,0,AR$8))/(INDEX($D$5:$H$5,0,AR$8+1)-INDEX($D$5:$H$5,0,AR$8))+AQ96)))</f>
        <v>182.89375626200317</v>
      </c>
      <c r="AS96" s="8" cm="1">
        <f t="array" ref="AS96">IF(AS$8=-1,AT96,IF(AS$8=99,AR96,IF(AS$8=0,INDEX($E96:$I96,0,AS$6),(INDEX($E96:$I96,0,AS$8+1)-INDEX($E96:$I96,0,AS$8))/(INDEX($D$5:$H$5,0,AS$8+1)-INDEX($D$5:$H$5,0,AS$8))+AR96)))</f>
        <v>182.89375626200317</v>
      </c>
      <c r="AT96" s="8" cm="1">
        <f t="array" ref="AT96">IF(AT$8=-1,AU96,IF(AT$8=99,AS96,IF(AT$8=0,INDEX($E96:$I96,0,AT$6),(INDEX($E96:$I96,0,AT$8+1)-INDEX($E96:$I96,0,AT$8))/(INDEX($D$5:$H$5,0,AT$8+1)-INDEX($D$5:$H$5,0,AT$8))+AS96)))</f>
        <v>182.89375626200317</v>
      </c>
      <c r="AU96" s="8" cm="1">
        <f t="array" ref="AU96">IF(AU$8=-1,AV96,IF(AU$8=99,AT96,IF(AU$8=0,INDEX($E96:$I96,0,AU$6),(INDEX($E96:$I96,0,AU$8+1)-INDEX($E96:$I96,0,AU$8))/(INDEX($D$5:$H$5,0,AU$8+1)-INDEX($D$5:$H$5,0,AU$8))+AT96)))</f>
        <v>182.89375626200317</v>
      </c>
      <c r="AV96" s="8" cm="1">
        <f t="array" ref="AV96">IF(AV$8=-1,AW96,IF(AV$8=99,AU96,IF(AV$8=0,INDEX($E96:$I96,0,AV$6),(INDEX($E96:$I96,0,AV$8+1)-INDEX($E96:$I96,0,AV$8))/(INDEX($D$5:$H$5,0,AV$8+1)-INDEX($D$5:$H$5,0,AV$8))+AU96)))</f>
        <v>182.89375626200317</v>
      </c>
    </row>
    <row r="97" spans="1:50">
      <c r="A97" s="185" t="s">
        <v>16</v>
      </c>
      <c r="B97" s="263" t="str">
        <f t="shared" si="35"/>
        <v>CEW</v>
      </c>
      <c r="C97" s="87" t="str">
        <f t="shared" si="33"/>
        <v>Commercial - Water Heating</v>
      </c>
      <c r="D97" s="87" t="s">
        <v>75</v>
      </c>
      <c r="E97" s="96">
        <f t="shared" si="36"/>
        <v>72.906473658117989</v>
      </c>
      <c r="F97" s="104">
        <f t="shared" si="36"/>
        <v>69.309069222923057</v>
      </c>
      <c r="G97" s="104">
        <f t="shared" si="34"/>
        <v>69.309069222923057</v>
      </c>
      <c r="H97" s="104">
        <f t="shared" si="37"/>
        <v>69.309069222923057</v>
      </c>
      <c r="I97" s="150">
        <f t="shared" si="38"/>
        <v>69.309069222923057</v>
      </c>
      <c r="J97" s="8" cm="1">
        <f t="array" ref="J97">IF(J$8=-1,K97,IF(J$8=99,I97,IF(J$8=0,INDEX($E97:$I97,0,J$6),(INDEX($E97:$I97,0,J$8+1)-INDEX($E97:$I97,0,J$8))/(INDEX($D$5:$H$5,0,J$8+1)-INDEX($D$5:$H$5,0,J$8))+I97)))</f>
        <v>72.906473658117989</v>
      </c>
      <c r="K97" s="8" cm="1">
        <f t="array" ref="K97">IF(K$8=-1,L97,IF(K$8=99,J97,IF(K$8=0,INDEX($E97:$I97,0,K$6),(INDEX($E97:$I97,0,K$8+1)-INDEX($E97:$I97,0,K$8))/(INDEX($D$5:$H$5,0,K$8+1)-INDEX($D$5:$H$5,0,K$8))+J97)))</f>
        <v>72.186992771079005</v>
      </c>
      <c r="L97" s="8" cm="1">
        <f t="array" ref="L97">IF(L$8=-1,M97,IF(L$8=99,K97,IF(L$8=0,INDEX($E97:$I97,0,L$6),(INDEX($E97:$I97,0,L$8+1)-INDEX($E97:$I97,0,L$8))/(INDEX($D$5:$H$5,0,L$8+1)-INDEX($D$5:$H$5,0,L$8))+K97)))</f>
        <v>71.467511884040022</v>
      </c>
      <c r="M97" s="8" cm="1">
        <f t="array" ref="M97">IF(M$8=-1,N97,IF(M$8=99,L97,IF(M$8=0,INDEX($E97:$I97,0,M$6),(INDEX($E97:$I97,0,M$8+1)-INDEX($E97:$I97,0,M$8))/(INDEX($D$5:$H$5,0,M$8+1)-INDEX($D$5:$H$5,0,M$8))+L97)))</f>
        <v>70.748030997001038</v>
      </c>
      <c r="N97" s="8" cm="1">
        <f t="array" ref="N97">IF(N$8=-1,O97,IF(N$8=99,M97,IF(N$8=0,INDEX($E97:$I97,0,N$6),(INDEX($E97:$I97,0,N$8+1)-INDEX($E97:$I97,0,N$8))/(INDEX($D$5:$H$5,0,N$8+1)-INDEX($D$5:$H$5,0,N$8))+M97)))</f>
        <v>70.028550109962055</v>
      </c>
      <c r="O97" s="8" cm="1">
        <f t="array" ref="O97">IF(O$8=-1,P97,IF(O$8=99,N97,IF(O$8=0,INDEX($E97:$I97,0,O$6),(INDEX($E97:$I97,0,O$8+1)-INDEX($E97:$I97,0,O$8))/(INDEX($D$5:$H$5,0,O$8+1)-INDEX($D$5:$H$5,0,O$8))+N97)))</f>
        <v>69.309069222923057</v>
      </c>
      <c r="P97" s="8" cm="1">
        <f t="array" ref="P97">IF(P$8=-1,Q97,IF(P$8=99,O97,IF(P$8=0,INDEX($E97:$I97,0,P$6),(INDEX($E97:$I97,0,P$8+1)-INDEX($E97:$I97,0,P$8))/(INDEX($D$5:$H$5,0,P$8+1)-INDEX($D$5:$H$5,0,P$8))+O97)))</f>
        <v>69.309069222923057</v>
      </c>
      <c r="Q97" s="8" cm="1">
        <f t="array" ref="Q97">IF(Q$8=-1,R97,IF(Q$8=99,P97,IF(Q$8=0,INDEX($E97:$I97,0,Q$6),(INDEX($E97:$I97,0,Q$8+1)-INDEX($E97:$I97,0,Q$8))/(INDEX($D$5:$H$5,0,Q$8+1)-INDEX($D$5:$H$5,0,Q$8))+P97)))</f>
        <v>69.309069222923057</v>
      </c>
      <c r="R97" s="8" cm="1">
        <f t="array" ref="R97">IF(R$8=-1,S97,IF(R$8=99,Q97,IF(R$8=0,INDEX($E97:$I97,0,R$6),(INDEX($E97:$I97,0,R$8+1)-INDEX($E97:$I97,0,R$8))/(INDEX($D$5:$H$5,0,R$8+1)-INDEX($D$5:$H$5,0,R$8))+Q97)))</f>
        <v>69.309069222923057</v>
      </c>
      <c r="S97" s="8" cm="1">
        <f t="array" ref="S97">IF(S$8=-1,T97,IF(S$8=99,R97,IF(S$8=0,INDEX($E97:$I97,0,S$6),(INDEX($E97:$I97,0,S$8+1)-INDEX($E97:$I97,0,S$8))/(INDEX($D$5:$H$5,0,S$8+1)-INDEX($D$5:$H$5,0,S$8))+R97)))</f>
        <v>69.309069222923057</v>
      </c>
      <c r="T97" s="8" cm="1">
        <f t="array" ref="T97">IF(T$8=-1,U97,IF(T$8=99,S97,IF(T$8=0,INDEX($E97:$I97,0,T$6),(INDEX($E97:$I97,0,T$8+1)-INDEX($E97:$I97,0,T$8))/(INDEX($D$5:$H$5,0,T$8+1)-INDEX($D$5:$H$5,0,T$8))+S97)))</f>
        <v>69.309069222923057</v>
      </c>
      <c r="U97" s="8" cm="1">
        <f t="array" ref="U97">IF(U$8=-1,V97,IF(U$8=99,T97,IF(U$8=0,INDEX($E97:$I97,0,U$6),(INDEX($E97:$I97,0,U$8+1)-INDEX($E97:$I97,0,U$8))/(INDEX($D$5:$H$5,0,U$8+1)-INDEX($D$5:$H$5,0,U$8))+T97)))</f>
        <v>69.309069222923057</v>
      </c>
      <c r="V97" s="8" cm="1">
        <f t="array" ref="V97">IF(V$8=-1,W97,IF(V$8=99,U97,IF(V$8=0,INDEX($E97:$I97,0,V$6),(INDEX($E97:$I97,0,V$8+1)-INDEX($E97:$I97,0,V$8))/(INDEX($D$5:$H$5,0,V$8+1)-INDEX($D$5:$H$5,0,V$8))+U97)))</f>
        <v>69.309069222923057</v>
      </c>
      <c r="W97" s="8" cm="1">
        <f t="array" ref="W97">IF(W$8=-1,X97,IF(W$8=99,V97,IF(W$8=0,INDEX($E97:$I97,0,W$6),(INDEX($E97:$I97,0,W$8+1)-INDEX($E97:$I97,0,W$8))/(INDEX($D$5:$H$5,0,W$8+1)-INDEX($D$5:$H$5,0,W$8))+V97)))</f>
        <v>69.309069222923057</v>
      </c>
      <c r="X97" s="8" cm="1">
        <f t="array" ref="X97">IF(X$8=-1,Y97,IF(X$8=99,W97,IF(X$8=0,INDEX($E97:$I97,0,X$6),(INDEX($E97:$I97,0,X$8+1)-INDEX($E97:$I97,0,X$8))/(INDEX($D$5:$H$5,0,X$8+1)-INDEX($D$5:$H$5,0,X$8))+W97)))</f>
        <v>69.309069222923057</v>
      </c>
      <c r="Y97" s="8" cm="1">
        <f t="array" ref="Y97">IF(Y$8=-1,Z97,IF(Y$8=99,X97,IF(Y$8=0,INDEX($E97:$I97,0,Y$6),(INDEX($E97:$I97,0,Y$8+1)-INDEX($E97:$I97,0,Y$8))/(INDEX($D$5:$H$5,0,Y$8+1)-INDEX($D$5:$H$5,0,Y$8))+X97)))</f>
        <v>69.309069222923057</v>
      </c>
      <c r="Z97" s="8" cm="1">
        <f t="array" ref="Z97">IF(Z$8=-1,AA97,IF(Z$8=99,Y97,IF(Z$8=0,INDEX($E97:$I97,0,Z$6),(INDEX($E97:$I97,0,Z$8+1)-INDEX($E97:$I97,0,Z$8))/(INDEX($D$5:$H$5,0,Z$8+1)-INDEX($D$5:$H$5,0,Z$8))+Y97)))</f>
        <v>69.309069222923057</v>
      </c>
      <c r="AA97" s="8" cm="1">
        <f t="array" ref="AA97">IF(AA$8=-1,AB97,IF(AA$8=99,Z97,IF(AA$8=0,INDEX($E97:$I97,0,AA$6),(INDEX($E97:$I97,0,AA$8+1)-INDEX($E97:$I97,0,AA$8))/(INDEX($D$5:$H$5,0,AA$8+1)-INDEX($D$5:$H$5,0,AA$8))+Z97)))</f>
        <v>69.309069222923057</v>
      </c>
      <c r="AB97" s="8" cm="1">
        <f t="array" ref="AB97">IF(AB$8=-1,AC97,IF(AB$8=99,AA97,IF(AB$8=0,INDEX($E97:$I97,0,AB$6),(INDEX($E97:$I97,0,AB$8+1)-INDEX($E97:$I97,0,AB$8))/(INDEX($D$5:$H$5,0,AB$8+1)-INDEX($D$5:$H$5,0,AB$8))+AA97)))</f>
        <v>69.309069222923057</v>
      </c>
      <c r="AC97" s="8" cm="1">
        <f t="array" ref="AC97">IF(AC$8=-1,AD97,IF(AC$8=99,AB97,IF(AC$8=0,INDEX($E97:$I97,0,AC$6),(INDEX($E97:$I97,0,AC$8+1)-INDEX($E97:$I97,0,AC$8))/(INDEX($D$5:$H$5,0,AC$8+1)-INDEX($D$5:$H$5,0,AC$8))+AB97)))</f>
        <v>69.309069222923057</v>
      </c>
      <c r="AD97" s="8" cm="1">
        <f t="array" ref="AD97">IF(AD$8=-1,AE97,IF(AD$8=99,AC97,IF(AD$8=0,INDEX($E97:$I97,0,AD$6),(INDEX($E97:$I97,0,AD$8+1)-INDEX($E97:$I97,0,AD$8))/(INDEX($D$5:$H$5,0,AD$8+1)-INDEX($D$5:$H$5,0,AD$8))+AC97)))</f>
        <v>69.309069222923057</v>
      </c>
      <c r="AE97" s="8" cm="1">
        <f t="array" ref="AE97">IF(AE$8=-1,AF97,IF(AE$8=99,AD97,IF(AE$8=0,INDEX($E97:$I97,0,AE$6),(INDEX($E97:$I97,0,AE$8+1)-INDEX($E97:$I97,0,AE$8))/(INDEX($D$5:$H$5,0,AE$8+1)-INDEX($D$5:$H$5,0,AE$8))+AD97)))</f>
        <v>69.309069222923057</v>
      </c>
      <c r="AF97" s="8" cm="1">
        <f t="array" ref="AF97">IF(AF$8=-1,AG97,IF(AF$8=99,AE97,IF(AF$8=0,INDEX($E97:$I97,0,AF$6),(INDEX($E97:$I97,0,AF$8+1)-INDEX($E97:$I97,0,AF$8))/(INDEX($D$5:$H$5,0,AF$8+1)-INDEX($D$5:$H$5,0,AF$8))+AE97)))</f>
        <v>69.309069222923057</v>
      </c>
      <c r="AG97" s="8" cm="1">
        <f t="array" ref="AG97">IF(AG$8=-1,AH97,IF(AG$8=99,AF97,IF(AG$8=0,INDEX($E97:$I97,0,AG$6),(INDEX($E97:$I97,0,AG$8+1)-INDEX($E97:$I97,0,AG$8))/(INDEX($D$5:$H$5,0,AG$8+1)-INDEX($D$5:$H$5,0,AG$8))+AF97)))</f>
        <v>69.309069222923057</v>
      </c>
      <c r="AH97" s="8" cm="1">
        <f t="array" ref="AH97">IF(AH$8=-1,AI97,IF(AH$8=99,AG97,IF(AH$8=0,INDEX($E97:$I97,0,AH$6),(INDEX($E97:$I97,0,AH$8+1)-INDEX($E97:$I97,0,AH$8))/(INDEX($D$5:$H$5,0,AH$8+1)-INDEX($D$5:$H$5,0,AH$8))+AG97)))</f>
        <v>69.309069222923057</v>
      </c>
      <c r="AI97" s="8" cm="1">
        <f t="array" ref="AI97">IF(AI$8=-1,AJ97,IF(AI$8=99,AH97,IF(AI$8=0,INDEX($E97:$I97,0,AI$6),(INDEX($E97:$I97,0,AI$8+1)-INDEX($E97:$I97,0,AI$8))/(INDEX($D$5:$H$5,0,AI$8+1)-INDEX($D$5:$H$5,0,AI$8))+AH97)))</f>
        <v>69.309069222923057</v>
      </c>
      <c r="AJ97" s="8" cm="1">
        <f t="array" ref="AJ97">IF(AJ$8=-1,AK97,IF(AJ$8=99,AI97,IF(AJ$8=0,INDEX($E97:$I97,0,AJ$6),(INDEX($E97:$I97,0,AJ$8+1)-INDEX($E97:$I97,0,AJ$8))/(INDEX($D$5:$H$5,0,AJ$8+1)-INDEX($D$5:$H$5,0,AJ$8))+AI97)))</f>
        <v>69.309069222923057</v>
      </c>
      <c r="AK97" s="8" cm="1">
        <f t="array" ref="AK97">IF(AK$8=-1,AL97,IF(AK$8=99,AJ97,IF(AK$8=0,INDEX($E97:$I97,0,AK$6),(INDEX($E97:$I97,0,AK$8+1)-INDEX($E97:$I97,0,AK$8))/(INDEX($D$5:$H$5,0,AK$8+1)-INDEX($D$5:$H$5,0,AK$8))+AJ97)))</f>
        <v>69.309069222923057</v>
      </c>
      <c r="AL97" s="8" cm="1">
        <f t="array" ref="AL97">IF(AL$8=-1,AM97,IF(AL$8=99,AK97,IF(AL$8=0,INDEX($E97:$I97,0,AL$6),(INDEX($E97:$I97,0,AL$8+1)-INDEX($E97:$I97,0,AL$8))/(INDEX($D$5:$H$5,0,AL$8+1)-INDEX($D$5:$H$5,0,AL$8))+AK97)))</f>
        <v>69.309069222923057</v>
      </c>
      <c r="AM97" s="8" cm="1">
        <f t="array" ref="AM97">IF(AM$8=-1,AN97,IF(AM$8=99,AL97,IF(AM$8=0,INDEX($E97:$I97,0,AM$6),(INDEX($E97:$I97,0,AM$8+1)-INDEX($E97:$I97,0,AM$8))/(INDEX($D$5:$H$5,0,AM$8+1)-INDEX($D$5:$H$5,0,AM$8))+AL97)))</f>
        <v>69.309069222923057</v>
      </c>
      <c r="AN97" s="8" cm="1">
        <f t="array" ref="AN97">IF(AN$8=-1,AO97,IF(AN$8=99,AM97,IF(AN$8=0,INDEX($E97:$I97,0,AN$6),(INDEX($E97:$I97,0,AN$8+1)-INDEX($E97:$I97,0,AN$8))/(INDEX($D$5:$H$5,0,AN$8+1)-INDEX($D$5:$H$5,0,AN$8))+AM97)))</f>
        <v>69.309069222923057</v>
      </c>
      <c r="AO97" s="8" cm="1">
        <f t="array" ref="AO97">IF(AO$8=-1,AP97,IF(AO$8=99,AN97,IF(AO$8=0,INDEX($E97:$I97,0,AO$6),(INDEX($E97:$I97,0,AO$8+1)-INDEX($E97:$I97,0,AO$8))/(INDEX($D$5:$H$5,0,AO$8+1)-INDEX($D$5:$H$5,0,AO$8))+AN97)))</f>
        <v>69.309069222923057</v>
      </c>
      <c r="AP97" s="8" cm="1">
        <f t="array" ref="AP97">IF(AP$8=-1,AQ97,IF(AP$8=99,AO97,IF(AP$8=0,INDEX($E97:$I97,0,AP$6),(INDEX($E97:$I97,0,AP$8+1)-INDEX($E97:$I97,0,AP$8))/(INDEX($D$5:$H$5,0,AP$8+1)-INDEX($D$5:$H$5,0,AP$8))+AO97)))</f>
        <v>69.309069222923057</v>
      </c>
      <c r="AQ97" s="8" cm="1">
        <f t="array" ref="AQ97">IF(AQ$8=-1,AR97,IF(AQ$8=99,AP97,IF(AQ$8=0,INDEX($E97:$I97,0,AQ$6),(INDEX($E97:$I97,0,AQ$8+1)-INDEX($E97:$I97,0,AQ$8))/(INDEX($D$5:$H$5,0,AQ$8+1)-INDEX($D$5:$H$5,0,AQ$8))+AP97)))</f>
        <v>69.309069222923057</v>
      </c>
      <c r="AR97" s="8" cm="1">
        <f t="array" ref="AR97">IF(AR$8=-1,AS97,IF(AR$8=99,AQ97,IF(AR$8=0,INDEX($E97:$I97,0,AR$6),(INDEX($E97:$I97,0,AR$8+1)-INDEX($E97:$I97,0,AR$8))/(INDEX($D$5:$H$5,0,AR$8+1)-INDEX($D$5:$H$5,0,AR$8))+AQ97)))</f>
        <v>69.309069222923057</v>
      </c>
      <c r="AS97" s="8" cm="1">
        <f t="array" ref="AS97">IF(AS$8=-1,AT97,IF(AS$8=99,AR97,IF(AS$8=0,INDEX($E97:$I97,0,AS$6),(INDEX($E97:$I97,0,AS$8+1)-INDEX($E97:$I97,0,AS$8))/(INDEX($D$5:$H$5,0,AS$8+1)-INDEX($D$5:$H$5,0,AS$8))+AR97)))</f>
        <v>69.309069222923057</v>
      </c>
      <c r="AT97" s="8" cm="1">
        <f t="array" ref="AT97">IF(AT$8=-1,AU97,IF(AT$8=99,AS97,IF(AT$8=0,INDEX($E97:$I97,0,AT$6),(INDEX($E97:$I97,0,AT$8+1)-INDEX($E97:$I97,0,AT$8))/(INDEX($D$5:$H$5,0,AT$8+1)-INDEX($D$5:$H$5,0,AT$8))+AS97)))</f>
        <v>69.309069222923057</v>
      </c>
      <c r="AU97" s="8" cm="1">
        <f t="array" ref="AU97">IF(AU$8=-1,AV97,IF(AU$8=99,AT97,IF(AU$8=0,INDEX($E97:$I97,0,AU$6),(INDEX($E97:$I97,0,AU$8+1)-INDEX($E97:$I97,0,AU$8))/(INDEX($D$5:$H$5,0,AU$8+1)-INDEX($D$5:$H$5,0,AU$8))+AT97)))</f>
        <v>69.309069222923057</v>
      </c>
      <c r="AV97" s="8" cm="1">
        <f t="array" ref="AV97">IF(AV$8=-1,AW97,IF(AV$8=99,AU97,IF(AV$8=0,INDEX($E97:$I97,0,AV$6),(INDEX($E97:$I97,0,AV$8+1)-INDEX($E97:$I97,0,AV$8))/(INDEX($D$5:$H$5,0,AV$8+1)-INDEX($D$5:$H$5,0,AV$8))+AU97)))</f>
        <v>69.309069222923057</v>
      </c>
    </row>
    <row r="98" spans="1:50">
      <c r="A98" s="185" t="s">
        <v>16</v>
      </c>
      <c r="B98" s="263" t="str">
        <f t="shared" si="35"/>
        <v>CEG</v>
      </c>
      <c r="C98" s="107" t="str">
        <f t="shared" si="33"/>
        <v>Commercial - Public lights</v>
      </c>
      <c r="D98" s="107" t="s">
        <v>75</v>
      </c>
      <c r="E98" s="173">
        <f>D62/$J$34</f>
        <v>387.77678995775307</v>
      </c>
      <c r="F98" s="173">
        <f>E62/$O$34</f>
        <v>318.5892465812355</v>
      </c>
      <c r="G98" s="168">
        <f t="shared" si="34"/>
        <v>318.5892465812355</v>
      </c>
      <c r="H98" s="104">
        <f>IF($L$57=-1,G98,((F98-E98)*2/5+E98)*(1+$I$91))</f>
        <v>318.5892465812355</v>
      </c>
      <c r="I98" s="169">
        <f t="shared" si="38"/>
        <v>318.5892465812355</v>
      </c>
      <c r="J98" s="8" cm="1">
        <f t="array" ref="J98">IF(J$8=-1,K98,IF(J$8=99,I98,IF(J$8=0,INDEX($E98:$I98,0,J$6),(INDEX($E98:$I98,0,J$8+1)-INDEX($E98:$I98,0,J$8))/(INDEX($D$5:$H$5,0,J$8+1)-INDEX($D$5:$H$5,0,J$8))+I98)))</f>
        <v>387.77678995775307</v>
      </c>
      <c r="K98" s="8" cm="1">
        <f t="array" ref="K98">IF(K$8=-1,L98,IF(K$8=99,J98,IF(K$8=0,INDEX($E98:$I98,0,K$6),(INDEX($E98:$I98,0,K$8+1)-INDEX($E98:$I98,0,K$8))/(INDEX($D$5:$H$5,0,K$8+1)-INDEX($D$5:$H$5,0,K$8))+J98)))</f>
        <v>373.93928128244954</v>
      </c>
      <c r="L98" s="8" cm="1">
        <f t="array" ref="L98">IF(L$8=-1,M98,IF(L$8=99,K98,IF(L$8=0,INDEX($E98:$I98,0,L$6),(INDEX($E98:$I98,0,L$8+1)-INDEX($E98:$I98,0,L$8))/(INDEX($D$5:$H$5,0,L$8+1)-INDEX($D$5:$H$5,0,L$8))+K98)))</f>
        <v>360.10177260714602</v>
      </c>
      <c r="M98" s="8" cm="1">
        <f t="array" ref="M98">IF(M$8=-1,N98,IF(M$8=99,L98,IF(M$8=0,INDEX($E98:$I98,0,M$6),(INDEX($E98:$I98,0,M$8+1)-INDEX($E98:$I98,0,M$8))/(INDEX($D$5:$H$5,0,M$8+1)-INDEX($D$5:$H$5,0,M$8))+L98)))</f>
        <v>346.26426393184249</v>
      </c>
      <c r="N98" s="8" cm="1">
        <f t="array" ref="N98">IF(N$8=-1,O98,IF(N$8=99,M98,IF(N$8=0,INDEX($E98:$I98,0,N$6),(INDEX($E98:$I98,0,N$8+1)-INDEX($E98:$I98,0,N$8))/(INDEX($D$5:$H$5,0,N$8+1)-INDEX($D$5:$H$5,0,N$8))+M98)))</f>
        <v>332.42675525653897</v>
      </c>
      <c r="O98" s="8" cm="1">
        <f t="array" ref="O98">IF(O$8=-1,P98,IF(O$8=99,N98,IF(O$8=0,INDEX($E98:$I98,0,O$6),(INDEX($E98:$I98,0,O$8+1)-INDEX($E98:$I98,0,O$8))/(INDEX($D$5:$H$5,0,O$8+1)-INDEX($D$5:$H$5,0,O$8))+N98)))</f>
        <v>318.5892465812355</v>
      </c>
      <c r="P98" s="8" cm="1">
        <f t="array" ref="P98">IF(P$8=-1,Q98,IF(P$8=99,O98,IF(P$8=0,INDEX($E98:$I98,0,P$6),(INDEX($E98:$I98,0,P$8+1)-INDEX($E98:$I98,0,P$8))/(INDEX($D$5:$H$5,0,P$8+1)-INDEX($D$5:$H$5,0,P$8))+O98)))</f>
        <v>318.5892465812355</v>
      </c>
      <c r="Q98" s="8" cm="1">
        <f t="array" ref="Q98">IF(Q$8=-1,R98,IF(Q$8=99,P98,IF(Q$8=0,INDEX($E98:$I98,0,Q$6),(INDEX($E98:$I98,0,Q$8+1)-INDEX($E98:$I98,0,Q$8))/(INDEX($D$5:$H$5,0,Q$8+1)-INDEX($D$5:$H$5,0,Q$8))+P98)))</f>
        <v>318.5892465812355</v>
      </c>
      <c r="R98" s="8" cm="1">
        <f t="array" ref="R98">IF(R$8=-1,S98,IF(R$8=99,Q98,IF(R$8=0,INDEX($E98:$I98,0,R$6),(INDEX($E98:$I98,0,R$8+1)-INDEX($E98:$I98,0,R$8))/(INDEX($D$5:$H$5,0,R$8+1)-INDEX($D$5:$H$5,0,R$8))+Q98)))</f>
        <v>318.5892465812355</v>
      </c>
      <c r="S98" s="8" cm="1">
        <f t="array" ref="S98">IF(S$8=-1,T98,IF(S$8=99,R98,IF(S$8=0,INDEX($E98:$I98,0,S$6),(INDEX($E98:$I98,0,S$8+1)-INDEX($E98:$I98,0,S$8))/(INDEX($D$5:$H$5,0,S$8+1)-INDEX($D$5:$H$5,0,S$8))+R98)))</f>
        <v>318.5892465812355</v>
      </c>
      <c r="T98" s="8" cm="1">
        <f t="array" ref="T98">IF(T$8=-1,U98,IF(T$8=99,S98,IF(T$8=0,INDEX($E98:$I98,0,T$6),(INDEX($E98:$I98,0,T$8+1)-INDEX($E98:$I98,0,T$8))/(INDEX($D$5:$H$5,0,T$8+1)-INDEX($D$5:$H$5,0,T$8))+S98)))</f>
        <v>318.5892465812355</v>
      </c>
      <c r="U98" s="8" cm="1">
        <f t="array" ref="U98">IF(U$8=-1,V98,IF(U$8=99,T98,IF(U$8=0,INDEX($E98:$I98,0,U$6),(INDEX($E98:$I98,0,U$8+1)-INDEX($E98:$I98,0,U$8))/(INDEX($D$5:$H$5,0,U$8+1)-INDEX($D$5:$H$5,0,U$8))+T98)))</f>
        <v>318.5892465812355</v>
      </c>
      <c r="V98" s="8" cm="1">
        <f t="array" ref="V98">IF(V$8=-1,W98,IF(V$8=99,U98,IF(V$8=0,INDEX($E98:$I98,0,V$6),(INDEX($E98:$I98,0,V$8+1)-INDEX($E98:$I98,0,V$8))/(INDEX($D$5:$H$5,0,V$8+1)-INDEX($D$5:$H$5,0,V$8))+U98)))</f>
        <v>318.5892465812355</v>
      </c>
      <c r="W98" s="8" cm="1">
        <f t="array" ref="W98">IF(W$8=-1,X98,IF(W$8=99,V98,IF(W$8=0,INDEX($E98:$I98,0,W$6),(INDEX($E98:$I98,0,W$8+1)-INDEX($E98:$I98,0,W$8))/(INDEX($D$5:$H$5,0,W$8+1)-INDEX($D$5:$H$5,0,W$8))+V98)))</f>
        <v>318.5892465812355</v>
      </c>
      <c r="X98" s="8" cm="1">
        <f t="array" ref="X98">IF(X$8=-1,Y98,IF(X$8=99,W98,IF(X$8=0,INDEX($E98:$I98,0,X$6),(INDEX($E98:$I98,0,X$8+1)-INDEX($E98:$I98,0,X$8))/(INDEX($D$5:$H$5,0,X$8+1)-INDEX($D$5:$H$5,0,X$8))+W98)))</f>
        <v>318.5892465812355</v>
      </c>
      <c r="Y98" s="8" cm="1">
        <f t="array" ref="Y98">IF(Y$8=-1,Z98,IF(Y$8=99,X98,IF(Y$8=0,INDEX($E98:$I98,0,Y$6),(INDEX($E98:$I98,0,Y$8+1)-INDEX($E98:$I98,0,Y$8))/(INDEX($D$5:$H$5,0,Y$8+1)-INDEX($D$5:$H$5,0,Y$8))+X98)))</f>
        <v>318.5892465812355</v>
      </c>
      <c r="Z98" s="8" cm="1">
        <f t="array" ref="Z98">IF(Z$8=-1,AA98,IF(Z$8=99,Y98,IF(Z$8=0,INDEX($E98:$I98,0,Z$6),(INDEX($E98:$I98,0,Z$8+1)-INDEX($E98:$I98,0,Z$8))/(INDEX($D$5:$H$5,0,Z$8+1)-INDEX($D$5:$H$5,0,Z$8))+Y98)))</f>
        <v>318.5892465812355</v>
      </c>
      <c r="AA98" s="8" cm="1">
        <f t="array" ref="AA98">IF(AA$8=-1,AB98,IF(AA$8=99,Z98,IF(AA$8=0,INDEX($E98:$I98,0,AA$6),(INDEX($E98:$I98,0,AA$8+1)-INDEX($E98:$I98,0,AA$8))/(INDEX($D$5:$H$5,0,AA$8+1)-INDEX($D$5:$H$5,0,AA$8))+Z98)))</f>
        <v>318.5892465812355</v>
      </c>
      <c r="AB98" s="8" cm="1">
        <f t="array" ref="AB98">IF(AB$8=-1,AC98,IF(AB$8=99,AA98,IF(AB$8=0,INDEX($E98:$I98,0,AB$6),(INDEX($E98:$I98,0,AB$8+1)-INDEX($E98:$I98,0,AB$8))/(INDEX($D$5:$H$5,0,AB$8+1)-INDEX($D$5:$H$5,0,AB$8))+AA98)))</f>
        <v>318.5892465812355</v>
      </c>
      <c r="AC98" s="8" cm="1">
        <f t="array" ref="AC98">IF(AC$8=-1,AD98,IF(AC$8=99,AB98,IF(AC$8=0,INDEX($E98:$I98,0,AC$6),(INDEX($E98:$I98,0,AC$8+1)-INDEX($E98:$I98,0,AC$8))/(INDEX($D$5:$H$5,0,AC$8+1)-INDEX($D$5:$H$5,0,AC$8))+AB98)))</f>
        <v>318.5892465812355</v>
      </c>
      <c r="AD98" s="8" cm="1">
        <f t="array" ref="AD98">IF(AD$8=-1,AE98,IF(AD$8=99,AC98,IF(AD$8=0,INDEX($E98:$I98,0,AD$6),(INDEX($E98:$I98,0,AD$8+1)-INDEX($E98:$I98,0,AD$8))/(INDEX($D$5:$H$5,0,AD$8+1)-INDEX($D$5:$H$5,0,AD$8))+AC98)))</f>
        <v>318.5892465812355</v>
      </c>
      <c r="AE98" s="8" cm="1">
        <f t="array" ref="AE98">IF(AE$8=-1,AF98,IF(AE$8=99,AD98,IF(AE$8=0,INDEX($E98:$I98,0,AE$6),(INDEX($E98:$I98,0,AE$8+1)-INDEX($E98:$I98,0,AE$8))/(INDEX($D$5:$H$5,0,AE$8+1)-INDEX($D$5:$H$5,0,AE$8))+AD98)))</f>
        <v>318.5892465812355</v>
      </c>
      <c r="AF98" s="8" cm="1">
        <f t="array" ref="AF98">IF(AF$8=-1,AG98,IF(AF$8=99,AE98,IF(AF$8=0,INDEX($E98:$I98,0,AF$6),(INDEX($E98:$I98,0,AF$8+1)-INDEX($E98:$I98,0,AF$8))/(INDEX($D$5:$H$5,0,AF$8+1)-INDEX($D$5:$H$5,0,AF$8))+AE98)))</f>
        <v>318.5892465812355</v>
      </c>
      <c r="AG98" s="8" cm="1">
        <f t="array" ref="AG98">IF(AG$8=-1,AH98,IF(AG$8=99,AF98,IF(AG$8=0,INDEX($E98:$I98,0,AG$6),(INDEX($E98:$I98,0,AG$8+1)-INDEX($E98:$I98,0,AG$8))/(INDEX($D$5:$H$5,0,AG$8+1)-INDEX($D$5:$H$5,0,AG$8))+AF98)))</f>
        <v>318.5892465812355</v>
      </c>
      <c r="AH98" s="8" cm="1">
        <f t="array" ref="AH98">IF(AH$8=-1,AI98,IF(AH$8=99,AG98,IF(AH$8=0,INDEX($E98:$I98,0,AH$6),(INDEX($E98:$I98,0,AH$8+1)-INDEX($E98:$I98,0,AH$8))/(INDEX($D$5:$H$5,0,AH$8+1)-INDEX($D$5:$H$5,0,AH$8))+AG98)))</f>
        <v>318.5892465812355</v>
      </c>
      <c r="AI98" s="8" cm="1">
        <f t="array" ref="AI98">IF(AI$8=-1,AJ98,IF(AI$8=99,AH98,IF(AI$8=0,INDEX($E98:$I98,0,AI$6),(INDEX($E98:$I98,0,AI$8+1)-INDEX($E98:$I98,0,AI$8))/(INDEX($D$5:$H$5,0,AI$8+1)-INDEX($D$5:$H$5,0,AI$8))+AH98)))</f>
        <v>318.5892465812355</v>
      </c>
      <c r="AJ98" s="8" cm="1">
        <f t="array" ref="AJ98">IF(AJ$8=-1,AK98,IF(AJ$8=99,AI98,IF(AJ$8=0,INDEX($E98:$I98,0,AJ$6),(INDEX($E98:$I98,0,AJ$8+1)-INDEX($E98:$I98,0,AJ$8))/(INDEX($D$5:$H$5,0,AJ$8+1)-INDEX($D$5:$H$5,0,AJ$8))+AI98)))</f>
        <v>318.5892465812355</v>
      </c>
      <c r="AK98" s="8" cm="1">
        <f t="array" ref="AK98">IF(AK$8=-1,AL98,IF(AK$8=99,AJ98,IF(AK$8=0,INDEX($E98:$I98,0,AK$6),(INDEX($E98:$I98,0,AK$8+1)-INDEX($E98:$I98,0,AK$8))/(INDEX($D$5:$H$5,0,AK$8+1)-INDEX($D$5:$H$5,0,AK$8))+AJ98)))</f>
        <v>318.5892465812355</v>
      </c>
      <c r="AL98" s="8" cm="1">
        <f t="array" ref="AL98">IF(AL$8=-1,AM98,IF(AL$8=99,AK98,IF(AL$8=0,INDEX($E98:$I98,0,AL$6),(INDEX($E98:$I98,0,AL$8+1)-INDEX($E98:$I98,0,AL$8))/(INDEX($D$5:$H$5,0,AL$8+1)-INDEX($D$5:$H$5,0,AL$8))+AK98)))</f>
        <v>318.5892465812355</v>
      </c>
      <c r="AM98" s="8" cm="1">
        <f t="array" ref="AM98">IF(AM$8=-1,AN98,IF(AM$8=99,AL98,IF(AM$8=0,INDEX($E98:$I98,0,AM$6),(INDEX($E98:$I98,0,AM$8+1)-INDEX($E98:$I98,0,AM$8))/(INDEX($D$5:$H$5,0,AM$8+1)-INDEX($D$5:$H$5,0,AM$8))+AL98)))</f>
        <v>318.5892465812355</v>
      </c>
      <c r="AN98" s="8" cm="1">
        <f t="array" ref="AN98">IF(AN$8=-1,AO98,IF(AN$8=99,AM98,IF(AN$8=0,INDEX($E98:$I98,0,AN$6),(INDEX($E98:$I98,0,AN$8+1)-INDEX($E98:$I98,0,AN$8))/(INDEX($D$5:$H$5,0,AN$8+1)-INDEX($D$5:$H$5,0,AN$8))+AM98)))</f>
        <v>318.5892465812355</v>
      </c>
      <c r="AO98" s="8" cm="1">
        <f t="array" ref="AO98">IF(AO$8=-1,AP98,IF(AO$8=99,AN98,IF(AO$8=0,INDEX($E98:$I98,0,AO$6),(INDEX($E98:$I98,0,AO$8+1)-INDEX($E98:$I98,0,AO$8))/(INDEX($D$5:$H$5,0,AO$8+1)-INDEX($D$5:$H$5,0,AO$8))+AN98)))</f>
        <v>318.5892465812355</v>
      </c>
      <c r="AP98" s="8" cm="1">
        <f t="array" ref="AP98">IF(AP$8=-1,AQ98,IF(AP$8=99,AO98,IF(AP$8=0,INDEX($E98:$I98,0,AP$6),(INDEX($E98:$I98,0,AP$8+1)-INDEX($E98:$I98,0,AP$8))/(INDEX($D$5:$H$5,0,AP$8+1)-INDEX($D$5:$H$5,0,AP$8))+AO98)))</f>
        <v>318.5892465812355</v>
      </c>
      <c r="AQ98" s="8" cm="1">
        <f t="array" ref="AQ98">IF(AQ$8=-1,AR98,IF(AQ$8=99,AP98,IF(AQ$8=0,INDEX($E98:$I98,0,AQ$6),(INDEX($E98:$I98,0,AQ$8+1)-INDEX($E98:$I98,0,AQ$8))/(INDEX($D$5:$H$5,0,AQ$8+1)-INDEX($D$5:$H$5,0,AQ$8))+AP98)))</f>
        <v>318.5892465812355</v>
      </c>
      <c r="AR98" s="8" cm="1">
        <f t="array" ref="AR98">IF(AR$8=-1,AS98,IF(AR$8=99,AQ98,IF(AR$8=0,INDEX($E98:$I98,0,AR$6),(INDEX($E98:$I98,0,AR$8+1)-INDEX($E98:$I98,0,AR$8))/(INDEX($D$5:$H$5,0,AR$8+1)-INDEX($D$5:$H$5,0,AR$8))+AQ98)))</f>
        <v>318.5892465812355</v>
      </c>
      <c r="AS98" s="8" cm="1">
        <f t="array" ref="AS98">IF(AS$8=-1,AT98,IF(AS$8=99,AR98,IF(AS$8=0,INDEX($E98:$I98,0,AS$6),(INDEX($E98:$I98,0,AS$8+1)-INDEX($E98:$I98,0,AS$8))/(INDEX($D$5:$H$5,0,AS$8+1)-INDEX($D$5:$H$5,0,AS$8))+AR98)))</f>
        <v>318.5892465812355</v>
      </c>
      <c r="AT98" s="8" cm="1">
        <f t="array" ref="AT98">IF(AT$8=-1,AU98,IF(AT$8=99,AS98,IF(AT$8=0,INDEX($E98:$I98,0,AT$6),(INDEX($E98:$I98,0,AT$8+1)-INDEX($E98:$I98,0,AT$8))/(INDEX($D$5:$H$5,0,AT$8+1)-INDEX($D$5:$H$5,0,AT$8))+AS98)))</f>
        <v>318.5892465812355</v>
      </c>
      <c r="AU98" s="8" cm="1">
        <f t="array" ref="AU98">IF(AU$8=-1,AV98,IF(AU$8=99,AT98,IF(AU$8=0,INDEX($E98:$I98,0,AU$6),(INDEX($E98:$I98,0,AU$8+1)-INDEX($E98:$I98,0,AU$8))/(INDEX($D$5:$H$5,0,AU$8+1)-INDEX($D$5:$H$5,0,AU$8))+AT98)))</f>
        <v>318.5892465812355</v>
      </c>
      <c r="AV98" s="8" cm="1">
        <f t="array" ref="AV98">IF(AV$8=-1,AW98,IF(AV$8=99,AU98,IF(AV$8=0,INDEX($E98:$I98,0,AV$6),(INDEX($E98:$I98,0,AV$8+1)-INDEX($E98:$I98,0,AV$8))/(INDEX($D$5:$H$5,0,AV$8+1)-INDEX($D$5:$H$5,0,AV$8))+AU98)))</f>
        <v>318.5892465812355</v>
      </c>
    </row>
    <row r="99" spans="1:50">
      <c r="A99" s="185" t="s">
        <v>16</v>
      </c>
      <c r="B99" s="263" t="str">
        <f t="shared" si="35"/>
        <v>CET</v>
      </c>
      <c r="C99" s="107" t="str">
        <f t="shared" si="33"/>
        <v>Commercial - Public Water</v>
      </c>
      <c r="D99" s="107" t="s">
        <v>75</v>
      </c>
      <c r="E99" s="173">
        <f>D63/$J$34</f>
        <v>133.99608918927126</v>
      </c>
      <c r="F99" s="173">
        <f>E63/$O$34</f>
        <v>110.08836579490193</v>
      </c>
      <c r="G99" s="168">
        <f t="shared" si="34"/>
        <v>110.08836579490193</v>
      </c>
      <c r="H99" s="104">
        <f>IF($L$57=-1,G99,((F99-E99)*2/5+E99)*(1+$I$91))</f>
        <v>110.08836579490193</v>
      </c>
      <c r="I99" s="169">
        <f t="shared" si="38"/>
        <v>110.08836579490193</v>
      </c>
      <c r="J99" s="8" cm="1">
        <f t="array" ref="J99">IF(J$8=-1,K99,IF(J$8=99,I99,IF(J$8=0,INDEX($E99:$I99,0,J$6),(INDEX($E99:$I99,0,J$8+1)-INDEX($E99:$I99,0,J$8))/(INDEX($D$5:$H$5,0,J$8+1)-INDEX($D$5:$H$5,0,J$8))+I99)))</f>
        <v>133.99608918927126</v>
      </c>
      <c r="K99" s="8" cm="1">
        <f t="array" ref="K99">IF(K$8=-1,L99,IF(K$8=99,J99,IF(K$8=0,INDEX($E99:$I99,0,K$6),(INDEX($E99:$I99,0,K$8+1)-INDEX($E99:$I99,0,K$8))/(INDEX($D$5:$H$5,0,K$8+1)-INDEX($D$5:$H$5,0,K$8))+J99)))</f>
        <v>129.21454451039739</v>
      </c>
      <c r="L99" s="8" cm="1">
        <f t="array" ref="L99">IF(L$8=-1,M99,IF(L$8=99,K99,IF(L$8=0,INDEX($E99:$I99,0,L$6),(INDEX($E99:$I99,0,L$8+1)-INDEX($E99:$I99,0,L$8))/(INDEX($D$5:$H$5,0,L$8+1)-INDEX($D$5:$H$5,0,L$8))+K99)))</f>
        <v>124.43299983152352</v>
      </c>
      <c r="M99" s="8" cm="1">
        <f t="array" ref="M99">IF(M$8=-1,N99,IF(M$8=99,L99,IF(M$8=0,INDEX($E99:$I99,0,M$6),(INDEX($E99:$I99,0,M$8+1)-INDEX($E99:$I99,0,M$8))/(INDEX($D$5:$H$5,0,M$8+1)-INDEX($D$5:$H$5,0,M$8))+L99)))</f>
        <v>119.65145515264965</v>
      </c>
      <c r="N99" s="8" cm="1">
        <f t="array" ref="N99">IF(N$8=-1,O99,IF(N$8=99,M99,IF(N$8=0,INDEX($E99:$I99,0,N$6),(INDEX($E99:$I99,0,N$8+1)-INDEX($E99:$I99,0,N$8))/(INDEX($D$5:$H$5,0,N$8+1)-INDEX($D$5:$H$5,0,N$8))+M99)))</f>
        <v>114.86991047377578</v>
      </c>
      <c r="O99" s="8" cm="1">
        <f t="array" ref="O99">IF(O$8=-1,P99,IF(O$8=99,N99,IF(O$8=0,INDEX($E99:$I99,0,O$6),(INDEX($E99:$I99,0,O$8+1)-INDEX($E99:$I99,0,O$8))/(INDEX($D$5:$H$5,0,O$8+1)-INDEX($D$5:$H$5,0,O$8))+N99)))</f>
        <v>110.08836579490193</v>
      </c>
      <c r="P99" s="8" cm="1">
        <f t="array" ref="P99">IF(P$8=-1,Q99,IF(P$8=99,O99,IF(P$8=0,INDEX($E99:$I99,0,P$6),(INDEX($E99:$I99,0,P$8+1)-INDEX($E99:$I99,0,P$8))/(INDEX($D$5:$H$5,0,P$8+1)-INDEX($D$5:$H$5,0,P$8))+O99)))</f>
        <v>110.08836579490193</v>
      </c>
      <c r="Q99" s="8" cm="1">
        <f t="array" ref="Q99">IF(Q$8=-1,R99,IF(Q$8=99,P99,IF(Q$8=0,INDEX($E99:$I99,0,Q$6),(INDEX($E99:$I99,0,Q$8+1)-INDEX($E99:$I99,0,Q$8))/(INDEX($D$5:$H$5,0,Q$8+1)-INDEX($D$5:$H$5,0,Q$8))+P99)))</f>
        <v>110.08836579490193</v>
      </c>
      <c r="R99" s="8" cm="1">
        <f t="array" ref="R99">IF(R$8=-1,S99,IF(R$8=99,Q99,IF(R$8=0,INDEX($E99:$I99,0,R$6),(INDEX($E99:$I99,0,R$8+1)-INDEX($E99:$I99,0,R$8))/(INDEX($D$5:$H$5,0,R$8+1)-INDEX($D$5:$H$5,0,R$8))+Q99)))</f>
        <v>110.08836579490193</v>
      </c>
      <c r="S99" s="8" cm="1">
        <f t="array" ref="S99">IF(S$8=-1,T99,IF(S$8=99,R99,IF(S$8=0,INDEX($E99:$I99,0,S$6),(INDEX($E99:$I99,0,S$8+1)-INDEX($E99:$I99,0,S$8))/(INDEX($D$5:$H$5,0,S$8+1)-INDEX($D$5:$H$5,0,S$8))+R99)))</f>
        <v>110.08836579490193</v>
      </c>
      <c r="T99" s="8" cm="1">
        <f t="array" ref="T99">IF(T$8=-1,U99,IF(T$8=99,S99,IF(T$8=0,INDEX($E99:$I99,0,T$6),(INDEX($E99:$I99,0,T$8+1)-INDEX($E99:$I99,0,T$8))/(INDEX($D$5:$H$5,0,T$8+1)-INDEX($D$5:$H$5,0,T$8))+S99)))</f>
        <v>110.08836579490193</v>
      </c>
      <c r="U99" s="8" cm="1">
        <f t="array" ref="U99">IF(U$8=-1,V99,IF(U$8=99,T99,IF(U$8=0,INDEX($E99:$I99,0,U$6),(INDEX($E99:$I99,0,U$8+1)-INDEX($E99:$I99,0,U$8))/(INDEX($D$5:$H$5,0,U$8+1)-INDEX($D$5:$H$5,0,U$8))+T99)))</f>
        <v>110.08836579490193</v>
      </c>
      <c r="V99" s="8" cm="1">
        <f t="array" ref="V99">IF(V$8=-1,W99,IF(V$8=99,U99,IF(V$8=0,INDEX($E99:$I99,0,V$6),(INDEX($E99:$I99,0,V$8+1)-INDEX($E99:$I99,0,V$8))/(INDEX($D$5:$H$5,0,V$8+1)-INDEX($D$5:$H$5,0,V$8))+U99)))</f>
        <v>110.08836579490193</v>
      </c>
      <c r="W99" s="8" cm="1">
        <f t="array" ref="W99">IF(W$8=-1,X99,IF(W$8=99,V99,IF(W$8=0,INDEX($E99:$I99,0,W$6),(INDEX($E99:$I99,0,W$8+1)-INDEX($E99:$I99,0,W$8))/(INDEX($D$5:$H$5,0,W$8+1)-INDEX($D$5:$H$5,0,W$8))+V99)))</f>
        <v>110.08836579490193</v>
      </c>
      <c r="X99" s="8" cm="1">
        <f t="array" ref="X99">IF(X$8=-1,Y99,IF(X$8=99,W99,IF(X$8=0,INDEX($E99:$I99,0,X$6),(INDEX($E99:$I99,0,X$8+1)-INDEX($E99:$I99,0,X$8))/(INDEX($D$5:$H$5,0,X$8+1)-INDEX($D$5:$H$5,0,X$8))+W99)))</f>
        <v>110.08836579490193</v>
      </c>
      <c r="Y99" s="8" cm="1">
        <f t="array" ref="Y99">IF(Y$8=-1,Z99,IF(Y$8=99,X99,IF(Y$8=0,INDEX($E99:$I99,0,Y$6),(INDEX($E99:$I99,0,Y$8+1)-INDEX($E99:$I99,0,Y$8))/(INDEX($D$5:$H$5,0,Y$8+1)-INDEX($D$5:$H$5,0,Y$8))+X99)))</f>
        <v>110.08836579490193</v>
      </c>
      <c r="Z99" s="8" cm="1">
        <f t="array" ref="Z99">IF(Z$8=-1,AA99,IF(Z$8=99,Y99,IF(Z$8=0,INDEX($E99:$I99,0,Z$6),(INDEX($E99:$I99,0,Z$8+1)-INDEX($E99:$I99,0,Z$8))/(INDEX($D$5:$H$5,0,Z$8+1)-INDEX($D$5:$H$5,0,Z$8))+Y99)))</f>
        <v>110.08836579490193</v>
      </c>
      <c r="AA99" s="8" cm="1">
        <f t="array" ref="AA99">IF(AA$8=-1,AB99,IF(AA$8=99,Z99,IF(AA$8=0,INDEX($E99:$I99,0,AA$6),(INDEX($E99:$I99,0,AA$8+1)-INDEX($E99:$I99,0,AA$8))/(INDEX($D$5:$H$5,0,AA$8+1)-INDEX($D$5:$H$5,0,AA$8))+Z99)))</f>
        <v>110.08836579490193</v>
      </c>
      <c r="AB99" s="8" cm="1">
        <f t="array" ref="AB99">IF(AB$8=-1,AC99,IF(AB$8=99,AA99,IF(AB$8=0,INDEX($E99:$I99,0,AB$6),(INDEX($E99:$I99,0,AB$8+1)-INDEX($E99:$I99,0,AB$8))/(INDEX($D$5:$H$5,0,AB$8+1)-INDEX($D$5:$H$5,0,AB$8))+AA99)))</f>
        <v>110.08836579490193</v>
      </c>
      <c r="AC99" s="8" cm="1">
        <f t="array" ref="AC99">IF(AC$8=-1,AD99,IF(AC$8=99,AB99,IF(AC$8=0,INDEX($E99:$I99,0,AC$6),(INDEX($E99:$I99,0,AC$8+1)-INDEX($E99:$I99,0,AC$8))/(INDEX($D$5:$H$5,0,AC$8+1)-INDEX($D$5:$H$5,0,AC$8))+AB99)))</f>
        <v>110.08836579490193</v>
      </c>
      <c r="AD99" s="8" cm="1">
        <f t="array" ref="AD99">IF(AD$8=-1,AE99,IF(AD$8=99,AC99,IF(AD$8=0,INDEX($E99:$I99,0,AD$6),(INDEX($E99:$I99,0,AD$8+1)-INDEX($E99:$I99,0,AD$8))/(INDEX($D$5:$H$5,0,AD$8+1)-INDEX($D$5:$H$5,0,AD$8))+AC99)))</f>
        <v>110.08836579490193</v>
      </c>
      <c r="AE99" s="8" cm="1">
        <f t="array" ref="AE99">IF(AE$8=-1,AF99,IF(AE$8=99,AD99,IF(AE$8=0,INDEX($E99:$I99,0,AE$6),(INDEX($E99:$I99,0,AE$8+1)-INDEX($E99:$I99,0,AE$8))/(INDEX($D$5:$H$5,0,AE$8+1)-INDEX($D$5:$H$5,0,AE$8))+AD99)))</f>
        <v>110.08836579490193</v>
      </c>
      <c r="AF99" s="8" cm="1">
        <f t="array" ref="AF99">IF(AF$8=-1,AG99,IF(AF$8=99,AE99,IF(AF$8=0,INDEX($E99:$I99,0,AF$6),(INDEX($E99:$I99,0,AF$8+1)-INDEX($E99:$I99,0,AF$8))/(INDEX($D$5:$H$5,0,AF$8+1)-INDEX($D$5:$H$5,0,AF$8))+AE99)))</f>
        <v>110.08836579490193</v>
      </c>
      <c r="AG99" s="8" cm="1">
        <f t="array" ref="AG99">IF(AG$8=-1,AH99,IF(AG$8=99,AF99,IF(AG$8=0,INDEX($E99:$I99,0,AG$6),(INDEX($E99:$I99,0,AG$8+1)-INDEX($E99:$I99,0,AG$8))/(INDEX($D$5:$H$5,0,AG$8+1)-INDEX($D$5:$H$5,0,AG$8))+AF99)))</f>
        <v>110.08836579490193</v>
      </c>
      <c r="AH99" s="8" cm="1">
        <f t="array" ref="AH99">IF(AH$8=-1,AI99,IF(AH$8=99,AG99,IF(AH$8=0,INDEX($E99:$I99,0,AH$6),(INDEX($E99:$I99,0,AH$8+1)-INDEX($E99:$I99,0,AH$8))/(INDEX($D$5:$H$5,0,AH$8+1)-INDEX($D$5:$H$5,0,AH$8))+AG99)))</f>
        <v>110.08836579490193</v>
      </c>
      <c r="AI99" s="8" cm="1">
        <f t="array" ref="AI99">IF(AI$8=-1,AJ99,IF(AI$8=99,AH99,IF(AI$8=0,INDEX($E99:$I99,0,AI$6),(INDEX($E99:$I99,0,AI$8+1)-INDEX($E99:$I99,0,AI$8))/(INDEX($D$5:$H$5,0,AI$8+1)-INDEX($D$5:$H$5,0,AI$8))+AH99)))</f>
        <v>110.08836579490193</v>
      </c>
      <c r="AJ99" s="8" cm="1">
        <f t="array" ref="AJ99">IF(AJ$8=-1,AK99,IF(AJ$8=99,AI99,IF(AJ$8=0,INDEX($E99:$I99,0,AJ$6),(INDEX($E99:$I99,0,AJ$8+1)-INDEX($E99:$I99,0,AJ$8))/(INDEX($D$5:$H$5,0,AJ$8+1)-INDEX($D$5:$H$5,0,AJ$8))+AI99)))</f>
        <v>110.08836579490193</v>
      </c>
      <c r="AK99" s="8" cm="1">
        <f t="array" ref="AK99">IF(AK$8=-1,AL99,IF(AK$8=99,AJ99,IF(AK$8=0,INDEX($E99:$I99,0,AK$6),(INDEX($E99:$I99,0,AK$8+1)-INDEX($E99:$I99,0,AK$8))/(INDEX($D$5:$H$5,0,AK$8+1)-INDEX($D$5:$H$5,0,AK$8))+AJ99)))</f>
        <v>110.08836579490193</v>
      </c>
      <c r="AL99" s="8" cm="1">
        <f t="array" ref="AL99">IF(AL$8=-1,AM99,IF(AL$8=99,AK99,IF(AL$8=0,INDEX($E99:$I99,0,AL$6),(INDEX($E99:$I99,0,AL$8+1)-INDEX($E99:$I99,0,AL$8))/(INDEX($D$5:$H$5,0,AL$8+1)-INDEX($D$5:$H$5,0,AL$8))+AK99)))</f>
        <v>110.08836579490193</v>
      </c>
      <c r="AM99" s="8" cm="1">
        <f t="array" ref="AM99">IF(AM$8=-1,AN99,IF(AM$8=99,AL99,IF(AM$8=0,INDEX($E99:$I99,0,AM$6),(INDEX($E99:$I99,0,AM$8+1)-INDEX($E99:$I99,0,AM$8))/(INDEX($D$5:$H$5,0,AM$8+1)-INDEX($D$5:$H$5,0,AM$8))+AL99)))</f>
        <v>110.08836579490193</v>
      </c>
      <c r="AN99" s="8" cm="1">
        <f t="array" ref="AN99">IF(AN$8=-1,AO99,IF(AN$8=99,AM99,IF(AN$8=0,INDEX($E99:$I99,0,AN$6),(INDEX($E99:$I99,0,AN$8+1)-INDEX($E99:$I99,0,AN$8))/(INDEX($D$5:$H$5,0,AN$8+1)-INDEX($D$5:$H$5,0,AN$8))+AM99)))</f>
        <v>110.08836579490193</v>
      </c>
      <c r="AO99" s="8" cm="1">
        <f t="array" ref="AO99">IF(AO$8=-1,AP99,IF(AO$8=99,AN99,IF(AO$8=0,INDEX($E99:$I99,0,AO$6),(INDEX($E99:$I99,0,AO$8+1)-INDEX($E99:$I99,0,AO$8))/(INDEX($D$5:$H$5,0,AO$8+1)-INDEX($D$5:$H$5,0,AO$8))+AN99)))</f>
        <v>110.08836579490193</v>
      </c>
      <c r="AP99" s="8" cm="1">
        <f t="array" ref="AP99">IF(AP$8=-1,AQ99,IF(AP$8=99,AO99,IF(AP$8=0,INDEX($E99:$I99,0,AP$6),(INDEX($E99:$I99,0,AP$8+1)-INDEX($E99:$I99,0,AP$8))/(INDEX($D$5:$H$5,0,AP$8+1)-INDEX($D$5:$H$5,0,AP$8))+AO99)))</f>
        <v>110.08836579490193</v>
      </c>
      <c r="AQ99" s="8" cm="1">
        <f t="array" ref="AQ99">IF(AQ$8=-1,AR99,IF(AQ$8=99,AP99,IF(AQ$8=0,INDEX($E99:$I99,0,AQ$6),(INDEX($E99:$I99,0,AQ$8+1)-INDEX($E99:$I99,0,AQ$8))/(INDEX($D$5:$H$5,0,AQ$8+1)-INDEX($D$5:$H$5,0,AQ$8))+AP99)))</f>
        <v>110.08836579490193</v>
      </c>
      <c r="AR99" s="8" cm="1">
        <f t="array" ref="AR99">IF(AR$8=-1,AS99,IF(AR$8=99,AQ99,IF(AR$8=0,INDEX($E99:$I99,0,AR$6),(INDEX($E99:$I99,0,AR$8+1)-INDEX($E99:$I99,0,AR$8))/(INDEX($D$5:$H$5,0,AR$8+1)-INDEX($D$5:$H$5,0,AR$8))+AQ99)))</f>
        <v>110.08836579490193</v>
      </c>
      <c r="AS99" s="8" cm="1">
        <f t="array" ref="AS99">IF(AS$8=-1,AT99,IF(AS$8=99,AR99,IF(AS$8=0,INDEX($E99:$I99,0,AS$6),(INDEX($E99:$I99,0,AS$8+1)-INDEX($E99:$I99,0,AS$8))/(INDEX($D$5:$H$5,0,AS$8+1)-INDEX($D$5:$H$5,0,AS$8))+AR99)))</f>
        <v>110.08836579490193</v>
      </c>
      <c r="AT99" s="8" cm="1">
        <f t="array" ref="AT99">IF(AT$8=-1,AU99,IF(AT$8=99,AS99,IF(AT$8=0,INDEX($E99:$I99,0,AT$6),(INDEX($E99:$I99,0,AT$8+1)-INDEX($E99:$I99,0,AT$8))/(INDEX($D$5:$H$5,0,AT$8+1)-INDEX($D$5:$H$5,0,AT$8))+AS99)))</f>
        <v>110.08836579490193</v>
      </c>
      <c r="AU99" s="8" cm="1">
        <f t="array" ref="AU99">IF(AU$8=-1,AV99,IF(AU$8=99,AT99,IF(AU$8=0,INDEX($E99:$I99,0,AU$6),(INDEX($E99:$I99,0,AU$8+1)-INDEX($E99:$I99,0,AU$8))/(INDEX($D$5:$H$5,0,AU$8+1)-INDEX($D$5:$H$5,0,AU$8))+AT99)))</f>
        <v>110.08836579490193</v>
      </c>
      <c r="AV99" s="8" cm="1">
        <f t="array" ref="AV99">IF(AV$8=-1,AW99,IF(AV$8=99,AU99,IF(AV$8=0,INDEX($E99:$I99,0,AV$6),(INDEX($E99:$I99,0,AV$8+1)-INDEX($E99:$I99,0,AV$8))/(INDEX($D$5:$H$5,0,AV$8+1)-INDEX($D$5:$H$5,0,AV$8))+AU99)))</f>
        <v>110.08836579490193</v>
      </c>
    </row>
    <row r="100" spans="1:50">
      <c r="A100" s="185" t="s">
        <v>16</v>
      </c>
      <c r="B100" s="263" t="str">
        <f t="shared" si="35"/>
        <v>CEO</v>
      </c>
      <c r="C100" s="87" t="str">
        <f t="shared" si="33"/>
        <v>Commercial - Other</v>
      </c>
      <c r="D100" s="87" t="s">
        <v>75</v>
      </c>
      <c r="E100" s="96">
        <f t="shared" si="36"/>
        <v>141.24997285391134</v>
      </c>
      <c r="F100" s="104">
        <f t="shared" si="36"/>
        <v>122.09850463575508</v>
      </c>
      <c r="G100" s="104">
        <f t="shared" si="34"/>
        <v>122.09850463575508</v>
      </c>
      <c r="H100" s="104">
        <f t="shared" ref="H100" si="39">IF($L$57=-1,G100,((F100-E100)*2/5+E100)*(1+$H$91))</f>
        <v>122.09850463575508</v>
      </c>
      <c r="I100" s="150">
        <f t="shared" si="38"/>
        <v>122.09850463575508</v>
      </c>
      <c r="J100" s="8" cm="1">
        <f t="array" ref="J100">IF(J$8=-1,K100,IF(J$8=99,I100,IF(J$8=0,INDEX($E100:$I100,0,J$6),(INDEX($E100:$I100,0,J$8+1)-INDEX($E100:$I100,0,J$8))/(INDEX($D$5:$H$5,0,J$8+1)-INDEX($D$5:$H$5,0,J$8))+I100)))</f>
        <v>141.24997285391134</v>
      </c>
      <c r="K100" s="8" cm="1">
        <f t="array" ref="K100">IF(K$8=-1,L100,IF(K$8=99,J100,IF(K$8=0,INDEX($E100:$I100,0,K$6),(INDEX($E100:$I100,0,K$8+1)-INDEX($E100:$I100,0,K$8))/(INDEX($D$5:$H$5,0,K$8+1)-INDEX($D$5:$H$5,0,K$8))+J100)))</f>
        <v>137.41967921028009</v>
      </c>
      <c r="L100" s="8" cm="1">
        <f t="array" ref="L100">IF(L$8=-1,M100,IF(L$8=99,K100,IF(L$8=0,INDEX($E100:$I100,0,L$6),(INDEX($E100:$I100,0,L$8+1)-INDEX($E100:$I100,0,L$8))/(INDEX($D$5:$H$5,0,L$8+1)-INDEX($D$5:$H$5,0,L$8))+K100)))</f>
        <v>133.58938556664884</v>
      </c>
      <c r="M100" s="8" cm="1">
        <f t="array" ref="M100">IF(M$8=-1,N100,IF(M$8=99,L100,IF(M$8=0,INDEX($E100:$I100,0,M$6),(INDEX($E100:$I100,0,M$8+1)-INDEX($E100:$I100,0,M$8))/(INDEX($D$5:$H$5,0,M$8+1)-INDEX($D$5:$H$5,0,M$8))+L100)))</f>
        <v>129.75909192301759</v>
      </c>
      <c r="N100" s="8" cm="1">
        <f t="array" ref="N100">IF(N$8=-1,O100,IF(N$8=99,M100,IF(N$8=0,INDEX($E100:$I100,0,N$6),(INDEX($E100:$I100,0,N$8+1)-INDEX($E100:$I100,0,N$8))/(INDEX($D$5:$H$5,0,N$8+1)-INDEX($D$5:$H$5,0,N$8))+M100)))</f>
        <v>125.92879827938634</v>
      </c>
      <c r="O100" s="8" cm="1">
        <f t="array" ref="O100">IF(O$8=-1,P100,IF(O$8=99,N100,IF(O$8=0,INDEX($E100:$I100,0,O$6),(INDEX($E100:$I100,0,O$8+1)-INDEX($E100:$I100,0,O$8))/(INDEX($D$5:$H$5,0,O$8+1)-INDEX($D$5:$H$5,0,O$8))+N100)))</f>
        <v>122.09850463575508</v>
      </c>
      <c r="P100" s="8" cm="1">
        <f t="array" ref="P100">IF(P$8=-1,Q100,IF(P$8=99,O100,IF(P$8=0,INDEX($E100:$I100,0,P$6),(INDEX($E100:$I100,0,P$8+1)-INDEX($E100:$I100,0,P$8))/(INDEX($D$5:$H$5,0,P$8+1)-INDEX($D$5:$H$5,0,P$8))+O100)))</f>
        <v>122.09850463575508</v>
      </c>
      <c r="Q100" s="8" cm="1">
        <f t="array" ref="Q100">IF(Q$8=-1,R100,IF(Q$8=99,P100,IF(Q$8=0,INDEX($E100:$I100,0,Q$6),(INDEX($E100:$I100,0,Q$8+1)-INDEX($E100:$I100,0,Q$8))/(INDEX($D$5:$H$5,0,Q$8+1)-INDEX($D$5:$H$5,0,Q$8))+P100)))</f>
        <v>122.09850463575508</v>
      </c>
      <c r="R100" s="8" cm="1">
        <f t="array" ref="R100">IF(R$8=-1,S100,IF(R$8=99,Q100,IF(R$8=0,INDEX($E100:$I100,0,R$6),(INDEX($E100:$I100,0,R$8+1)-INDEX($E100:$I100,0,R$8))/(INDEX($D$5:$H$5,0,R$8+1)-INDEX($D$5:$H$5,0,R$8))+Q100)))</f>
        <v>122.09850463575508</v>
      </c>
      <c r="S100" s="8" cm="1">
        <f t="array" ref="S100">IF(S$8=-1,T100,IF(S$8=99,R100,IF(S$8=0,INDEX($E100:$I100,0,S$6),(INDEX($E100:$I100,0,S$8+1)-INDEX($E100:$I100,0,S$8))/(INDEX($D$5:$H$5,0,S$8+1)-INDEX($D$5:$H$5,0,S$8))+R100)))</f>
        <v>122.09850463575508</v>
      </c>
      <c r="T100" s="8" cm="1">
        <f t="array" ref="T100">IF(T$8=-1,U100,IF(T$8=99,S100,IF(T$8=0,INDEX($E100:$I100,0,T$6),(INDEX($E100:$I100,0,T$8+1)-INDEX($E100:$I100,0,T$8))/(INDEX($D$5:$H$5,0,T$8+1)-INDEX($D$5:$H$5,0,T$8))+S100)))</f>
        <v>122.09850463575508</v>
      </c>
      <c r="U100" s="8" cm="1">
        <f t="array" ref="U100">IF(U$8=-1,V100,IF(U$8=99,T100,IF(U$8=0,INDEX($E100:$I100,0,U$6),(INDEX($E100:$I100,0,U$8+1)-INDEX($E100:$I100,0,U$8))/(INDEX($D$5:$H$5,0,U$8+1)-INDEX($D$5:$H$5,0,U$8))+T100)))</f>
        <v>122.09850463575508</v>
      </c>
      <c r="V100" s="8" cm="1">
        <f t="array" ref="V100">IF(V$8=-1,W100,IF(V$8=99,U100,IF(V$8=0,INDEX($E100:$I100,0,V$6),(INDEX($E100:$I100,0,V$8+1)-INDEX($E100:$I100,0,V$8))/(INDEX($D$5:$H$5,0,V$8+1)-INDEX($D$5:$H$5,0,V$8))+U100)))</f>
        <v>122.09850463575508</v>
      </c>
      <c r="W100" s="8" cm="1">
        <f t="array" ref="W100">IF(W$8=-1,X100,IF(W$8=99,V100,IF(W$8=0,INDEX($E100:$I100,0,W$6),(INDEX($E100:$I100,0,W$8+1)-INDEX($E100:$I100,0,W$8))/(INDEX($D$5:$H$5,0,W$8+1)-INDEX($D$5:$H$5,0,W$8))+V100)))</f>
        <v>122.09850463575508</v>
      </c>
      <c r="X100" s="8" cm="1">
        <f t="array" ref="X100">IF(X$8=-1,Y100,IF(X$8=99,W100,IF(X$8=0,INDEX($E100:$I100,0,X$6),(INDEX($E100:$I100,0,X$8+1)-INDEX($E100:$I100,0,X$8))/(INDEX($D$5:$H$5,0,X$8+1)-INDEX($D$5:$H$5,0,X$8))+W100)))</f>
        <v>122.09850463575508</v>
      </c>
      <c r="Y100" s="8" cm="1">
        <f t="array" ref="Y100">IF(Y$8=-1,Z100,IF(Y$8=99,X100,IF(Y$8=0,INDEX($E100:$I100,0,Y$6),(INDEX($E100:$I100,0,Y$8+1)-INDEX($E100:$I100,0,Y$8))/(INDEX($D$5:$H$5,0,Y$8+1)-INDEX($D$5:$H$5,0,Y$8))+X100)))</f>
        <v>122.09850463575508</v>
      </c>
      <c r="Z100" s="8" cm="1">
        <f t="array" ref="Z100">IF(Z$8=-1,AA100,IF(Z$8=99,Y100,IF(Z$8=0,INDEX($E100:$I100,0,Z$6),(INDEX($E100:$I100,0,Z$8+1)-INDEX($E100:$I100,0,Z$8))/(INDEX($D$5:$H$5,0,Z$8+1)-INDEX($D$5:$H$5,0,Z$8))+Y100)))</f>
        <v>122.09850463575508</v>
      </c>
      <c r="AA100" s="8" cm="1">
        <f t="array" ref="AA100">IF(AA$8=-1,AB100,IF(AA$8=99,Z100,IF(AA$8=0,INDEX($E100:$I100,0,AA$6),(INDEX($E100:$I100,0,AA$8+1)-INDEX($E100:$I100,0,AA$8))/(INDEX($D$5:$H$5,0,AA$8+1)-INDEX($D$5:$H$5,0,AA$8))+Z100)))</f>
        <v>122.09850463575508</v>
      </c>
      <c r="AB100" s="8" cm="1">
        <f t="array" ref="AB100">IF(AB$8=-1,AC100,IF(AB$8=99,AA100,IF(AB$8=0,INDEX($E100:$I100,0,AB$6),(INDEX($E100:$I100,0,AB$8+1)-INDEX($E100:$I100,0,AB$8))/(INDEX($D$5:$H$5,0,AB$8+1)-INDEX($D$5:$H$5,0,AB$8))+AA100)))</f>
        <v>122.09850463575508</v>
      </c>
      <c r="AC100" s="8" cm="1">
        <f t="array" ref="AC100">IF(AC$8=-1,AD100,IF(AC$8=99,AB100,IF(AC$8=0,INDEX($E100:$I100,0,AC$6),(INDEX($E100:$I100,0,AC$8+1)-INDEX($E100:$I100,0,AC$8))/(INDEX($D$5:$H$5,0,AC$8+1)-INDEX($D$5:$H$5,0,AC$8))+AB100)))</f>
        <v>122.09850463575508</v>
      </c>
      <c r="AD100" s="8" cm="1">
        <f t="array" ref="AD100">IF(AD$8=-1,AE100,IF(AD$8=99,AC100,IF(AD$8=0,INDEX($E100:$I100,0,AD$6),(INDEX($E100:$I100,0,AD$8+1)-INDEX($E100:$I100,0,AD$8))/(INDEX($D$5:$H$5,0,AD$8+1)-INDEX($D$5:$H$5,0,AD$8))+AC100)))</f>
        <v>122.09850463575508</v>
      </c>
      <c r="AE100" s="8" cm="1">
        <f t="array" ref="AE100">IF(AE$8=-1,AF100,IF(AE$8=99,AD100,IF(AE$8=0,INDEX($E100:$I100,0,AE$6),(INDEX($E100:$I100,0,AE$8+1)-INDEX($E100:$I100,0,AE$8))/(INDEX($D$5:$H$5,0,AE$8+1)-INDEX($D$5:$H$5,0,AE$8))+AD100)))</f>
        <v>122.09850463575508</v>
      </c>
      <c r="AF100" s="8" cm="1">
        <f t="array" ref="AF100">IF(AF$8=-1,AG100,IF(AF$8=99,AE100,IF(AF$8=0,INDEX($E100:$I100,0,AF$6),(INDEX($E100:$I100,0,AF$8+1)-INDEX($E100:$I100,0,AF$8))/(INDEX($D$5:$H$5,0,AF$8+1)-INDEX($D$5:$H$5,0,AF$8))+AE100)))</f>
        <v>122.09850463575508</v>
      </c>
      <c r="AG100" s="8" cm="1">
        <f t="array" ref="AG100">IF(AG$8=-1,AH100,IF(AG$8=99,AF100,IF(AG$8=0,INDEX($E100:$I100,0,AG$6),(INDEX($E100:$I100,0,AG$8+1)-INDEX($E100:$I100,0,AG$8))/(INDEX($D$5:$H$5,0,AG$8+1)-INDEX($D$5:$H$5,0,AG$8))+AF100)))</f>
        <v>122.09850463575508</v>
      </c>
      <c r="AH100" s="8" cm="1">
        <f t="array" ref="AH100">IF(AH$8=-1,AI100,IF(AH$8=99,AG100,IF(AH$8=0,INDEX($E100:$I100,0,AH$6),(INDEX($E100:$I100,0,AH$8+1)-INDEX($E100:$I100,0,AH$8))/(INDEX($D$5:$H$5,0,AH$8+1)-INDEX($D$5:$H$5,0,AH$8))+AG100)))</f>
        <v>122.09850463575508</v>
      </c>
      <c r="AI100" s="8" cm="1">
        <f t="array" ref="AI100">IF(AI$8=-1,AJ100,IF(AI$8=99,AH100,IF(AI$8=0,INDEX($E100:$I100,0,AI$6),(INDEX($E100:$I100,0,AI$8+1)-INDEX($E100:$I100,0,AI$8))/(INDEX($D$5:$H$5,0,AI$8+1)-INDEX($D$5:$H$5,0,AI$8))+AH100)))</f>
        <v>122.09850463575508</v>
      </c>
      <c r="AJ100" s="8" cm="1">
        <f t="array" ref="AJ100">IF(AJ$8=-1,AK100,IF(AJ$8=99,AI100,IF(AJ$8=0,INDEX($E100:$I100,0,AJ$6),(INDEX($E100:$I100,0,AJ$8+1)-INDEX($E100:$I100,0,AJ$8))/(INDEX($D$5:$H$5,0,AJ$8+1)-INDEX($D$5:$H$5,0,AJ$8))+AI100)))</f>
        <v>122.09850463575508</v>
      </c>
      <c r="AK100" s="8" cm="1">
        <f t="array" ref="AK100">IF(AK$8=-1,AL100,IF(AK$8=99,AJ100,IF(AK$8=0,INDEX($E100:$I100,0,AK$6),(INDEX($E100:$I100,0,AK$8+1)-INDEX($E100:$I100,0,AK$8))/(INDEX($D$5:$H$5,0,AK$8+1)-INDEX($D$5:$H$5,0,AK$8))+AJ100)))</f>
        <v>122.09850463575508</v>
      </c>
      <c r="AL100" s="8" cm="1">
        <f t="array" ref="AL100">IF(AL$8=-1,AM100,IF(AL$8=99,AK100,IF(AL$8=0,INDEX($E100:$I100,0,AL$6),(INDEX($E100:$I100,0,AL$8+1)-INDEX($E100:$I100,0,AL$8))/(INDEX($D$5:$H$5,0,AL$8+1)-INDEX($D$5:$H$5,0,AL$8))+AK100)))</f>
        <v>122.09850463575508</v>
      </c>
      <c r="AM100" s="8" cm="1">
        <f t="array" ref="AM100">IF(AM$8=-1,AN100,IF(AM$8=99,AL100,IF(AM$8=0,INDEX($E100:$I100,0,AM$6),(INDEX($E100:$I100,0,AM$8+1)-INDEX($E100:$I100,0,AM$8))/(INDEX($D$5:$H$5,0,AM$8+1)-INDEX($D$5:$H$5,0,AM$8))+AL100)))</f>
        <v>122.09850463575508</v>
      </c>
      <c r="AN100" s="8" cm="1">
        <f t="array" ref="AN100">IF(AN$8=-1,AO100,IF(AN$8=99,AM100,IF(AN$8=0,INDEX($E100:$I100,0,AN$6),(INDEX($E100:$I100,0,AN$8+1)-INDEX($E100:$I100,0,AN$8))/(INDEX($D$5:$H$5,0,AN$8+1)-INDEX($D$5:$H$5,0,AN$8))+AM100)))</f>
        <v>122.09850463575508</v>
      </c>
      <c r="AO100" s="8" cm="1">
        <f t="array" ref="AO100">IF(AO$8=-1,AP100,IF(AO$8=99,AN100,IF(AO$8=0,INDEX($E100:$I100,0,AO$6),(INDEX($E100:$I100,0,AO$8+1)-INDEX($E100:$I100,0,AO$8))/(INDEX($D$5:$H$5,0,AO$8+1)-INDEX($D$5:$H$5,0,AO$8))+AN100)))</f>
        <v>122.09850463575508</v>
      </c>
      <c r="AP100" s="8" cm="1">
        <f t="array" ref="AP100">IF(AP$8=-1,AQ100,IF(AP$8=99,AO100,IF(AP$8=0,INDEX($E100:$I100,0,AP$6),(INDEX($E100:$I100,0,AP$8+1)-INDEX($E100:$I100,0,AP$8))/(INDEX($D$5:$H$5,0,AP$8+1)-INDEX($D$5:$H$5,0,AP$8))+AO100)))</f>
        <v>122.09850463575508</v>
      </c>
      <c r="AQ100" s="8" cm="1">
        <f t="array" ref="AQ100">IF(AQ$8=-1,AR100,IF(AQ$8=99,AP100,IF(AQ$8=0,INDEX($E100:$I100,0,AQ$6),(INDEX($E100:$I100,0,AQ$8+1)-INDEX($E100:$I100,0,AQ$8))/(INDEX($D$5:$H$5,0,AQ$8+1)-INDEX($D$5:$H$5,0,AQ$8))+AP100)))</f>
        <v>122.09850463575508</v>
      </c>
      <c r="AR100" s="8" cm="1">
        <f t="array" ref="AR100">IF(AR$8=-1,AS100,IF(AR$8=99,AQ100,IF(AR$8=0,INDEX($E100:$I100,0,AR$6),(INDEX($E100:$I100,0,AR$8+1)-INDEX($E100:$I100,0,AR$8))/(INDEX($D$5:$H$5,0,AR$8+1)-INDEX($D$5:$H$5,0,AR$8))+AQ100)))</f>
        <v>122.09850463575508</v>
      </c>
      <c r="AS100" s="8" cm="1">
        <f t="array" ref="AS100">IF(AS$8=-1,AT100,IF(AS$8=99,AR100,IF(AS$8=0,INDEX($E100:$I100,0,AS$6),(INDEX($E100:$I100,0,AS$8+1)-INDEX($E100:$I100,0,AS$8))/(INDEX($D$5:$H$5,0,AS$8+1)-INDEX($D$5:$H$5,0,AS$8))+AR100)))</f>
        <v>122.09850463575508</v>
      </c>
      <c r="AT100" s="8" cm="1">
        <f t="array" ref="AT100">IF(AT$8=-1,AU100,IF(AT$8=99,AS100,IF(AT$8=0,INDEX($E100:$I100,0,AT$6),(INDEX($E100:$I100,0,AT$8+1)-INDEX($E100:$I100,0,AT$8))/(INDEX($D$5:$H$5,0,AT$8+1)-INDEX($D$5:$H$5,0,AT$8))+AS100)))</f>
        <v>122.09850463575508</v>
      </c>
      <c r="AU100" s="8" cm="1">
        <f t="array" ref="AU100">IF(AU$8=-1,AV100,IF(AU$8=99,AT100,IF(AU$8=0,INDEX($E100:$I100,0,AU$6),(INDEX($E100:$I100,0,AU$8+1)-INDEX($E100:$I100,0,AU$8))/(INDEX($D$5:$H$5,0,AU$8+1)-INDEX($D$5:$H$5,0,AU$8))+AT100)))</f>
        <v>122.09850463575508</v>
      </c>
      <c r="AV100" s="8" cm="1">
        <f t="array" ref="AV100">IF(AV$8=-1,AW100,IF(AV$8=99,AU100,IF(AV$8=0,INDEX($E100:$I100,0,AV$6),(INDEX($E100:$I100,0,AV$8+1)-INDEX($E100:$I100,0,AV$8))/(INDEX($D$5:$H$5,0,AV$8+1)-INDEX($D$5:$H$5,0,AV$8))+AU100)))</f>
        <v>122.09850463575508</v>
      </c>
    </row>
    <row r="101" spans="1:50">
      <c r="A101" s="185" t="s">
        <v>16</v>
      </c>
      <c r="B101" s="263"/>
      <c r="I101" s="151"/>
      <c r="K101" s="87"/>
      <c r="P101" s="8"/>
      <c r="Q101" s="8"/>
      <c r="R101" s="8"/>
      <c r="S101" s="8"/>
      <c r="T101" s="8"/>
      <c r="U101" s="8"/>
      <c r="V101" s="8"/>
      <c r="W101" s="8"/>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row>
    <row r="102" spans="1:50">
      <c r="A102" s="185" t="s">
        <v>16</v>
      </c>
      <c r="E102" s="96"/>
      <c r="F102" s="96"/>
      <c r="G102" s="96"/>
      <c r="H102" s="96"/>
      <c r="I102" s="171"/>
      <c r="J102" s="96"/>
      <c r="K102" s="96"/>
      <c r="L102" s="96"/>
      <c r="M102" s="96"/>
      <c r="N102" s="96"/>
      <c r="O102" s="96"/>
      <c r="P102" s="96"/>
      <c r="Q102" s="96"/>
      <c r="R102" s="96"/>
      <c r="S102" s="96"/>
      <c r="T102" s="96"/>
      <c r="U102" s="96"/>
      <c r="V102" s="96"/>
      <c r="W102" s="96"/>
      <c r="X102" s="96"/>
      <c r="Y102" s="96"/>
      <c r="Z102" s="96"/>
      <c r="AA102" s="96"/>
      <c r="AB102" s="96"/>
      <c r="AC102" s="96"/>
      <c r="AD102" s="96"/>
      <c r="AE102" s="96"/>
      <c r="AF102" s="96"/>
      <c r="AG102" s="96"/>
      <c r="AH102" s="96"/>
      <c r="AI102" s="96"/>
      <c r="AJ102" s="96"/>
      <c r="AK102" s="96"/>
      <c r="AL102" s="96"/>
      <c r="AM102" s="96"/>
      <c r="AN102" s="96"/>
      <c r="AO102" s="96"/>
      <c r="AP102" s="96"/>
      <c r="AQ102" s="96"/>
      <c r="AR102" s="96"/>
      <c r="AS102" s="96"/>
      <c r="AT102" s="96"/>
      <c r="AU102" s="96"/>
      <c r="AV102" s="96"/>
    </row>
    <row r="103" spans="1:50" ht="18.75">
      <c r="A103" s="185" t="s">
        <v>16</v>
      </c>
      <c r="B103" s="161" t="s">
        <v>76</v>
      </c>
      <c r="I103" s="151"/>
      <c r="J103" s="96"/>
      <c r="K103" s="96"/>
      <c r="L103" s="96"/>
      <c r="M103" s="96"/>
      <c r="N103" s="96"/>
      <c r="O103" s="96"/>
      <c r="P103" s="96"/>
      <c r="Q103" s="96"/>
      <c r="R103" s="96"/>
      <c r="S103" s="96"/>
      <c r="T103" s="96"/>
      <c r="U103" s="96"/>
      <c r="V103" s="96"/>
      <c r="W103" s="96"/>
      <c r="X103" s="96"/>
      <c r="Y103" s="96"/>
      <c r="Z103" s="96"/>
      <c r="AA103" s="96"/>
      <c r="AB103" s="96"/>
      <c r="AC103" s="96"/>
      <c r="AD103" s="96"/>
      <c r="AE103" s="96"/>
      <c r="AF103" s="96"/>
      <c r="AG103" s="96"/>
      <c r="AH103" s="96"/>
      <c r="AI103" s="96"/>
      <c r="AJ103" s="96"/>
      <c r="AK103" s="96"/>
      <c r="AL103" s="96"/>
      <c r="AM103" s="96"/>
      <c r="AN103" s="96"/>
      <c r="AO103" s="96"/>
      <c r="AP103" s="96"/>
      <c r="AQ103" s="96"/>
      <c r="AR103" s="96"/>
      <c r="AS103" s="96"/>
      <c r="AT103" s="96"/>
      <c r="AU103" s="96"/>
      <c r="AV103" s="96"/>
    </row>
    <row r="104" spans="1:50" ht="15.75" thickBot="1">
      <c r="A104" s="185" t="s">
        <v>16</v>
      </c>
      <c r="B104" s="84"/>
      <c r="C104" s="84" t="s">
        <v>257</v>
      </c>
      <c r="D104" s="84"/>
      <c r="E104" s="84"/>
      <c r="F104" s="97"/>
      <c r="G104" s="97"/>
      <c r="H104" s="97"/>
      <c r="I104" s="172"/>
      <c r="J104" s="97">
        <f t="shared" ref="J104:AV104" si="40">J67</f>
        <v>2012</v>
      </c>
      <c r="K104" s="97">
        <f t="shared" si="40"/>
        <v>2013</v>
      </c>
      <c r="L104" s="97">
        <f t="shared" si="40"/>
        <v>2014</v>
      </c>
      <c r="M104" s="97">
        <f t="shared" si="40"/>
        <v>2015</v>
      </c>
      <c r="N104" s="97">
        <f t="shared" si="40"/>
        <v>2016</v>
      </c>
      <c r="O104" s="97">
        <f t="shared" si="40"/>
        <v>2017</v>
      </c>
      <c r="P104" s="97">
        <f t="shared" si="40"/>
        <v>2018</v>
      </c>
      <c r="Q104" s="97">
        <f t="shared" si="40"/>
        <v>2019</v>
      </c>
      <c r="R104" s="97">
        <f t="shared" si="40"/>
        <v>2020</v>
      </c>
      <c r="S104" s="97">
        <f t="shared" si="40"/>
        <v>2021</v>
      </c>
      <c r="T104" s="97">
        <f t="shared" si="40"/>
        <v>2022</v>
      </c>
      <c r="U104" s="97">
        <f t="shared" si="40"/>
        <v>2023</v>
      </c>
      <c r="V104" s="97">
        <f t="shared" si="40"/>
        <v>2024</v>
      </c>
      <c r="W104" s="97">
        <f t="shared" si="40"/>
        <v>2025</v>
      </c>
      <c r="X104" s="97">
        <f t="shared" si="40"/>
        <v>2026</v>
      </c>
      <c r="Y104" s="97">
        <f t="shared" si="40"/>
        <v>2027</v>
      </c>
      <c r="Z104" s="97">
        <f t="shared" si="40"/>
        <v>2028</v>
      </c>
      <c r="AA104" s="97">
        <f t="shared" si="40"/>
        <v>2029</v>
      </c>
      <c r="AB104" s="97">
        <f t="shared" si="40"/>
        <v>2030</v>
      </c>
      <c r="AC104" s="97">
        <f t="shared" si="40"/>
        <v>2031</v>
      </c>
      <c r="AD104" s="97">
        <f t="shared" si="40"/>
        <v>2032</v>
      </c>
      <c r="AE104" s="97">
        <f t="shared" si="40"/>
        <v>2033</v>
      </c>
      <c r="AF104" s="97">
        <f t="shared" si="40"/>
        <v>2034</v>
      </c>
      <c r="AG104" s="97">
        <f t="shared" si="40"/>
        <v>2035</v>
      </c>
      <c r="AH104" s="97">
        <f t="shared" si="40"/>
        <v>2036</v>
      </c>
      <c r="AI104" s="97">
        <f t="shared" si="40"/>
        <v>2037</v>
      </c>
      <c r="AJ104" s="97">
        <f t="shared" si="40"/>
        <v>2038</v>
      </c>
      <c r="AK104" s="97">
        <f t="shared" si="40"/>
        <v>2039</v>
      </c>
      <c r="AL104" s="97">
        <f t="shared" si="40"/>
        <v>2040</v>
      </c>
      <c r="AM104" s="97">
        <f t="shared" si="40"/>
        <v>2041</v>
      </c>
      <c r="AN104" s="97">
        <f t="shared" si="40"/>
        <v>2042</v>
      </c>
      <c r="AO104" s="97">
        <f t="shared" si="40"/>
        <v>2043</v>
      </c>
      <c r="AP104" s="97">
        <f t="shared" si="40"/>
        <v>2044</v>
      </c>
      <c r="AQ104" s="97">
        <f t="shared" si="40"/>
        <v>2045</v>
      </c>
      <c r="AR104" s="97">
        <f t="shared" si="40"/>
        <v>2046</v>
      </c>
      <c r="AS104" s="97">
        <f t="shared" si="40"/>
        <v>2047</v>
      </c>
      <c r="AT104" s="97">
        <f t="shared" si="40"/>
        <v>2048</v>
      </c>
      <c r="AU104" s="97">
        <f t="shared" si="40"/>
        <v>2049</v>
      </c>
      <c r="AV104" s="97">
        <f t="shared" si="40"/>
        <v>2050</v>
      </c>
    </row>
    <row r="105" spans="1:50">
      <c r="A105" s="185" t="s">
        <v>16</v>
      </c>
      <c r="B105" s="263" t="s">
        <v>248</v>
      </c>
      <c r="C105" s="87" t="str">
        <f t="shared" ref="C105:C113" si="41">C70</f>
        <v>Commercial - Cooling</v>
      </c>
      <c r="I105" s="151"/>
      <c r="J105" s="87">
        <v>1</v>
      </c>
      <c r="K105" s="87">
        <v>1</v>
      </c>
      <c r="L105" s="87">
        <v>1</v>
      </c>
      <c r="M105" s="87">
        <v>1</v>
      </c>
      <c r="N105" s="87">
        <v>1</v>
      </c>
      <c r="O105" s="87">
        <v>1</v>
      </c>
      <c r="P105" s="87">
        <v>1</v>
      </c>
      <c r="Q105" s="87">
        <v>1</v>
      </c>
      <c r="R105" s="87">
        <v>1</v>
      </c>
      <c r="S105" s="87">
        <v>1</v>
      </c>
      <c r="T105" s="87">
        <v>1</v>
      </c>
      <c r="U105" s="87">
        <v>1</v>
      </c>
      <c r="V105" s="87">
        <v>1</v>
      </c>
      <c r="W105" s="87">
        <v>1</v>
      </c>
      <c r="X105" s="87">
        <v>1</v>
      </c>
      <c r="Y105" s="87">
        <v>1</v>
      </c>
      <c r="Z105" s="87">
        <v>1</v>
      </c>
      <c r="AA105" s="87">
        <v>1</v>
      </c>
      <c r="AB105" s="87">
        <v>1</v>
      </c>
      <c r="AC105" s="87">
        <v>1</v>
      </c>
      <c r="AD105" s="87">
        <v>1</v>
      </c>
      <c r="AE105" s="87">
        <v>1</v>
      </c>
      <c r="AF105" s="87">
        <v>1</v>
      </c>
      <c r="AG105" s="87">
        <v>1</v>
      </c>
      <c r="AH105" s="87">
        <v>1</v>
      </c>
      <c r="AI105" s="87">
        <v>1</v>
      </c>
      <c r="AJ105" s="87">
        <v>1</v>
      </c>
      <c r="AK105" s="87">
        <v>1</v>
      </c>
      <c r="AL105" s="87">
        <v>1</v>
      </c>
      <c r="AM105" s="87">
        <v>1</v>
      </c>
      <c r="AN105" s="87">
        <v>1</v>
      </c>
      <c r="AO105" s="87">
        <v>1</v>
      </c>
      <c r="AP105" s="87">
        <v>1</v>
      </c>
      <c r="AQ105" s="87">
        <v>1</v>
      </c>
      <c r="AR105" s="87">
        <v>1</v>
      </c>
      <c r="AS105" s="87">
        <v>1</v>
      </c>
      <c r="AT105" s="87">
        <v>1</v>
      </c>
      <c r="AU105" s="87">
        <v>1</v>
      </c>
      <c r="AV105" s="87">
        <v>1</v>
      </c>
    </row>
    <row r="106" spans="1:50">
      <c r="A106" s="185" t="s">
        <v>16</v>
      </c>
      <c r="B106" s="263" t="s">
        <v>249</v>
      </c>
      <c r="C106" s="87" t="str">
        <f t="shared" si="41"/>
        <v>Commercial - Space Heating</v>
      </c>
      <c r="I106" s="151"/>
      <c r="J106" s="87">
        <v>1</v>
      </c>
      <c r="K106" s="87">
        <v>1</v>
      </c>
      <c r="L106" s="87">
        <v>1</v>
      </c>
      <c r="M106" s="87">
        <v>1</v>
      </c>
      <c r="N106" s="87">
        <v>1</v>
      </c>
      <c r="O106" s="87">
        <v>1</v>
      </c>
      <c r="P106" s="87">
        <v>1</v>
      </c>
      <c r="Q106" s="87">
        <v>1</v>
      </c>
      <c r="R106" s="87">
        <v>1</v>
      </c>
      <c r="S106" s="87">
        <v>1</v>
      </c>
      <c r="T106" s="87">
        <v>1</v>
      </c>
      <c r="U106" s="87">
        <v>1</v>
      </c>
      <c r="V106" s="87">
        <v>1</v>
      </c>
      <c r="W106" s="87">
        <v>1</v>
      </c>
      <c r="X106" s="87">
        <v>1</v>
      </c>
      <c r="Y106" s="87">
        <v>1</v>
      </c>
      <c r="Z106" s="87">
        <v>1</v>
      </c>
      <c r="AA106" s="87">
        <v>1</v>
      </c>
      <c r="AB106" s="87">
        <v>1</v>
      </c>
      <c r="AC106" s="87">
        <v>1</v>
      </c>
      <c r="AD106" s="87">
        <v>1</v>
      </c>
      <c r="AE106" s="87">
        <v>1</v>
      </c>
      <c r="AF106" s="87">
        <v>1</v>
      </c>
      <c r="AG106" s="87">
        <v>1</v>
      </c>
      <c r="AH106" s="87">
        <v>1</v>
      </c>
      <c r="AI106" s="87">
        <v>1</v>
      </c>
      <c r="AJ106" s="87">
        <v>1</v>
      </c>
      <c r="AK106" s="87">
        <v>1</v>
      </c>
      <c r="AL106" s="87">
        <v>1</v>
      </c>
      <c r="AM106" s="87">
        <v>1</v>
      </c>
      <c r="AN106" s="87">
        <v>1</v>
      </c>
      <c r="AO106" s="87">
        <v>1</v>
      </c>
      <c r="AP106" s="87">
        <v>1</v>
      </c>
      <c r="AQ106" s="87">
        <v>1</v>
      </c>
      <c r="AR106" s="87">
        <v>1</v>
      </c>
      <c r="AS106" s="87">
        <v>1</v>
      </c>
      <c r="AT106" s="87">
        <v>1</v>
      </c>
      <c r="AU106" s="87">
        <v>1</v>
      </c>
      <c r="AV106" s="87">
        <v>1</v>
      </c>
      <c r="AX106" s="143">
        <v>0.01</v>
      </c>
    </row>
    <row r="107" spans="1:50">
      <c r="A107" s="185" t="s">
        <v>16</v>
      </c>
      <c r="B107" s="263" t="s">
        <v>250</v>
      </c>
      <c r="C107" s="87" t="str">
        <f t="shared" si="41"/>
        <v>Commercial - Cooking</v>
      </c>
      <c r="I107" s="151"/>
      <c r="J107" s="87">
        <v>1</v>
      </c>
      <c r="K107" s="87">
        <v>1</v>
      </c>
      <c r="L107" s="87">
        <v>1</v>
      </c>
      <c r="M107" s="87">
        <v>1</v>
      </c>
      <c r="N107" s="87">
        <v>1</v>
      </c>
      <c r="O107" s="87">
        <v>1</v>
      </c>
      <c r="P107" s="87">
        <v>1</v>
      </c>
      <c r="Q107" s="87">
        <v>1</v>
      </c>
      <c r="R107" s="87">
        <v>1</v>
      </c>
      <c r="S107" s="87">
        <v>1</v>
      </c>
      <c r="T107" s="87">
        <v>1</v>
      </c>
      <c r="U107" s="87">
        <v>1</v>
      </c>
      <c r="V107" s="87">
        <v>1</v>
      </c>
      <c r="W107" s="87">
        <v>1</v>
      </c>
      <c r="X107" s="87">
        <v>1</v>
      </c>
      <c r="Y107" s="87">
        <v>1</v>
      </c>
      <c r="Z107" s="87">
        <v>1</v>
      </c>
      <c r="AA107" s="87">
        <v>1</v>
      </c>
      <c r="AB107" s="87">
        <v>1</v>
      </c>
      <c r="AC107" s="87">
        <v>1</v>
      </c>
      <c r="AD107" s="87">
        <v>1</v>
      </c>
      <c r="AE107" s="87">
        <v>1</v>
      </c>
      <c r="AF107" s="87">
        <v>1</v>
      </c>
      <c r="AG107" s="87">
        <v>1</v>
      </c>
      <c r="AH107" s="87">
        <v>1</v>
      </c>
      <c r="AI107" s="87">
        <v>1</v>
      </c>
      <c r="AJ107" s="87">
        <v>1</v>
      </c>
      <c r="AK107" s="87">
        <v>1</v>
      </c>
      <c r="AL107" s="87">
        <v>1</v>
      </c>
      <c r="AM107" s="87">
        <v>1</v>
      </c>
      <c r="AN107" s="87">
        <v>1</v>
      </c>
      <c r="AO107" s="87">
        <v>1</v>
      </c>
      <c r="AP107" s="87">
        <v>1</v>
      </c>
      <c r="AQ107" s="87">
        <v>1</v>
      </c>
      <c r="AR107" s="87">
        <v>1</v>
      </c>
      <c r="AS107" s="87">
        <v>1</v>
      </c>
      <c r="AT107" s="87">
        <v>1</v>
      </c>
      <c r="AU107" s="87">
        <v>1</v>
      </c>
      <c r="AV107" s="87">
        <v>1</v>
      </c>
      <c r="AX107" s="142" t="s">
        <v>477</v>
      </c>
    </row>
    <row r="108" spans="1:50">
      <c r="A108" s="185" t="s">
        <v>16</v>
      </c>
      <c r="B108" s="263" t="s">
        <v>251</v>
      </c>
      <c r="C108" s="87" t="str">
        <f t="shared" si="41"/>
        <v>Commercial - Lighting</v>
      </c>
      <c r="I108" s="151"/>
      <c r="J108" s="87">
        <v>1</v>
      </c>
      <c r="K108" s="87">
        <v>1</v>
      </c>
      <c r="L108" s="87">
        <v>1</v>
      </c>
      <c r="M108" s="87">
        <v>1</v>
      </c>
      <c r="N108" s="87">
        <v>1</v>
      </c>
      <c r="O108" s="87">
        <v>1</v>
      </c>
      <c r="P108" s="87">
        <v>1</v>
      </c>
      <c r="Q108" s="87">
        <v>1</v>
      </c>
      <c r="R108" s="87">
        <v>1</v>
      </c>
      <c r="S108" s="87">
        <v>1</v>
      </c>
      <c r="T108" s="87">
        <v>1</v>
      </c>
      <c r="U108" s="87">
        <v>1</v>
      </c>
      <c r="V108" s="87">
        <v>1</v>
      </c>
      <c r="W108" s="87">
        <v>1</v>
      </c>
      <c r="X108" s="87">
        <v>1</v>
      </c>
      <c r="Y108" s="87">
        <v>1</v>
      </c>
      <c r="Z108" s="87">
        <v>1</v>
      </c>
      <c r="AA108" s="87">
        <v>1</v>
      </c>
      <c r="AB108" s="87">
        <v>1</v>
      </c>
      <c r="AC108" s="87">
        <v>1</v>
      </c>
      <c r="AD108" s="87">
        <v>1</v>
      </c>
      <c r="AE108" s="87">
        <v>1</v>
      </c>
      <c r="AF108" s="87">
        <v>1</v>
      </c>
      <c r="AG108" s="87">
        <v>1</v>
      </c>
      <c r="AH108" s="87">
        <v>1</v>
      </c>
      <c r="AI108" s="87">
        <v>1</v>
      </c>
      <c r="AJ108" s="87">
        <v>1</v>
      </c>
      <c r="AK108" s="87">
        <v>1</v>
      </c>
      <c r="AL108" s="87">
        <v>1</v>
      </c>
      <c r="AM108" s="87">
        <v>1</v>
      </c>
      <c r="AN108" s="87">
        <v>1</v>
      </c>
      <c r="AO108" s="87">
        <v>1</v>
      </c>
      <c r="AP108" s="87">
        <v>1</v>
      </c>
      <c r="AQ108" s="87">
        <v>1</v>
      </c>
      <c r="AR108" s="87">
        <v>1</v>
      </c>
      <c r="AS108" s="87">
        <v>1</v>
      </c>
      <c r="AT108" s="87">
        <v>1</v>
      </c>
      <c r="AU108" s="87">
        <v>1</v>
      </c>
      <c r="AV108" s="87">
        <v>1</v>
      </c>
      <c r="AX108" s="142" t="s">
        <v>478</v>
      </c>
    </row>
    <row r="109" spans="1:50">
      <c r="A109" s="185" t="s">
        <v>16</v>
      </c>
      <c r="B109" s="263" t="s">
        <v>252</v>
      </c>
      <c r="C109" s="87" t="str">
        <f t="shared" si="41"/>
        <v>Commercial - Refrigeration</v>
      </c>
      <c r="I109" s="151"/>
      <c r="J109" s="87">
        <v>1</v>
      </c>
      <c r="K109" s="87">
        <v>1</v>
      </c>
      <c r="L109" s="87">
        <v>1</v>
      </c>
      <c r="M109" s="87">
        <v>1</v>
      </c>
      <c r="N109" s="87">
        <v>1</v>
      </c>
      <c r="O109" s="87">
        <v>1</v>
      </c>
      <c r="P109" s="87">
        <v>1</v>
      </c>
      <c r="Q109" s="87">
        <v>1</v>
      </c>
      <c r="R109" s="87">
        <v>1</v>
      </c>
      <c r="S109" s="87">
        <v>1</v>
      </c>
      <c r="T109" s="87">
        <v>1</v>
      </c>
      <c r="U109" s="87">
        <v>1</v>
      </c>
      <c r="V109" s="87">
        <v>1</v>
      </c>
      <c r="W109" s="87">
        <v>1</v>
      </c>
      <c r="X109" s="87">
        <v>1</v>
      </c>
      <c r="Y109" s="87">
        <v>1</v>
      </c>
      <c r="Z109" s="87">
        <v>1</v>
      </c>
      <c r="AA109" s="87">
        <v>1</v>
      </c>
      <c r="AB109" s="87">
        <v>1</v>
      </c>
      <c r="AC109" s="87">
        <v>1</v>
      </c>
      <c r="AD109" s="87">
        <v>1</v>
      </c>
      <c r="AE109" s="87">
        <v>1</v>
      </c>
      <c r="AF109" s="87">
        <v>1</v>
      </c>
      <c r="AG109" s="87">
        <v>1</v>
      </c>
      <c r="AH109" s="87">
        <v>1</v>
      </c>
      <c r="AI109" s="87">
        <v>1</v>
      </c>
      <c r="AJ109" s="87">
        <v>1</v>
      </c>
      <c r="AK109" s="87">
        <v>1</v>
      </c>
      <c r="AL109" s="87">
        <v>1</v>
      </c>
      <c r="AM109" s="87">
        <v>1</v>
      </c>
      <c r="AN109" s="87">
        <v>1</v>
      </c>
      <c r="AO109" s="87">
        <v>1</v>
      </c>
      <c r="AP109" s="87">
        <v>1</v>
      </c>
      <c r="AQ109" s="87">
        <v>1</v>
      </c>
      <c r="AR109" s="87">
        <v>1</v>
      </c>
      <c r="AS109" s="87">
        <v>1</v>
      </c>
      <c r="AT109" s="87">
        <v>1</v>
      </c>
      <c r="AU109" s="87">
        <v>1</v>
      </c>
      <c r="AV109" s="87">
        <v>1</v>
      </c>
    </row>
    <row r="110" spans="1:50">
      <c r="A110" s="185" t="s">
        <v>16</v>
      </c>
      <c r="B110" s="263" t="s">
        <v>253</v>
      </c>
      <c r="C110" s="87" t="str">
        <f t="shared" si="41"/>
        <v>Commercial - Water Heating</v>
      </c>
      <c r="I110" s="151"/>
      <c r="J110" s="87">
        <v>1</v>
      </c>
      <c r="K110" s="87">
        <v>1</v>
      </c>
      <c r="L110" s="87">
        <v>1</v>
      </c>
      <c r="M110" s="87">
        <v>1</v>
      </c>
      <c r="N110" s="87">
        <v>1</v>
      </c>
      <c r="O110" s="87">
        <v>1</v>
      </c>
      <c r="P110" s="87">
        <v>1</v>
      </c>
      <c r="Q110" s="87">
        <v>1</v>
      </c>
      <c r="R110" s="87">
        <v>1</v>
      </c>
      <c r="S110" s="87">
        <v>1</v>
      </c>
      <c r="T110" s="87">
        <v>1</v>
      </c>
      <c r="U110" s="87">
        <v>1</v>
      </c>
      <c r="V110" s="87">
        <v>1</v>
      </c>
      <c r="W110" s="87">
        <v>1</v>
      </c>
      <c r="X110" s="87">
        <v>1</v>
      </c>
      <c r="Y110" s="87">
        <v>1</v>
      </c>
      <c r="Z110" s="87">
        <v>1</v>
      </c>
      <c r="AA110" s="87">
        <v>1</v>
      </c>
      <c r="AB110" s="87">
        <v>1</v>
      </c>
      <c r="AC110" s="87">
        <v>1</v>
      </c>
      <c r="AD110" s="87">
        <v>1</v>
      </c>
      <c r="AE110" s="87">
        <v>1</v>
      </c>
      <c r="AF110" s="87">
        <v>1</v>
      </c>
      <c r="AG110" s="87">
        <v>1</v>
      </c>
      <c r="AH110" s="87">
        <v>1</v>
      </c>
      <c r="AI110" s="87">
        <v>1</v>
      </c>
      <c r="AJ110" s="87">
        <v>1</v>
      </c>
      <c r="AK110" s="87">
        <v>1</v>
      </c>
      <c r="AL110" s="87">
        <v>1</v>
      </c>
      <c r="AM110" s="87">
        <v>1</v>
      </c>
      <c r="AN110" s="87">
        <v>1</v>
      </c>
      <c r="AO110" s="87">
        <v>1</v>
      </c>
      <c r="AP110" s="87">
        <v>1</v>
      </c>
      <c r="AQ110" s="87">
        <v>1</v>
      </c>
      <c r="AR110" s="87">
        <v>1</v>
      </c>
      <c r="AS110" s="87">
        <v>1</v>
      </c>
      <c r="AT110" s="87">
        <v>1</v>
      </c>
      <c r="AU110" s="87">
        <v>1</v>
      </c>
      <c r="AV110" s="87">
        <v>1</v>
      </c>
    </row>
    <row r="111" spans="1:50">
      <c r="A111" s="185" t="s">
        <v>16</v>
      </c>
      <c r="B111" s="263" t="s">
        <v>254</v>
      </c>
      <c r="C111" s="87" t="str">
        <f t="shared" si="41"/>
        <v>Commercial - Public lights</v>
      </c>
      <c r="I111" s="151"/>
      <c r="J111" s="87">
        <v>1</v>
      </c>
      <c r="K111" s="87">
        <v>1</v>
      </c>
      <c r="L111" s="87">
        <v>1</v>
      </c>
      <c r="M111" s="87">
        <v>1</v>
      </c>
      <c r="N111" s="87">
        <v>1</v>
      </c>
      <c r="O111" s="87">
        <v>1</v>
      </c>
      <c r="P111" s="87">
        <v>1</v>
      </c>
      <c r="Q111" s="87">
        <v>1</v>
      </c>
      <c r="R111" s="87">
        <v>1</v>
      </c>
      <c r="S111" s="87">
        <v>1</v>
      </c>
      <c r="T111" s="87">
        <v>1</v>
      </c>
      <c r="U111" s="87">
        <v>1</v>
      </c>
      <c r="V111" s="87">
        <v>1</v>
      </c>
      <c r="W111" s="87">
        <v>1</v>
      </c>
      <c r="X111" s="87">
        <v>1</v>
      </c>
      <c r="Y111" s="87">
        <v>1</v>
      </c>
      <c r="Z111" s="87">
        <v>1</v>
      </c>
      <c r="AA111" s="87">
        <v>1</v>
      </c>
      <c r="AB111" s="87">
        <v>1</v>
      </c>
      <c r="AC111" s="87">
        <v>1</v>
      </c>
      <c r="AD111" s="87">
        <v>1</v>
      </c>
      <c r="AE111" s="87">
        <v>1</v>
      </c>
      <c r="AF111" s="87">
        <v>1</v>
      </c>
      <c r="AG111" s="87">
        <v>1</v>
      </c>
      <c r="AH111" s="87">
        <v>1</v>
      </c>
      <c r="AI111" s="87">
        <v>1</v>
      </c>
      <c r="AJ111" s="87">
        <v>1</v>
      </c>
      <c r="AK111" s="87">
        <v>1</v>
      </c>
      <c r="AL111" s="87">
        <v>1</v>
      </c>
      <c r="AM111" s="87">
        <v>1</v>
      </c>
      <c r="AN111" s="87">
        <v>1</v>
      </c>
      <c r="AO111" s="87">
        <v>1</v>
      </c>
      <c r="AP111" s="87">
        <v>1</v>
      </c>
      <c r="AQ111" s="87">
        <v>1</v>
      </c>
      <c r="AR111" s="87">
        <v>1</v>
      </c>
      <c r="AS111" s="87">
        <v>1</v>
      </c>
      <c r="AT111" s="87">
        <v>1</v>
      </c>
      <c r="AU111" s="87">
        <v>1</v>
      </c>
      <c r="AV111" s="87">
        <v>1</v>
      </c>
    </row>
    <row r="112" spans="1:50">
      <c r="A112" s="185" t="s">
        <v>16</v>
      </c>
      <c r="B112" s="263" t="s">
        <v>255</v>
      </c>
      <c r="C112" s="87" t="str">
        <f t="shared" si="41"/>
        <v>Commercial - Public Water</v>
      </c>
      <c r="I112" s="151"/>
      <c r="J112" s="87">
        <v>1</v>
      </c>
      <c r="K112" s="87">
        <v>1</v>
      </c>
      <c r="L112" s="87">
        <v>1</v>
      </c>
      <c r="M112" s="87">
        <v>1</v>
      </c>
      <c r="N112" s="87">
        <v>1</v>
      </c>
      <c r="O112" s="87">
        <v>1</v>
      </c>
      <c r="P112" s="87">
        <v>1</v>
      </c>
      <c r="Q112" s="87">
        <v>1</v>
      </c>
      <c r="R112" s="87">
        <v>1</v>
      </c>
      <c r="S112" s="87">
        <v>1</v>
      </c>
      <c r="T112" s="87">
        <v>1</v>
      </c>
      <c r="U112" s="87">
        <v>1</v>
      </c>
      <c r="V112" s="87">
        <v>1</v>
      </c>
      <c r="W112" s="87">
        <v>1</v>
      </c>
      <c r="X112" s="87">
        <v>1</v>
      </c>
      <c r="Y112" s="87">
        <v>1</v>
      </c>
      <c r="Z112" s="87">
        <v>1</v>
      </c>
      <c r="AA112" s="87">
        <v>1</v>
      </c>
      <c r="AB112" s="87">
        <v>1</v>
      </c>
      <c r="AC112" s="87">
        <v>1</v>
      </c>
      <c r="AD112" s="87">
        <v>1</v>
      </c>
      <c r="AE112" s="87">
        <v>1</v>
      </c>
      <c r="AF112" s="87">
        <v>1</v>
      </c>
      <c r="AG112" s="87">
        <v>1</v>
      </c>
      <c r="AH112" s="87">
        <v>1</v>
      </c>
      <c r="AI112" s="87">
        <v>1</v>
      </c>
      <c r="AJ112" s="87">
        <v>1</v>
      </c>
      <c r="AK112" s="87">
        <v>1</v>
      </c>
      <c r="AL112" s="87">
        <v>1</v>
      </c>
      <c r="AM112" s="87">
        <v>1</v>
      </c>
      <c r="AN112" s="87">
        <v>1</v>
      </c>
      <c r="AO112" s="87">
        <v>1</v>
      </c>
      <c r="AP112" s="87">
        <v>1</v>
      </c>
      <c r="AQ112" s="87">
        <v>1</v>
      </c>
      <c r="AR112" s="87">
        <v>1</v>
      </c>
      <c r="AS112" s="87">
        <v>1</v>
      </c>
      <c r="AT112" s="87">
        <v>1</v>
      </c>
      <c r="AU112" s="87">
        <v>1</v>
      </c>
      <c r="AV112" s="87">
        <v>1</v>
      </c>
    </row>
    <row r="113" spans="1:48">
      <c r="A113" s="185" t="s">
        <v>16</v>
      </c>
      <c r="B113" s="263" t="s">
        <v>256</v>
      </c>
      <c r="C113" s="87" t="str">
        <f t="shared" si="41"/>
        <v>Commercial - Other</v>
      </c>
      <c r="I113" s="151"/>
      <c r="J113" s="87">
        <v>1</v>
      </c>
      <c r="K113" s="87">
        <v>1</v>
      </c>
      <c r="L113" s="87">
        <v>1</v>
      </c>
      <c r="M113" s="87">
        <v>1</v>
      </c>
      <c r="N113" s="87">
        <v>1</v>
      </c>
      <c r="O113" s="87">
        <v>1</v>
      </c>
      <c r="P113" s="87">
        <v>1</v>
      </c>
      <c r="Q113" s="87">
        <v>1</v>
      </c>
      <c r="R113" s="87">
        <v>1</v>
      </c>
      <c r="S113" s="87">
        <v>1</v>
      </c>
      <c r="T113" s="87">
        <v>1</v>
      </c>
      <c r="U113" s="87">
        <v>1</v>
      </c>
      <c r="V113" s="87">
        <v>1</v>
      </c>
      <c r="W113" s="87">
        <v>1</v>
      </c>
      <c r="X113" s="87">
        <v>1</v>
      </c>
      <c r="Y113" s="87">
        <v>1</v>
      </c>
      <c r="Z113" s="87">
        <v>1</v>
      </c>
      <c r="AA113" s="87">
        <v>1</v>
      </c>
      <c r="AB113" s="87">
        <v>1</v>
      </c>
      <c r="AC113" s="87">
        <v>1</v>
      </c>
      <c r="AD113" s="87">
        <v>1</v>
      </c>
      <c r="AE113" s="87">
        <v>1</v>
      </c>
      <c r="AF113" s="87">
        <v>1</v>
      </c>
      <c r="AG113" s="87">
        <v>1</v>
      </c>
      <c r="AH113" s="87">
        <v>1</v>
      </c>
      <c r="AI113" s="87">
        <v>1</v>
      </c>
      <c r="AJ113" s="87">
        <v>1</v>
      </c>
      <c r="AK113" s="87">
        <v>1</v>
      </c>
      <c r="AL113" s="87">
        <v>1</v>
      </c>
      <c r="AM113" s="87">
        <v>1</v>
      </c>
      <c r="AN113" s="87">
        <v>1</v>
      </c>
      <c r="AO113" s="87">
        <v>1</v>
      </c>
      <c r="AP113" s="87">
        <v>1</v>
      </c>
      <c r="AQ113" s="87">
        <v>1</v>
      </c>
      <c r="AR113" s="87">
        <v>1</v>
      </c>
      <c r="AS113" s="87">
        <v>1</v>
      </c>
      <c r="AT113" s="87">
        <v>1</v>
      </c>
      <c r="AU113" s="87">
        <v>1</v>
      </c>
      <c r="AV113" s="87">
        <v>1</v>
      </c>
    </row>
    <row r="114" spans="1:48">
      <c r="A114" s="185" t="s">
        <v>16</v>
      </c>
      <c r="B114" s="263"/>
      <c r="I114" s="151"/>
      <c r="K114" s="87"/>
    </row>
    <row r="115" spans="1:48" ht="15.75" thickBot="1">
      <c r="A115" s="185" t="s">
        <v>16</v>
      </c>
      <c r="B115" s="263"/>
      <c r="C115" s="84" t="s">
        <v>258</v>
      </c>
      <c r="I115" s="151"/>
      <c r="K115" s="87"/>
    </row>
    <row r="116" spans="1:48">
      <c r="A116" s="185" t="s">
        <v>16</v>
      </c>
      <c r="B116" s="263" t="str">
        <f>B105</f>
        <v>CNC</v>
      </c>
      <c r="C116" s="263" t="str">
        <f>C105</f>
        <v>Commercial - Cooling</v>
      </c>
      <c r="E116" s="93">
        <v>0</v>
      </c>
      <c r="I116" s="151"/>
      <c r="J116" s="153">
        <f t="shared" ref="J116:Y124" si="42">(1-$E116)</f>
        <v>1</v>
      </c>
      <c r="K116" s="108">
        <f t="shared" si="42"/>
        <v>1</v>
      </c>
      <c r="L116" s="108">
        <f t="shared" si="42"/>
        <v>1</v>
      </c>
      <c r="M116" s="108">
        <f t="shared" si="42"/>
        <v>1</v>
      </c>
      <c r="N116" s="108">
        <f t="shared" si="42"/>
        <v>1</v>
      </c>
      <c r="O116" s="108">
        <f t="shared" si="42"/>
        <v>1</v>
      </c>
      <c r="P116" s="108">
        <f t="shared" si="42"/>
        <v>1</v>
      </c>
      <c r="Q116" s="108">
        <f t="shared" si="42"/>
        <v>1</v>
      </c>
      <c r="R116" s="108">
        <f t="shared" si="42"/>
        <v>1</v>
      </c>
      <c r="S116" s="108">
        <f t="shared" si="42"/>
        <v>1</v>
      </c>
      <c r="T116" s="108">
        <f t="shared" si="42"/>
        <v>1</v>
      </c>
      <c r="U116" s="108">
        <f t="shared" si="42"/>
        <v>1</v>
      </c>
      <c r="V116" s="108">
        <f t="shared" si="42"/>
        <v>1</v>
      </c>
      <c r="W116" s="108">
        <f t="shared" si="42"/>
        <v>1</v>
      </c>
      <c r="X116" s="108">
        <f t="shared" si="42"/>
        <v>1</v>
      </c>
      <c r="Y116" s="108">
        <f t="shared" si="42"/>
        <v>1</v>
      </c>
      <c r="Z116" s="108">
        <f t="shared" ref="Z116:AV124" si="43">(1-$E116)</f>
        <v>1</v>
      </c>
      <c r="AA116" s="108">
        <f t="shared" si="43"/>
        <v>1</v>
      </c>
      <c r="AB116" s="108">
        <f t="shared" si="43"/>
        <v>1</v>
      </c>
      <c r="AC116" s="108">
        <f t="shared" si="43"/>
        <v>1</v>
      </c>
      <c r="AD116" s="108">
        <f t="shared" si="43"/>
        <v>1</v>
      </c>
      <c r="AE116" s="108">
        <f t="shared" si="43"/>
        <v>1</v>
      </c>
      <c r="AF116" s="108">
        <f t="shared" si="43"/>
        <v>1</v>
      </c>
      <c r="AG116" s="108">
        <f t="shared" si="43"/>
        <v>1</v>
      </c>
      <c r="AH116" s="108">
        <f t="shared" si="43"/>
        <v>1</v>
      </c>
      <c r="AI116" s="108">
        <f t="shared" si="43"/>
        <v>1</v>
      </c>
      <c r="AJ116" s="108">
        <f t="shared" si="43"/>
        <v>1</v>
      </c>
      <c r="AK116" s="108">
        <f t="shared" si="43"/>
        <v>1</v>
      </c>
      <c r="AL116" s="108">
        <f t="shared" si="43"/>
        <v>1</v>
      </c>
      <c r="AM116" s="108">
        <f t="shared" si="43"/>
        <v>1</v>
      </c>
      <c r="AN116" s="108">
        <f t="shared" si="43"/>
        <v>1</v>
      </c>
      <c r="AO116" s="108">
        <f t="shared" si="43"/>
        <v>1</v>
      </c>
      <c r="AP116" s="108">
        <f t="shared" si="43"/>
        <v>1</v>
      </c>
      <c r="AQ116" s="108">
        <f t="shared" si="43"/>
        <v>1</v>
      </c>
      <c r="AR116" s="108">
        <f t="shared" si="43"/>
        <v>1</v>
      </c>
      <c r="AS116" s="108">
        <f t="shared" si="43"/>
        <v>1</v>
      </c>
      <c r="AT116" s="108">
        <f t="shared" si="43"/>
        <v>1</v>
      </c>
      <c r="AU116" s="108">
        <f t="shared" si="43"/>
        <v>1</v>
      </c>
      <c r="AV116" s="108">
        <f t="shared" si="43"/>
        <v>1</v>
      </c>
    </row>
    <row r="117" spans="1:48">
      <c r="A117" s="185" t="s">
        <v>16</v>
      </c>
      <c r="B117" s="263" t="str">
        <f t="shared" ref="B117:C124" si="44">B106</f>
        <v>CNH</v>
      </c>
      <c r="C117" s="263" t="str">
        <f t="shared" si="44"/>
        <v>Commercial - Space Heating</v>
      </c>
      <c r="E117" s="93">
        <v>0</v>
      </c>
      <c r="I117" s="151"/>
      <c r="J117" s="153">
        <f t="shared" si="42"/>
        <v>1</v>
      </c>
      <c r="K117" s="108">
        <f t="shared" si="42"/>
        <v>1</v>
      </c>
      <c r="L117" s="108">
        <f t="shared" si="42"/>
        <v>1</v>
      </c>
      <c r="M117" s="108">
        <f t="shared" si="42"/>
        <v>1</v>
      </c>
      <c r="N117" s="108">
        <f t="shared" si="42"/>
        <v>1</v>
      </c>
      <c r="O117" s="108">
        <f t="shared" si="42"/>
        <v>1</v>
      </c>
      <c r="P117" s="108">
        <f t="shared" si="42"/>
        <v>1</v>
      </c>
      <c r="Q117" s="108">
        <f t="shared" si="42"/>
        <v>1</v>
      </c>
      <c r="R117" s="108">
        <f t="shared" si="42"/>
        <v>1</v>
      </c>
      <c r="S117" s="108">
        <f t="shared" si="42"/>
        <v>1</v>
      </c>
      <c r="T117" s="108">
        <f t="shared" si="42"/>
        <v>1</v>
      </c>
      <c r="U117" s="108">
        <f t="shared" si="42"/>
        <v>1</v>
      </c>
      <c r="V117" s="108">
        <f t="shared" si="42"/>
        <v>1</v>
      </c>
      <c r="W117" s="108">
        <f t="shared" si="42"/>
        <v>1</v>
      </c>
      <c r="X117" s="108">
        <f t="shared" si="42"/>
        <v>1</v>
      </c>
      <c r="Y117" s="108">
        <f t="shared" si="42"/>
        <v>1</v>
      </c>
      <c r="Z117" s="108">
        <f t="shared" si="43"/>
        <v>1</v>
      </c>
      <c r="AA117" s="108">
        <f t="shared" si="43"/>
        <v>1</v>
      </c>
      <c r="AB117" s="108">
        <f t="shared" si="43"/>
        <v>1</v>
      </c>
      <c r="AC117" s="108">
        <f t="shared" si="43"/>
        <v>1</v>
      </c>
      <c r="AD117" s="108">
        <f t="shared" si="43"/>
        <v>1</v>
      </c>
      <c r="AE117" s="108">
        <f t="shared" si="43"/>
        <v>1</v>
      </c>
      <c r="AF117" s="108">
        <f t="shared" si="43"/>
        <v>1</v>
      </c>
      <c r="AG117" s="108">
        <f t="shared" si="43"/>
        <v>1</v>
      </c>
      <c r="AH117" s="108">
        <f t="shared" si="43"/>
        <v>1</v>
      </c>
      <c r="AI117" s="108">
        <f t="shared" si="43"/>
        <v>1</v>
      </c>
      <c r="AJ117" s="108">
        <f t="shared" si="43"/>
        <v>1</v>
      </c>
      <c r="AK117" s="108">
        <f t="shared" si="43"/>
        <v>1</v>
      </c>
      <c r="AL117" s="108">
        <f t="shared" si="43"/>
        <v>1</v>
      </c>
      <c r="AM117" s="108">
        <f t="shared" si="43"/>
        <v>1</v>
      </c>
      <c r="AN117" s="108">
        <f t="shared" si="43"/>
        <v>1</v>
      </c>
      <c r="AO117" s="108">
        <f t="shared" si="43"/>
        <v>1</v>
      </c>
      <c r="AP117" s="108">
        <f t="shared" si="43"/>
        <v>1</v>
      </c>
      <c r="AQ117" s="108">
        <f t="shared" si="43"/>
        <v>1</v>
      </c>
      <c r="AR117" s="108">
        <f t="shared" si="43"/>
        <v>1</v>
      </c>
      <c r="AS117" s="108">
        <f t="shared" si="43"/>
        <v>1</v>
      </c>
      <c r="AT117" s="108">
        <f t="shared" si="43"/>
        <v>1</v>
      </c>
      <c r="AU117" s="108">
        <f t="shared" si="43"/>
        <v>1</v>
      </c>
      <c r="AV117" s="108">
        <f t="shared" si="43"/>
        <v>1</v>
      </c>
    </row>
    <row r="118" spans="1:48">
      <c r="A118" s="185" t="s">
        <v>16</v>
      </c>
      <c r="B118" s="263" t="str">
        <f t="shared" si="44"/>
        <v>CNK</v>
      </c>
      <c r="C118" s="263" t="str">
        <f t="shared" si="44"/>
        <v>Commercial - Cooking</v>
      </c>
      <c r="E118" s="93">
        <v>0</v>
      </c>
      <c r="I118" s="151"/>
      <c r="J118" s="153">
        <f t="shared" si="42"/>
        <v>1</v>
      </c>
      <c r="K118" s="108">
        <f t="shared" si="42"/>
        <v>1</v>
      </c>
      <c r="L118" s="108">
        <f t="shared" si="42"/>
        <v>1</v>
      </c>
      <c r="M118" s="108">
        <f>(1-$E118)</f>
        <v>1</v>
      </c>
      <c r="N118" s="108">
        <f t="shared" si="42"/>
        <v>1</v>
      </c>
      <c r="O118" s="108">
        <f t="shared" si="42"/>
        <v>1</v>
      </c>
      <c r="P118" s="108">
        <f t="shared" si="42"/>
        <v>1</v>
      </c>
      <c r="Q118" s="108">
        <f t="shared" si="42"/>
        <v>1</v>
      </c>
      <c r="R118" s="108">
        <f t="shared" si="42"/>
        <v>1</v>
      </c>
      <c r="S118" s="108">
        <f t="shared" si="42"/>
        <v>1</v>
      </c>
      <c r="T118" s="108">
        <f t="shared" si="42"/>
        <v>1</v>
      </c>
      <c r="U118" s="108">
        <f t="shared" si="42"/>
        <v>1</v>
      </c>
      <c r="V118" s="108">
        <f t="shared" si="42"/>
        <v>1</v>
      </c>
      <c r="W118" s="108">
        <f t="shared" si="42"/>
        <v>1</v>
      </c>
      <c r="X118" s="108">
        <f t="shared" si="42"/>
        <v>1</v>
      </c>
      <c r="Y118" s="108">
        <f t="shared" si="42"/>
        <v>1</v>
      </c>
      <c r="Z118" s="108">
        <f t="shared" si="43"/>
        <v>1</v>
      </c>
      <c r="AA118" s="108">
        <f t="shared" si="43"/>
        <v>1</v>
      </c>
      <c r="AB118" s="108">
        <f t="shared" si="43"/>
        <v>1</v>
      </c>
      <c r="AC118" s="108">
        <f t="shared" si="43"/>
        <v>1</v>
      </c>
      <c r="AD118" s="108">
        <f t="shared" si="43"/>
        <v>1</v>
      </c>
      <c r="AE118" s="108">
        <f t="shared" si="43"/>
        <v>1</v>
      </c>
      <c r="AF118" s="108">
        <f t="shared" si="43"/>
        <v>1</v>
      </c>
      <c r="AG118" s="108">
        <f t="shared" si="43"/>
        <v>1</v>
      </c>
      <c r="AH118" s="108">
        <f t="shared" si="43"/>
        <v>1</v>
      </c>
      <c r="AI118" s="108">
        <f t="shared" si="43"/>
        <v>1</v>
      </c>
      <c r="AJ118" s="108">
        <f t="shared" si="43"/>
        <v>1</v>
      </c>
      <c r="AK118" s="108">
        <f t="shared" si="43"/>
        <v>1</v>
      </c>
      <c r="AL118" s="108">
        <f t="shared" si="43"/>
        <v>1</v>
      </c>
      <c r="AM118" s="108">
        <f t="shared" si="43"/>
        <v>1</v>
      </c>
      <c r="AN118" s="108">
        <f t="shared" si="43"/>
        <v>1</v>
      </c>
      <c r="AO118" s="108">
        <f t="shared" si="43"/>
        <v>1</v>
      </c>
      <c r="AP118" s="108">
        <f t="shared" si="43"/>
        <v>1</v>
      </c>
      <c r="AQ118" s="108">
        <f t="shared" si="43"/>
        <v>1</v>
      </c>
      <c r="AR118" s="108">
        <f t="shared" si="43"/>
        <v>1</v>
      </c>
      <c r="AS118" s="108">
        <f t="shared" si="43"/>
        <v>1</v>
      </c>
      <c r="AT118" s="108">
        <f t="shared" si="43"/>
        <v>1</v>
      </c>
      <c r="AU118" s="108">
        <f t="shared" si="43"/>
        <v>1</v>
      </c>
      <c r="AV118" s="108">
        <f t="shared" si="43"/>
        <v>1</v>
      </c>
    </row>
    <row r="119" spans="1:48">
      <c r="A119" s="185" t="s">
        <v>16</v>
      </c>
      <c r="B119" s="263" t="str">
        <f t="shared" si="44"/>
        <v>CNL</v>
      </c>
      <c r="C119" s="263" t="str">
        <f t="shared" si="44"/>
        <v>Commercial - Lighting</v>
      </c>
      <c r="E119" s="93">
        <v>0</v>
      </c>
      <c r="I119" s="151"/>
      <c r="J119" s="153">
        <f t="shared" si="42"/>
        <v>1</v>
      </c>
      <c r="K119" s="108">
        <f t="shared" si="42"/>
        <v>1</v>
      </c>
      <c r="L119" s="108">
        <f t="shared" si="42"/>
        <v>1</v>
      </c>
      <c r="M119" s="108">
        <f t="shared" si="42"/>
        <v>1</v>
      </c>
      <c r="N119" s="108">
        <f t="shared" si="42"/>
        <v>1</v>
      </c>
      <c r="O119" s="108">
        <f t="shared" si="42"/>
        <v>1</v>
      </c>
      <c r="P119" s="108">
        <f t="shared" si="42"/>
        <v>1</v>
      </c>
      <c r="Q119" s="108">
        <f t="shared" si="42"/>
        <v>1</v>
      </c>
      <c r="R119" s="108">
        <f t="shared" si="42"/>
        <v>1</v>
      </c>
      <c r="S119" s="108">
        <f t="shared" si="42"/>
        <v>1</v>
      </c>
      <c r="T119" s="108">
        <f t="shared" si="42"/>
        <v>1</v>
      </c>
      <c r="U119" s="108">
        <f t="shared" si="42"/>
        <v>1</v>
      </c>
      <c r="V119" s="108">
        <f t="shared" si="42"/>
        <v>1</v>
      </c>
      <c r="W119" s="108">
        <f t="shared" si="42"/>
        <v>1</v>
      </c>
      <c r="X119" s="108">
        <f t="shared" si="42"/>
        <v>1</v>
      </c>
      <c r="Y119" s="108">
        <f t="shared" si="42"/>
        <v>1</v>
      </c>
      <c r="Z119" s="108">
        <f t="shared" si="43"/>
        <v>1</v>
      </c>
      <c r="AA119" s="108">
        <f t="shared" si="43"/>
        <v>1</v>
      </c>
      <c r="AB119" s="108">
        <f t="shared" si="43"/>
        <v>1</v>
      </c>
      <c r="AC119" s="108">
        <f t="shared" si="43"/>
        <v>1</v>
      </c>
      <c r="AD119" s="108">
        <f t="shared" si="43"/>
        <v>1</v>
      </c>
      <c r="AE119" s="108">
        <f t="shared" si="43"/>
        <v>1</v>
      </c>
      <c r="AF119" s="108">
        <f t="shared" si="43"/>
        <v>1</v>
      </c>
      <c r="AG119" s="108">
        <f t="shared" si="43"/>
        <v>1</v>
      </c>
      <c r="AH119" s="108">
        <f t="shared" si="43"/>
        <v>1</v>
      </c>
      <c r="AI119" s="108">
        <f t="shared" si="43"/>
        <v>1</v>
      </c>
      <c r="AJ119" s="108">
        <f t="shared" si="43"/>
        <v>1</v>
      </c>
      <c r="AK119" s="108">
        <f t="shared" si="43"/>
        <v>1</v>
      </c>
      <c r="AL119" s="108">
        <f t="shared" si="43"/>
        <v>1</v>
      </c>
      <c r="AM119" s="108">
        <f t="shared" si="43"/>
        <v>1</v>
      </c>
      <c r="AN119" s="108">
        <f t="shared" si="43"/>
        <v>1</v>
      </c>
      <c r="AO119" s="108">
        <f t="shared" si="43"/>
        <v>1</v>
      </c>
      <c r="AP119" s="108">
        <f t="shared" si="43"/>
        <v>1</v>
      </c>
      <c r="AQ119" s="108">
        <f t="shared" si="43"/>
        <v>1</v>
      </c>
      <c r="AR119" s="108">
        <f t="shared" si="43"/>
        <v>1</v>
      </c>
      <c r="AS119" s="108">
        <f t="shared" si="43"/>
        <v>1</v>
      </c>
      <c r="AT119" s="108">
        <f t="shared" si="43"/>
        <v>1</v>
      </c>
      <c r="AU119" s="108">
        <f t="shared" si="43"/>
        <v>1</v>
      </c>
      <c r="AV119" s="108">
        <f t="shared" si="43"/>
        <v>1</v>
      </c>
    </row>
    <row r="120" spans="1:48">
      <c r="A120" s="185" t="s">
        <v>16</v>
      </c>
      <c r="B120" s="263" t="str">
        <f t="shared" si="44"/>
        <v>CNR</v>
      </c>
      <c r="C120" s="263" t="str">
        <f t="shared" si="44"/>
        <v>Commercial - Refrigeration</v>
      </c>
      <c r="E120" s="93">
        <v>0</v>
      </c>
      <c r="I120" s="151"/>
      <c r="J120" s="153">
        <f t="shared" si="42"/>
        <v>1</v>
      </c>
      <c r="K120" s="108">
        <f t="shared" si="42"/>
        <v>1</v>
      </c>
      <c r="L120" s="108">
        <f t="shared" si="42"/>
        <v>1</v>
      </c>
      <c r="M120" s="108">
        <f t="shared" si="42"/>
        <v>1</v>
      </c>
      <c r="N120" s="108">
        <f t="shared" si="42"/>
        <v>1</v>
      </c>
      <c r="O120" s="108">
        <f t="shared" si="42"/>
        <v>1</v>
      </c>
      <c r="P120" s="108">
        <f t="shared" si="42"/>
        <v>1</v>
      </c>
      <c r="Q120" s="108">
        <f t="shared" si="42"/>
        <v>1</v>
      </c>
      <c r="R120" s="108">
        <f t="shared" si="42"/>
        <v>1</v>
      </c>
      <c r="S120" s="108">
        <f t="shared" si="42"/>
        <v>1</v>
      </c>
      <c r="T120" s="108">
        <f t="shared" si="42"/>
        <v>1</v>
      </c>
      <c r="U120" s="108">
        <f t="shared" si="42"/>
        <v>1</v>
      </c>
      <c r="V120" s="108">
        <f t="shared" si="42"/>
        <v>1</v>
      </c>
      <c r="W120" s="108">
        <f t="shared" si="42"/>
        <v>1</v>
      </c>
      <c r="X120" s="108">
        <f t="shared" si="42"/>
        <v>1</v>
      </c>
      <c r="Y120" s="108">
        <f t="shared" si="42"/>
        <v>1</v>
      </c>
      <c r="Z120" s="108">
        <f t="shared" si="43"/>
        <v>1</v>
      </c>
      <c r="AA120" s="108">
        <f t="shared" si="43"/>
        <v>1</v>
      </c>
      <c r="AB120" s="108">
        <f t="shared" si="43"/>
        <v>1</v>
      </c>
      <c r="AC120" s="108">
        <f t="shared" si="43"/>
        <v>1</v>
      </c>
      <c r="AD120" s="108">
        <f t="shared" si="43"/>
        <v>1</v>
      </c>
      <c r="AE120" s="108">
        <f t="shared" si="43"/>
        <v>1</v>
      </c>
      <c r="AF120" s="108">
        <f t="shared" si="43"/>
        <v>1</v>
      </c>
      <c r="AG120" s="108">
        <f t="shared" si="43"/>
        <v>1</v>
      </c>
      <c r="AH120" s="108">
        <f t="shared" si="43"/>
        <v>1</v>
      </c>
      <c r="AI120" s="108">
        <f t="shared" si="43"/>
        <v>1</v>
      </c>
      <c r="AJ120" s="108">
        <f t="shared" si="43"/>
        <v>1</v>
      </c>
      <c r="AK120" s="108">
        <f t="shared" si="43"/>
        <v>1</v>
      </c>
      <c r="AL120" s="108">
        <f t="shared" si="43"/>
        <v>1</v>
      </c>
      <c r="AM120" s="108">
        <f t="shared" si="43"/>
        <v>1</v>
      </c>
      <c r="AN120" s="108">
        <f t="shared" si="43"/>
        <v>1</v>
      </c>
      <c r="AO120" s="108">
        <f t="shared" si="43"/>
        <v>1</v>
      </c>
      <c r="AP120" s="108">
        <f t="shared" si="43"/>
        <v>1</v>
      </c>
      <c r="AQ120" s="108">
        <f t="shared" si="43"/>
        <v>1</v>
      </c>
      <c r="AR120" s="108">
        <f t="shared" si="43"/>
        <v>1</v>
      </c>
      <c r="AS120" s="108">
        <f t="shared" si="43"/>
        <v>1</v>
      </c>
      <c r="AT120" s="108">
        <f t="shared" si="43"/>
        <v>1</v>
      </c>
      <c r="AU120" s="108">
        <f t="shared" si="43"/>
        <v>1</v>
      </c>
      <c r="AV120" s="108">
        <f t="shared" si="43"/>
        <v>1</v>
      </c>
    </row>
    <row r="121" spans="1:48">
      <c r="A121" s="185" t="s">
        <v>16</v>
      </c>
      <c r="B121" s="263" t="str">
        <f t="shared" si="44"/>
        <v>CNW</v>
      </c>
      <c r="C121" s="263" t="str">
        <f t="shared" si="44"/>
        <v>Commercial - Water Heating</v>
      </c>
      <c r="E121" s="93">
        <v>0</v>
      </c>
      <c r="I121" s="151"/>
      <c r="J121" s="153">
        <f t="shared" si="42"/>
        <v>1</v>
      </c>
      <c r="K121" s="108">
        <f t="shared" si="42"/>
        <v>1</v>
      </c>
      <c r="L121" s="108">
        <f t="shared" si="42"/>
        <v>1</v>
      </c>
      <c r="M121" s="108">
        <f t="shared" si="42"/>
        <v>1</v>
      </c>
      <c r="N121" s="108">
        <f t="shared" si="42"/>
        <v>1</v>
      </c>
      <c r="O121" s="108">
        <f t="shared" si="42"/>
        <v>1</v>
      </c>
      <c r="P121" s="108">
        <f t="shared" si="42"/>
        <v>1</v>
      </c>
      <c r="Q121" s="108">
        <f t="shared" si="42"/>
        <v>1</v>
      </c>
      <c r="R121" s="108">
        <f t="shared" si="42"/>
        <v>1</v>
      </c>
      <c r="S121" s="108">
        <f t="shared" si="42"/>
        <v>1</v>
      </c>
      <c r="T121" s="108">
        <f t="shared" si="42"/>
        <v>1</v>
      </c>
      <c r="U121" s="108">
        <f t="shared" si="42"/>
        <v>1</v>
      </c>
      <c r="V121" s="108">
        <f t="shared" si="42"/>
        <v>1</v>
      </c>
      <c r="W121" s="108">
        <f t="shared" si="42"/>
        <v>1</v>
      </c>
      <c r="X121" s="108">
        <f t="shared" si="42"/>
        <v>1</v>
      </c>
      <c r="Y121" s="108">
        <f t="shared" si="42"/>
        <v>1</v>
      </c>
      <c r="Z121" s="108">
        <f t="shared" si="43"/>
        <v>1</v>
      </c>
      <c r="AA121" s="108">
        <f t="shared" si="43"/>
        <v>1</v>
      </c>
      <c r="AB121" s="108">
        <f t="shared" si="43"/>
        <v>1</v>
      </c>
      <c r="AC121" s="108">
        <f t="shared" si="43"/>
        <v>1</v>
      </c>
      <c r="AD121" s="108">
        <f t="shared" si="43"/>
        <v>1</v>
      </c>
      <c r="AE121" s="108">
        <f t="shared" si="43"/>
        <v>1</v>
      </c>
      <c r="AF121" s="108">
        <f t="shared" si="43"/>
        <v>1</v>
      </c>
      <c r="AG121" s="108">
        <f t="shared" si="43"/>
        <v>1</v>
      </c>
      <c r="AH121" s="108">
        <f t="shared" si="43"/>
        <v>1</v>
      </c>
      <c r="AI121" s="108">
        <f t="shared" si="43"/>
        <v>1</v>
      </c>
      <c r="AJ121" s="108">
        <f t="shared" si="43"/>
        <v>1</v>
      </c>
      <c r="AK121" s="108">
        <f t="shared" si="43"/>
        <v>1</v>
      </c>
      <c r="AL121" s="108">
        <f t="shared" si="43"/>
        <v>1</v>
      </c>
      <c r="AM121" s="108">
        <f t="shared" si="43"/>
        <v>1</v>
      </c>
      <c r="AN121" s="108">
        <f t="shared" si="43"/>
        <v>1</v>
      </c>
      <c r="AO121" s="108">
        <f t="shared" si="43"/>
        <v>1</v>
      </c>
      <c r="AP121" s="108">
        <f t="shared" si="43"/>
        <v>1</v>
      </c>
      <c r="AQ121" s="108">
        <f t="shared" si="43"/>
        <v>1</v>
      </c>
      <c r="AR121" s="108">
        <f t="shared" si="43"/>
        <v>1</v>
      </c>
      <c r="AS121" s="108">
        <f t="shared" si="43"/>
        <v>1</v>
      </c>
      <c r="AT121" s="108">
        <f t="shared" si="43"/>
        <v>1</v>
      </c>
      <c r="AU121" s="108">
        <f t="shared" si="43"/>
        <v>1</v>
      </c>
      <c r="AV121" s="108">
        <f t="shared" si="43"/>
        <v>1</v>
      </c>
    </row>
    <row r="122" spans="1:48">
      <c r="A122" s="185" t="s">
        <v>16</v>
      </c>
      <c r="B122" s="263" t="str">
        <f t="shared" si="44"/>
        <v>CNG</v>
      </c>
      <c r="C122" s="263" t="str">
        <f t="shared" si="44"/>
        <v>Commercial - Public lights</v>
      </c>
      <c r="E122" s="93">
        <v>0</v>
      </c>
      <c r="I122" s="151"/>
      <c r="J122" s="153">
        <f t="shared" si="42"/>
        <v>1</v>
      </c>
      <c r="K122" s="108">
        <f t="shared" si="42"/>
        <v>1</v>
      </c>
      <c r="L122" s="108">
        <f t="shared" si="42"/>
        <v>1</v>
      </c>
      <c r="M122" s="108">
        <f t="shared" si="42"/>
        <v>1</v>
      </c>
      <c r="N122" s="108">
        <f t="shared" si="42"/>
        <v>1</v>
      </c>
      <c r="O122" s="108">
        <f t="shared" si="42"/>
        <v>1</v>
      </c>
      <c r="P122" s="108">
        <f t="shared" si="42"/>
        <v>1</v>
      </c>
      <c r="Q122" s="108">
        <f t="shared" si="42"/>
        <v>1</v>
      </c>
      <c r="R122" s="108">
        <f t="shared" si="42"/>
        <v>1</v>
      </c>
      <c r="S122" s="108">
        <f t="shared" si="42"/>
        <v>1</v>
      </c>
      <c r="T122" s="108">
        <f t="shared" si="42"/>
        <v>1</v>
      </c>
      <c r="U122" s="108">
        <f t="shared" si="42"/>
        <v>1</v>
      </c>
      <c r="V122" s="108">
        <f t="shared" si="42"/>
        <v>1</v>
      </c>
      <c r="W122" s="108">
        <f t="shared" si="42"/>
        <v>1</v>
      </c>
      <c r="X122" s="108">
        <f t="shared" si="42"/>
        <v>1</v>
      </c>
      <c r="Y122" s="108">
        <f t="shared" si="42"/>
        <v>1</v>
      </c>
      <c r="Z122" s="108">
        <f t="shared" si="43"/>
        <v>1</v>
      </c>
      <c r="AA122" s="108">
        <f t="shared" si="43"/>
        <v>1</v>
      </c>
      <c r="AB122" s="108">
        <f t="shared" si="43"/>
        <v>1</v>
      </c>
      <c r="AC122" s="108">
        <f t="shared" si="43"/>
        <v>1</v>
      </c>
      <c r="AD122" s="108">
        <f t="shared" si="43"/>
        <v>1</v>
      </c>
      <c r="AE122" s="108">
        <f t="shared" si="43"/>
        <v>1</v>
      </c>
      <c r="AF122" s="108">
        <f t="shared" si="43"/>
        <v>1</v>
      </c>
      <c r="AG122" s="108">
        <f t="shared" si="43"/>
        <v>1</v>
      </c>
      <c r="AH122" s="108">
        <f t="shared" si="43"/>
        <v>1</v>
      </c>
      <c r="AI122" s="108">
        <f t="shared" si="43"/>
        <v>1</v>
      </c>
      <c r="AJ122" s="108">
        <f t="shared" si="43"/>
        <v>1</v>
      </c>
      <c r="AK122" s="108">
        <f t="shared" si="43"/>
        <v>1</v>
      </c>
      <c r="AL122" s="108">
        <f t="shared" si="43"/>
        <v>1</v>
      </c>
      <c r="AM122" s="108">
        <f t="shared" si="43"/>
        <v>1</v>
      </c>
      <c r="AN122" s="108">
        <f t="shared" si="43"/>
        <v>1</v>
      </c>
      <c r="AO122" s="108">
        <f t="shared" si="43"/>
        <v>1</v>
      </c>
      <c r="AP122" s="108">
        <f t="shared" si="43"/>
        <v>1</v>
      </c>
      <c r="AQ122" s="108">
        <f t="shared" si="43"/>
        <v>1</v>
      </c>
      <c r="AR122" s="108">
        <f t="shared" si="43"/>
        <v>1</v>
      </c>
      <c r="AS122" s="108">
        <f t="shared" si="43"/>
        <v>1</v>
      </c>
      <c r="AT122" s="108">
        <f t="shared" si="43"/>
        <v>1</v>
      </c>
      <c r="AU122" s="108">
        <f t="shared" si="43"/>
        <v>1</v>
      </c>
      <c r="AV122" s="108">
        <f t="shared" si="43"/>
        <v>1</v>
      </c>
    </row>
    <row r="123" spans="1:48">
      <c r="A123" s="185" t="s">
        <v>16</v>
      </c>
      <c r="B123" s="263" t="str">
        <f t="shared" si="44"/>
        <v>CNT</v>
      </c>
      <c r="C123" s="263" t="str">
        <f t="shared" si="44"/>
        <v>Commercial - Public Water</v>
      </c>
      <c r="E123" s="93">
        <v>0</v>
      </c>
      <c r="I123" s="151"/>
      <c r="J123" s="153">
        <f t="shared" si="42"/>
        <v>1</v>
      </c>
      <c r="K123" s="108">
        <f t="shared" si="42"/>
        <v>1</v>
      </c>
      <c r="L123" s="108">
        <f t="shared" si="42"/>
        <v>1</v>
      </c>
      <c r="M123" s="108">
        <f t="shared" si="42"/>
        <v>1</v>
      </c>
      <c r="N123" s="108">
        <f t="shared" si="42"/>
        <v>1</v>
      </c>
      <c r="O123" s="108">
        <f t="shared" si="42"/>
        <v>1</v>
      </c>
      <c r="P123" s="108">
        <f t="shared" si="42"/>
        <v>1</v>
      </c>
      <c r="Q123" s="108">
        <f t="shared" si="42"/>
        <v>1</v>
      </c>
      <c r="R123" s="108">
        <f t="shared" si="42"/>
        <v>1</v>
      </c>
      <c r="S123" s="108">
        <f t="shared" si="42"/>
        <v>1</v>
      </c>
      <c r="T123" s="108">
        <f t="shared" si="42"/>
        <v>1</v>
      </c>
      <c r="U123" s="108">
        <f t="shared" si="42"/>
        <v>1</v>
      </c>
      <c r="V123" s="108">
        <f t="shared" si="42"/>
        <v>1</v>
      </c>
      <c r="W123" s="108">
        <f t="shared" si="42"/>
        <v>1</v>
      </c>
      <c r="X123" s="108">
        <f t="shared" si="42"/>
        <v>1</v>
      </c>
      <c r="Y123" s="108">
        <f t="shared" si="42"/>
        <v>1</v>
      </c>
      <c r="Z123" s="108">
        <f t="shared" si="43"/>
        <v>1</v>
      </c>
      <c r="AA123" s="108">
        <f t="shared" si="43"/>
        <v>1</v>
      </c>
      <c r="AB123" s="108">
        <f t="shared" si="43"/>
        <v>1</v>
      </c>
      <c r="AC123" s="108">
        <f t="shared" si="43"/>
        <v>1</v>
      </c>
      <c r="AD123" s="108">
        <f t="shared" si="43"/>
        <v>1</v>
      </c>
      <c r="AE123" s="108">
        <f t="shared" si="43"/>
        <v>1</v>
      </c>
      <c r="AF123" s="108">
        <f t="shared" si="43"/>
        <v>1</v>
      </c>
      <c r="AG123" s="108">
        <f t="shared" si="43"/>
        <v>1</v>
      </c>
      <c r="AH123" s="108">
        <f t="shared" si="43"/>
        <v>1</v>
      </c>
      <c r="AI123" s="108">
        <f t="shared" si="43"/>
        <v>1</v>
      </c>
      <c r="AJ123" s="108">
        <f t="shared" si="43"/>
        <v>1</v>
      </c>
      <c r="AK123" s="108">
        <f t="shared" si="43"/>
        <v>1</v>
      </c>
      <c r="AL123" s="108">
        <f t="shared" si="43"/>
        <v>1</v>
      </c>
      <c r="AM123" s="108">
        <f t="shared" si="43"/>
        <v>1</v>
      </c>
      <c r="AN123" s="108">
        <f t="shared" si="43"/>
        <v>1</v>
      </c>
      <c r="AO123" s="108">
        <f t="shared" si="43"/>
        <v>1</v>
      </c>
      <c r="AP123" s="108">
        <f t="shared" si="43"/>
        <v>1</v>
      </c>
      <c r="AQ123" s="108">
        <f t="shared" si="43"/>
        <v>1</v>
      </c>
      <c r="AR123" s="108">
        <f t="shared" si="43"/>
        <v>1</v>
      </c>
      <c r="AS123" s="108">
        <f t="shared" si="43"/>
        <v>1</v>
      </c>
      <c r="AT123" s="108">
        <f t="shared" si="43"/>
        <v>1</v>
      </c>
      <c r="AU123" s="108">
        <f t="shared" si="43"/>
        <v>1</v>
      </c>
      <c r="AV123" s="108">
        <f t="shared" si="43"/>
        <v>1</v>
      </c>
    </row>
    <row r="124" spans="1:48">
      <c r="A124" s="185" t="s">
        <v>16</v>
      </c>
      <c r="B124" s="263" t="str">
        <f t="shared" si="44"/>
        <v>CNO</v>
      </c>
      <c r="C124" s="263" t="str">
        <f t="shared" si="44"/>
        <v>Commercial - Other</v>
      </c>
      <c r="E124" s="93">
        <v>0</v>
      </c>
      <c r="I124" s="151"/>
      <c r="J124" s="153">
        <f t="shared" si="42"/>
        <v>1</v>
      </c>
      <c r="K124" s="108">
        <f t="shared" si="42"/>
        <v>1</v>
      </c>
      <c r="L124" s="108">
        <f t="shared" si="42"/>
        <v>1</v>
      </c>
      <c r="M124" s="108">
        <f t="shared" si="42"/>
        <v>1</v>
      </c>
      <c r="N124" s="108">
        <f t="shared" si="42"/>
        <v>1</v>
      </c>
      <c r="O124" s="108">
        <f t="shared" si="42"/>
        <v>1</v>
      </c>
      <c r="P124" s="108">
        <f t="shared" si="42"/>
        <v>1</v>
      </c>
      <c r="Q124" s="108">
        <f t="shared" si="42"/>
        <v>1</v>
      </c>
      <c r="R124" s="108">
        <f t="shared" si="42"/>
        <v>1</v>
      </c>
      <c r="S124" s="108">
        <f t="shared" si="42"/>
        <v>1</v>
      </c>
      <c r="T124" s="108">
        <f t="shared" si="42"/>
        <v>1</v>
      </c>
      <c r="U124" s="108">
        <f t="shared" si="42"/>
        <v>1</v>
      </c>
      <c r="V124" s="108">
        <f t="shared" si="42"/>
        <v>1</v>
      </c>
      <c r="W124" s="108">
        <f t="shared" si="42"/>
        <v>1</v>
      </c>
      <c r="X124" s="108">
        <f t="shared" si="42"/>
        <v>1</v>
      </c>
      <c r="Y124" s="108">
        <f t="shared" si="42"/>
        <v>1</v>
      </c>
      <c r="Z124" s="108">
        <f t="shared" si="43"/>
        <v>1</v>
      </c>
      <c r="AA124" s="108">
        <f t="shared" si="43"/>
        <v>1</v>
      </c>
      <c r="AB124" s="108">
        <f t="shared" si="43"/>
        <v>1</v>
      </c>
      <c r="AC124" s="108">
        <f t="shared" si="43"/>
        <v>1</v>
      </c>
      <c r="AD124" s="108">
        <f t="shared" si="43"/>
        <v>1</v>
      </c>
      <c r="AE124" s="108">
        <f t="shared" si="43"/>
        <v>1</v>
      </c>
      <c r="AF124" s="108">
        <f t="shared" si="43"/>
        <v>1</v>
      </c>
      <c r="AG124" s="108">
        <f t="shared" si="43"/>
        <v>1</v>
      </c>
      <c r="AH124" s="108">
        <f t="shared" si="43"/>
        <v>1</v>
      </c>
      <c r="AI124" s="108">
        <f t="shared" si="43"/>
        <v>1</v>
      </c>
      <c r="AJ124" s="108">
        <f t="shared" si="43"/>
        <v>1</v>
      </c>
      <c r="AK124" s="108">
        <f t="shared" si="43"/>
        <v>1</v>
      </c>
      <c r="AL124" s="108">
        <f t="shared" si="43"/>
        <v>1</v>
      </c>
      <c r="AM124" s="108">
        <f t="shared" si="43"/>
        <v>1</v>
      </c>
      <c r="AN124" s="108">
        <f t="shared" si="43"/>
        <v>1</v>
      </c>
      <c r="AO124" s="108">
        <f t="shared" si="43"/>
        <v>1</v>
      </c>
      <c r="AP124" s="108">
        <f t="shared" si="43"/>
        <v>1</v>
      </c>
      <c r="AQ124" s="108">
        <f t="shared" si="43"/>
        <v>1</v>
      </c>
      <c r="AR124" s="108">
        <f t="shared" si="43"/>
        <v>1</v>
      </c>
      <c r="AS124" s="108">
        <f t="shared" si="43"/>
        <v>1</v>
      </c>
      <c r="AT124" s="108">
        <f t="shared" si="43"/>
        <v>1</v>
      </c>
      <c r="AU124" s="108">
        <f t="shared" si="43"/>
        <v>1</v>
      </c>
      <c r="AV124" s="108">
        <f t="shared" si="43"/>
        <v>1</v>
      </c>
    </row>
    <row r="125" spans="1:48">
      <c r="A125" s="185" t="s">
        <v>16</v>
      </c>
      <c r="B125" s="263"/>
      <c r="C125" s="263"/>
      <c r="I125" s="151"/>
      <c r="K125" s="87"/>
    </row>
    <row r="126" spans="1:48" ht="15.75" thickBot="1">
      <c r="A126" s="185" t="s">
        <v>16</v>
      </c>
      <c r="B126" s="263"/>
      <c r="C126" s="84" t="s">
        <v>259</v>
      </c>
      <c r="I126" s="151"/>
      <c r="K126" s="87"/>
    </row>
    <row r="127" spans="1:48">
      <c r="A127" s="185" t="s">
        <v>16</v>
      </c>
      <c r="B127" s="263" t="str">
        <f t="shared" ref="B127:C135" si="45">B116</f>
        <v>CNC</v>
      </c>
      <c r="C127" s="263" t="str">
        <f t="shared" si="45"/>
        <v>Commercial - Cooling</v>
      </c>
      <c r="E127" s="144">
        <f t="shared" ref="E127:E135" si="46">E116+$AX$106</f>
        <v>0.01</v>
      </c>
      <c r="I127" s="151"/>
      <c r="J127" s="154">
        <f t="shared" ref="J127:AV133" si="47">J116*(1-$E127)</f>
        <v>0.99</v>
      </c>
      <c r="K127" s="105">
        <f t="shared" si="47"/>
        <v>0.99</v>
      </c>
      <c r="L127" s="105">
        <f t="shared" si="47"/>
        <v>0.99</v>
      </c>
      <c r="M127" s="105">
        <f t="shared" si="47"/>
        <v>0.99</v>
      </c>
      <c r="N127" s="105">
        <f t="shared" si="47"/>
        <v>0.99</v>
      </c>
      <c r="O127" s="105">
        <f t="shared" si="47"/>
        <v>0.99</v>
      </c>
      <c r="P127" s="105">
        <f t="shared" si="47"/>
        <v>0.99</v>
      </c>
      <c r="Q127" s="105">
        <f t="shared" si="47"/>
        <v>0.99</v>
      </c>
      <c r="R127" s="105">
        <f t="shared" si="47"/>
        <v>0.99</v>
      </c>
      <c r="S127" s="105">
        <f t="shared" si="47"/>
        <v>0.99</v>
      </c>
      <c r="T127" s="105">
        <f t="shared" si="47"/>
        <v>0.99</v>
      </c>
      <c r="U127" s="105">
        <f t="shared" si="47"/>
        <v>0.99</v>
      </c>
      <c r="V127" s="105">
        <f t="shared" si="47"/>
        <v>0.99</v>
      </c>
      <c r="W127" s="105">
        <f t="shared" si="47"/>
        <v>0.99</v>
      </c>
      <c r="X127" s="105">
        <f t="shared" si="47"/>
        <v>0.99</v>
      </c>
      <c r="Y127" s="105">
        <f t="shared" si="47"/>
        <v>0.99</v>
      </c>
      <c r="Z127" s="105">
        <f t="shared" si="47"/>
        <v>0.99</v>
      </c>
      <c r="AA127" s="105">
        <f t="shared" si="47"/>
        <v>0.99</v>
      </c>
      <c r="AB127" s="105">
        <f t="shared" si="47"/>
        <v>0.99</v>
      </c>
      <c r="AC127" s="105">
        <f t="shared" si="47"/>
        <v>0.99</v>
      </c>
      <c r="AD127" s="105">
        <f t="shared" si="47"/>
        <v>0.99</v>
      </c>
      <c r="AE127" s="105">
        <f t="shared" si="47"/>
        <v>0.99</v>
      </c>
      <c r="AF127" s="105">
        <f t="shared" si="47"/>
        <v>0.99</v>
      </c>
      <c r="AG127" s="105">
        <f t="shared" si="47"/>
        <v>0.99</v>
      </c>
      <c r="AH127" s="105">
        <f t="shared" si="47"/>
        <v>0.99</v>
      </c>
      <c r="AI127" s="105">
        <f t="shared" si="47"/>
        <v>0.99</v>
      </c>
      <c r="AJ127" s="105">
        <f t="shared" si="47"/>
        <v>0.99</v>
      </c>
      <c r="AK127" s="105">
        <f t="shared" si="47"/>
        <v>0.99</v>
      </c>
      <c r="AL127" s="105">
        <f t="shared" si="47"/>
        <v>0.99</v>
      </c>
      <c r="AM127" s="105">
        <f t="shared" si="47"/>
        <v>0.99</v>
      </c>
      <c r="AN127" s="105">
        <f t="shared" si="47"/>
        <v>0.99</v>
      </c>
      <c r="AO127" s="105">
        <f t="shared" si="47"/>
        <v>0.99</v>
      </c>
      <c r="AP127" s="105">
        <f t="shared" si="47"/>
        <v>0.99</v>
      </c>
      <c r="AQ127" s="105">
        <f t="shared" si="47"/>
        <v>0.99</v>
      </c>
      <c r="AR127" s="105">
        <f t="shared" si="47"/>
        <v>0.99</v>
      </c>
      <c r="AS127" s="105">
        <f t="shared" si="47"/>
        <v>0.99</v>
      </c>
      <c r="AT127" s="105">
        <f t="shared" si="47"/>
        <v>0.99</v>
      </c>
      <c r="AU127" s="105">
        <f t="shared" si="47"/>
        <v>0.99</v>
      </c>
      <c r="AV127" s="105">
        <f t="shared" si="47"/>
        <v>0.99</v>
      </c>
    </row>
    <row r="128" spans="1:48">
      <c r="A128" s="185" t="s">
        <v>16</v>
      </c>
      <c r="B128" s="263" t="str">
        <f t="shared" si="45"/>
        <v>CNH</v>
      </c>
      <c r="C128" s="263" t="str">
        <f t="shared" si="45"/>
        <v>Commercial - Space Heating</v>
      </c>
      <c r="E128" s="144">
        <f t="shared" si="46"/>
        <v>0.01</v>
      </c>
      <c r="I128" s="151"/>
      <c r="J128" s="154">
        <f t="shared" si="47"/>
        <v>0.99</v>
      </c>
      <c r="K128" s="105">
        <f t="shared" si="47"/>
        <v>0.99</v>
      </c>
      <c r="L128" s="105">
        <f t="shared" si="47"/>
        <v>0.99</v>
      </c>
      <c r="M128" s="105">
        <f t="shared" si="47"/>
        <v>0.99</v>
      </c>
      <c r="N128" s="105">
        <f t="shared" si="47"/>
        <v>0.99</v>
      </c>
      <c r="O128" s="105">
        <f t="shared" si="47"/>
        <v>0.99</v>
      </c>
      <c r="P128" s="105">
        <f t="shared" si="47"/>
        <v>0.99</v>
      </c>
      <c r="Q128" s="105">
        <f t="shared" si="47"/>
        <v>0.99</v>
      </c>
      <c r="R128" s="105">
        <f t="shared" si="47"/>
        <v>0.99</v>
      </c>
      <c r="S128" s="105">
        <f t="shared" si="47"/>
        <v>0.99</v>
      </c>
      <c r="T128" s="105">
        <f t="shared" si="47"/>
        <v>0.99</v>
      </c>
      <c r="U128" s="105">
        <f t="shared" si="47"/>
        <v>0.99</v>
      </c>
      <c r="V128" s="105">
        <f t="shared" si="47"/>
        <v>0.99</v>
      </c>
      <c r="W128" s="105">
        <f t="shared" si="47"/>
        <v>0.99</v>
      </c>
      <c r="X128" s="105">
        <f t="shared" si="47"/>
        <v>0.99</v>
      </c>
      <c r="Y128" s="105">
        <f t="shared" si="47"/>
        <v>0.99</v>
      </c>
      <c r="Z128" s="105">
        <f t="shared" si="47"/>
        <v>0.99</v>
      </c>
      <c r="AA128" s="105">
        <f t="shared" si="47"/>
        <v>0.99</v>
      </c>
      <c r="AB128" s="105">
        <f t="shared" si="47"/>
        <v>0.99</v>
      </c>
      <c r="AC128" s="105">
        <f t="shared" si="47"/>
        <v>0.99</v>
      </c>
      <c r="AD128" s="105">
        <f t="shared" si="47"/>
        <v>0.99</v>
      </c>
      <c r="AE128" s="105">
        <f t="shared" si="47"/>
        <v>0.99</v>
      </c>
      <c r="AF128" s="105">
        <f t="shared" si="47"/>
        <v>0.99</v>
      </c>
      <c r="AG128" s="105">
        <f t="shared" si="47"/>
        <v>0.99</v>
      </c>
      <c r="AH128" s="105">
        <f t="shared" si="47"/>
        <v>0.99</v>
      </c>
      <c r="AI128" s="105">
        <f t="shared" si="47"/>
        <v>0.99</v>
      </c>
      <c r="AJ128" s="105">
        <f t="shared" si="47"/>
        <v>0.99</v>
      </c>
      <c r="AK128" s="105">
        <f t="shared" si="47"/>
        <v>0.99</v>
      </c>
      <c r="AL128" s="105">
        <f t="shared" si="47"/>
        <v>0.99</v>
      </c>
      <c r="AM128" s="105">
        <f t="shared" si="47"/>
        <v>0.99</v>
      </c>
      <c r="AN128" s="105">
        <f t="shared" si="47"/>
        <v>0.99</v>
      </c>
      <c r="AO128" s="105">
        <f t="shared" si="47"/>
        <v>0.99</v>
      </c>
      <c r="AP128" s="105">
        <f t="shared" si="47"/>
        <v>0.99</v>
      </c>
      <c r="AQ128" s="105">
        <f t="shared" si="47"/>
        <v>0.99</v>
      </c>
      <c r="AR128" s="105">
        <f t="shared" si="47"/>
        <v>0.99</v>
      </c>
      <c r="AS128" s="105">
        <f t="shared" si="47"/>
        <v>0.99</v>
      </c>
      <c r="AT128" s="105">
        <f t="shared" si="47"/>
        <v>0.99</v>
      </c>
      <c r="AU128" s="105">
        <f t="shared" si="47"/>
        <v>0.99</v>
      </c>
      <c r="AV128" s="105">
        <f t="shared" si="47"/>
        <v>0.99</v>
      </c>
    </row>
    <row r="129" spans="1:48">
      <c r="A129" s="185" t="s">
        <v>16</v>
      </c>
      <c r="B129" s="263" t="str">
        <f t="shared" si="45"/>
        <v>CNK</v>
      </c>
      <c r="C129" s="263" t="str">
        <f t="shared" si="45"/>
        <v>Commercial - Cooking</v>
      </c>
      <c r="E129" s="144">
        <f t="shared" si="46"/>
        <v>0.01</v>
      </c>
      <c r="I129" s="151"/>
      <c r="J129" s="154">
        <f t="shared" si="47"/>
        <v>0.99</v>
      </c>
      <c r="K129" s="105">
        <f t="shared" si="47"/>
        <v>0.99</v>
      </c>
      <c r="L129" s="105">
        <f t="shared" si="47"/>
        <v>0.99</v>
      </c>
      <c r="M129" s="105">
        <f t="shared" si="47"/>
        <v>0.99</v>
      </c>
      <c r="N129" s="105">
        <f t="shared" si="47"/>
        <v>0.99</v>
      </c>
      <c r="O129" s="105">
        <f t="shared" si="47"/>
        <v>0.99</v>
      </c>
      <c r="P129" s="105">
        <f t="shared" si="47"/>
        <v>0.99</v>
      </c>
      <c r="Q129" s="105">
        <f t="shared" si="47"/>
        <v>0.99</v>
      </c>
      <c r="R129" s="105">
        <f t="shared" si="47"/>
        <v>0.99</v>
      </c>
      <c r="S129" s="105">
        <f t="shared" si="47"/>
        <v>0.99</v>
      </c>
      <c r="T129" s="105">
        <f t="shared" si="47"/>
        <v>0.99</v>
      </c>
      <c r="U129" s="105">
        <f t="shared" si="47"/>
        <v>0.99</v>
      </c>
      <c r="V129" s="105">
        <f t="shared" si="47"/>
        <v>0.99</v>
      </c>
      <c r="W129" s="105">
        <f t="shared" si="47"/>
        <v>0.99</v>
      </c>
      <c r="X129" s="105">
        <f t="shared" si="47"/>
        <v>0.99</v>
      </c>
      <c r="Y129" s="105">
        <f t="shared" si="47"/>
        <v>0.99</v>
      </c>
      <c r="Z129" s="105">
        <f t="shared" si="47"/>
        <v>0.99</v>
      </c>
      <c r="AA129" s="105">
        <f t="shared" si="47"/>
        <v>0.99</v>
      </c>
      <c r="AB129" s="105">
        <f t="shared" si="47"/>
        <v>0.99</v>
      </c>
      <c r="AC129" s="105">
        <f t="shared" si="47"/>
        <v>0.99</v>
      </c>
      <c r="AD129" s="105">
        <f t="shared" si="47"/>
        <v>0.99</v>
      </c>
      <c r="AE129" s="105">
        <f t="shared" si="47"/>
        <v>0.99</v>
      </c>
      <c r="AF129" s="105">
        <f t="shared" si="47"/>
        <v>0.99</v>
      </c>
      <c r="AG129" s="105">
        <f t="shared" si="47"/>
        <v>0.99</v>
      </c>
      <c r="AH129" s="105">
        <f t="shared" si="47"/>
        <v>0.99</v>
      </c>
      <c r="AI129" s="105">
        <f t="shared" si="47"/>
        <v>0.99</v>
      </c>
      <c r="AJ129" s="105">
        <f t="shared" si="47"/>
        <v>0.99</v>
      </c>
      <c r="AK129" s="105">
        <f t="shared" si="47"/>
        <v>0.99</v>
      </c>
      <c r="AL129" s="105">
        <f t="shared" si="47"/>
        <v>0.99</v>
      </c>
      <c r="AM129" s="105">
        <f t="shared" si="47"/>
        <v>0.99</v>
      </c>
      <c r="AN129" s="105">
        <f t="shared" si="47"/>
        <v>0.99</v>
      </c>
      <c r="AO129" s="105">
        <f t="shared" si="47"/>
        <v>0.99</v>
      </c>
      <c r="AP129" s="105">
        <f t="shared" si="47"/>
        <v>0.99</v>
      </c>
      <c r="AQ129" s="105">
        <f t="shared" si="47"/>
        <v>0.99</v>
      </c>
      <c r="AR129" s="105">
        <f t="shared" si="47"/>
        <v>0.99</v>
      </c>
      <c r="AS129" s="105">
        <f t="shared" si="47"/>
        <v>0.99</v>
      </c>
      <c r="AT129" s="105">
        <f t="shared" si="47"/>
        <v>0.99</v>
      </c>
      <c r="AU129" s="105">
        <f t="shared" si="47"/>
        <v>0.99</v>
      </c>
      <c r="AV129" s="105">
        <f t="shared" si="47"/>
        <v>0.99</v>
      </c>
    </row>
    <row r="130" spans="1:48">
      <c r="A130" s="185" t="s">
        <v>16</v>
      </c>
      <c r="B130" s="263" t="str">
        <f t="shared" si="45"/>
        <v>CNL</v>
      </c>
      <c r="C130" s="263" t="str">
        <f t="shared" si="45"/>
        <v>Commercial - Lighting</v>
      </c>
      <c r="E130" s="144">
        <f t="shared" si="46"/>
        <v>0.01</v>
      </c>
      <c r="I130" s="151"/>
      <c r="J130" s="154">
        <f t="shared" si="47"/>
        <v>0.99</v>
      </c>
      <c r="K130" s="105">
        <f t="shared" si="47"/>
        <v>0.99</v>
      </c>
      <c r="L130" s="105">
        <f t="shared" si="47"/>
        <v>0.99</v>
      </c>
      <c r="M130" s="105">
        <f t="shared" si="47"/>
        <v>0.99</v>
      </c>
      <c r="N130" s="105">
        <f t="shared" si="47"/>
        <v>0.99</v>
      </c>
      <c r="O130" s="105">
        <f t="shared" si="47"/>
        <v>0.99</v>
      </c>
      <c r="P130" s="105">
        <f t="shared" si="47"/>
        <v>0.99</v>
      </c>
      <c r="Q130" s="105">
        <f t="shared" si="47"/>
        <v>0.99</v>
      </c>
      <c r="R130" s="105">
        <f t="shared" si="47"/>
        <v>0.99</v>
      </c>
      <c r="S130" s="105">
        <f t="shared" si="47"/>
        <v>0.99</v>
      </c>
      <c r="T130" s="105">
        <f t="shared" si="47"/>
        <v>0.99</v>
      </c>
      <c r="U130" s="105">
        <f t="shared" si="47"/>
        <v>0.99</v>
      </c>
      <c r="V130" s="105">
        <f t="shared" si="47"/>
        <v>0.99</v>
      </c>
      <c r="W130" s="105">
        <f t="shared" si="47"/>
        <v>0.99</v>
      </c>
      <c r="X130" s="105">
        <f t="shared" si="47"/>
        <v>0.99</v>
      </c>
      <c r="Y130" s="105">
        <f t="shared" si="47"/>
        <v>0.99</v>
      </c>
      <c r="Z130" s="105">
        <f t="shared" si="47"/>
        <v>0.99</v>
      </c>
      <c r="AA130" s="105">
        <f t="shared" si="47"/>
        <v>0.99</v>
      </c>
      <c r="AB130" s="105">
        <f t="shared" si="47"/>
        <v>0.99</v>
      </c>
      <c r="AC130" s="105">
        <f t="shared" si="47"/>
        <v>0.99</v>
      </c>
      <c r="AD130" s="105">
        <f t="shared" si="47"/>
        <v>0.99</v>
      </c>
      <c r="AE130" s="105">
        <f t="shared" si="47"/>
        <v>0.99</v>
      </c>
      <c r="AF130" s="105">
        <f t="shared" si="47"/>
        <v>0.99</v>
      </c>
      <c r="AG130" s="105">
        <f t="shared" si="47"/>
        <v>0.99</v>
      </c>
      <c r="AH130" s="105">
        <f t="shared" si="47"/>
        <v>0.99</v>
      </c>
      <c r="AI130" s="105">
        <f t="shared" si="47"/>
        <v>0.99</v>
      </c>
      <c r="AJ130" s="105">
        <f t="shared" si="47"/>
        <v>0.99</v>
      </c>
      <c r="AK130" s="105">
        <f t="shared" si="47"/>
        <v>0.99</v>
      </c>
      <c r="AL130" s="105">
        <f t="shared" si="47"/>
        <v>0.99</v>
      </c>
      <c r="AM130" s="105">
        <f t="shared" si="47"/>
        <v>0.99</v>
      </c>
      <c r="AN130" s="105">
        <f t="shared" si="47"/>
        <v>0.99</v>
      </c>
      <c r="AO130" s="105">
        <f t="shared" si="47"/>
        <v>0.99</v>
      </c>
      <c r="AP130" s="105">
        <f t="shared" si="47"/>
        <v>0.99</v>
      </c>
      <c r="AQ130" s="105">
        <f t="shared" si="47"/>
        <v>0.99</v>
      </c>
      <c r="AR130" s="105">
        <f t="shared" si="47"/>
        <v>0.99</v>
      </c>
      <c r="AS130" s="105">
        <f t="shared" si="47"/>
        <v>0.99</v>
      </c>
      <c r="AT130" s="105">
        <f t="shared" si="47"/>
        <v>0.99</v>
      </c>
      <c r="AU130" s="105">
        <f t="shared" si="47"/>
        <v>0.99</v>
      </c>
      <c r="AV130" s="105">
        <f t="shared" si="47"/>
        <v>0.99</v>
      </c>
    </row>
    <row r="131" spans="1:48">
      <c r="A131" s="185" t="s">
        <v>16</v>
      </c>
      <c r="B131" s="263" t="str">
        <f t="shared" si="45"/>
        <v>CNR</v>
      </c>
      <c r="C131" s="263" t="str">
        <f t="shared" si="45"/>
        <v>Commercial - Refrigeration</v>
      </c>
      <c r="E131" s="144">
        <f t="shared" si="46"/>
        <v>0.01</v>
      </c>
      <c r="H131" s="263"/>
      <c r="I131" s="151"/>
      <c r="J131" s="154">
        <f t="shared" si="47"/>
        <v>0.99</v>
      </c>
      <c r="K131" s="105">
        <f t="shared" si="47"/>
        <v>0.99</v>
      </c>
      <c r="L131" s="105">
        <f t="shared" si="47"/>
        <v>0.99</v>
      </c>
      <c r="M131" s="105">
        <f t="shared" si="47"/>
        <v>0.99</v>
      </c>
      <c r="N131" s="105">
        <f>N120*(1-$E131)</f>
        <v>0.99</v>
      </c>
      <c r="O131" s="105">
        <f t="shared" si="47"/>
        <v>0.99</v>
      </c>
      <c r="P131" s="105">
        <f t="shared" si="47"/>
        <v>0.99</v>
      </c>
      <c r="Q131" s="105">
        <f t="shared" si="47"/>
        <v>0.99</v>
      </c>
      <c r="R131" s="105">
        <f t="shared" si="47"/>
        <v>0.99</v>
      </c>
      <c r="S131" s="105">
        <f t="shared" si="47"/>
        <v>0.99</v>
      </c>
      <c r="T131" s="105">
        <f t="shared" si="47"/>
        <v>0.99</v>
      </c>
      <c r="U131" s="105">
        <f t="shared" si="47"/>
        <v>0.99</v>
      </c>
      <c r="V131" s="105">
        <f t="shared" si="47"/>
        <v>0.99</v>
      </c>
      <c r="W131" s="105">
        <f t="shared" si="47"/>
        <v>0.99</v>
      </c>
      <c r="X131" s="105">
        <f t="shared" si="47"/>
        <v>0.99</v>
      </c>
      <c r="Y131" s="105">
        <f t="shared" si="47"/>
        <v>0.99</v>
      </c>
      <c r="Z131" s="105">
        <f t="shared" si="47"/>
        <v>0.99</v>
      </c>
      <c r="AA131" s="105">
        <f t="shared" si="47"/>
        <v>0.99</v>
      </c>
      <c r="AB131" s="105">
        <f t="shared" si="47"/>
        <v>0.99</v>
      </c>
      <c r="AC131" s="105">
        <f t="shared" si="47"/>
        <v>0.99</v>
      </c>
      <c r="AD131" s="105">
        <f t="shared" si="47"/>
        <v>0.99</v>
      </c>
      <c r="AE131" s="105">
        <f t="shared" si="47"/>
        <v>0.99</v>
      </c>
      <c r="AF131" s="105">
        <f t="shared" si="47"/>
        <v>0.99</v>
      </c>
      <c r="AG131" s="105">
        <f t="shared" si="47"/>
        <v>0.99</v>
      </c>
      <c r="AH131" s="105">
        <f t="shared" si="47"/>
        <v>0.99</v>
      </c>
      <c r="AI131" s="105">
        <f t="shared" si="47"/>
        <v>0.99</v>
      </c>
      <c r="AJ131" s="105">
        <f t="shared" si="47"/>
        <v>0.99</v>
      </c>
      <c r="AK131" s="105">
        <f t="shared" si="47"/>
        <v>0.99</v>
      </c>
      <c r="AL131" s="105">
        <f t="shared" si="47"/>
        <v>0.99</v>
      </c>
      <c r="AM131" s="105">
        <f t="shared" si="47"/>
        <v>0.99</v>
      </c>
      <c r="AN131" s="105">
        <f t="shared" si="47"/>
        <v>0.99</v>
      </c>
      <c r="AO131" s="105">
        <f t="shared" si="47"/>
        <v>0.99</v>
      </c>
      <c r="AP131" s="105">
        <f t="shared" si="47"/>
        <v>0.99</v>
      </c>
      <c r="AQ131" s="105">
        <f t="shared" si="47"/>
        <v>0.99</v>
      </c>
      <c r="AR131" s="105">
        <f t="shared" si="47"/>
        <v>0.99</v>
      </c>
      <c r="AS131" s="105">
        <f t="shared" si="47"/>
        <v>0.99</v>
      </c>
      <c r="AT131" s="105">
        <f t="shared" si="47"/>
        <v>0.99</v>
      </c>
      <c r="AU131" s="105">
        <f t="shared" si="47"/>
        <v>0.99</v>
      </c>
      <c r="AV131" s="105">
        <f t="shared" si="47"/>
        <v>0.99</v>
      </c>
    </row>
    <row r="132" spans="1:48">
      <c r="A132" s="185" t="s">
        <v>16</v>
      </c>
      <c r="B132" s="263" t="str">
        <f t="shared" si="45"/>
        <v>CNW</v>
      </c>
      <c r="C132" s="263" t="str">
        <f t="shared" si="45"/>
        <v>Commercial - Water Heating</v>
      </c>
      <c r="E132" s="144">
        <f t="shared" si="46"/>
        <v>0.01</v>
      </c>
      <c r="I132" s="151"/>
      <c r="J132" s="154">
        <f t="shared" si="47"/>
        <v>0.99</v>
      </c>
      <c r="K132" s="105">
        <f t="shared" si="47"/>
        <v>0.99</v>
      </c>
      <c r="L132" s="105">
        <f t="shared" si="47"/>
        <v>0.99</v>
      </c>
      <c r="M132" s="105">
        <f t="shared" si="47"/>
        <v>0.99</v>
      </c>
      <c r="N132" s="105">
        <f t="shared" si="47"/>
        <v>0.99</v>
      </c>
      <c r="O132" s="105">
        <f t="shared" si="47"/>
        <v>0.99</v>
      </c>
      <c r="P132" s="105">
        <f t="shared" si="47"/>
        <v>0.99</v>
      </c>
      <c r="Q132" s="105">
        <f t="shared" si="47"/>
        <v>0.99</v>
      </c>
      <c r="R132" s="105">
        <f t="shared" si="47"/>
        <v>0.99</v>
      </c>
      <c r="S132" s="105">
        <f t="shared" si="47"/>
        <v>0.99</v>
      </c>
      <c r="T132" s="105">
        <f t="shared" si="47"/>
        <v>0.99</v>
      </c>
      <c r="U132" s="105">
        <f t="shared" si="47"/>
        <v>0.99</v>
      </c>
      <c r="V132" s="105">
        <f t="shared" si="47"/>
        <v>0.99</v>
      </c>
      <c r="W132" s="105">
        <f t="shared" si="47"/>
        <v>0.99</v>
      </c>
      <c r="X132" s="105">
        <f t="shared" si="47"/>
        <v>0.99</v>
      </c>
      <c r="Y132" s="105">
        <f t="shared" si="47"/>
        <v>0.99</v>
      </c>
      <c r="Z132" s="105">
        <f t="shared" si="47"/>
        <v>0.99</v>
      </c>
      <c r="AA132" s="105">
        <f t="shared" si="47"/>
        <v>0.99</v>
      </c>
      <c r="AB132" s="105">
        <f t="shared" si="47"/>
        <v>0.99</v>
      </c>
      <c r="AC132" s="105">
        <f t="shared" si="47"/>
        <v>0.99</v>
      </c>
      <c r="AD132" s="105">
        <f t="shared" si="47"/>
        <v>0.99</v>
      </c>
      <c r="AE132" s="105">
        <f t="shared" si="47"/>
        <v>0.99</v>
      </c>
      <c r="AF132" s="105">
        <f t="shared" si="47"/>
        <v>0.99</v>
      </c>
      <c r="AG132" s="105">
        <f t="shared" si="47"/>
        <v>0.99</v>
      </c>
      <c r="AH132" s="105">
        <f t="shared" si="47"/>
        <v>0.99</v>
      </c>
      <c r="AI132" s="105">
        <f t="shared" si="47"/>
        <v>0.99</v>
      </c>
      <c r="AJ132" s="105">
        <f t="shared" si="47"/>
        <v>0.99</v>
      </c>
      <c r="AK132" s="105">
        <f t="shared" si="47"/>
        <v>0.99</v>
      </c>
      <c r="AL132" s="105">
        <f t="shared" si="47"/>
        <v>0.99</v>
      </c>
      <c r="AM132" s="105">
        <f t="shared" si="47"/>
        <v>0.99</v>
      </c>
      <c r="AN132" s="105">
        <f t="shared" si="47"/>
        <v>0.99</v>
      </c>
      <c r="AO132" s="105">
        <f t="shared" si="47"/>
        <v>0.99</v>
      </c>
      <c r="AP132" s="105">
        <f t="shared" si="47"/>
        <v>0.99</v>
      </c>
      <c r="AQ132" s="105">
        <f t="shared" si="47"/>
        <v>0.99</v>
      </c>
      <c r="AR132" s="105">
        <f t="shared" si="47"/>
        <v>0.99</v>
      </c>
      <c r="AS132" s="105">
        <f t="shared" si="47"/>
        <v>0.99</v>
      </c>
      <c r="AT132" s="105">
        <f t="shared" si="47"/>
        <v>0.99</v>
      </c>
      <c r="AU132" s="105">
        <f t="shared" si="47"/>
        <v>0.99</v>
      </c>
      <c r="AV132" s="105">
        <f t="shared" si="47"/>
        <v>0.99</v>
      </c>
    </row>
    <row r="133" spans="1:48">
      <c r="A133" s="185" t="s">
        <v>16</v>
      </c>
      <c r="B133" s="263" t="str">
        <f t="shared" si="45"/>
        <v>CNG</v>
      </c>
      <c r="C133" s="263" t="str">
        <f t="shared" si="45"/>
        <v>Commercial - Public lights</v>
      </c>
      <c r="E133" s="144">
        <f t="shared" si="46"/>
        <v>0.01</v>
      </c>
      <c r="I133" s="151"/>
      <c r="J133" s="154">
        <f t="shared" si="47"/>
        <v>0.99</v>
      </c>
      <c r="K133" s="105">
        <f t="shared" si="47"/>
        <v>0.99</v>
      </c>
      <c r="L133" s="105">
        <f t="shared" si="47"/>
        <v>0.99</v>
      </c>
      <c r="M133" s="105">
        <f t="shared" si="47"/>
        <v>0.99</v>
      </c>
      <c r="N133" s="105">
        <f t="shared" si="47"/>
        <v>0.99</v>
      </c>
      <c r="O133" s="105">
        <f t="shared" si="47"/>
        <v>0.99</v>
      </c>
      <c r="P133" s="105">
        <f t="shared" si="47"/>
        <v>0.99</v>
      </c>
      <c r="Q133" s="105">
        <f t="shared" si="47"/>
        <v>0.99</v>
      </c>
      <c r="R133" s="105">
        <f t="shared" si="47"/>
        <v>0.99</v>
      </c>
      <c r="S133" s="105">
        <f t="shared" si="47"/>
        <v>0.99</v>
      </c>
      <c r="T133" s="105">
        <f t="shared" si="47"/>
        <v>0.99</v>
      </c>
      <c r="U133" s="105">
        <f t="shared" si="47"/>
        <v>0.99</v>
      </c>
      <c r="V133" s="105">
        <f t="shared" si="47"/>
        <v>0.99</v>
      </c>
      <c r="W133" s="105">
        <f t="shared" si="47"/>
        <v>0.99</v>
      </c>
      <c r="X133" s="105">
        <f t="shared" si="47"/>
        <v>0.99</v>
      </c>
      <c r="Y133" s="105">
        <f t="shared" si="47"/>
        <v>0.99</v>
      </c>
      <c r="Z133" s="105">
        <f t="shared" si="47"/>
        <v>0.99</v>
      </c>
      <c r="AA133" s="105">
        <f t="shared" si="47"/>
        <v>0.99</v>
      </c>
      <c r="AB133" s="105">
        <f t="shared" si="47"/>
        <v>0.99</v>
      </c>
      <c r="AC133" s="105">
        <f t="shared" si="47"/>
        <v>0.99</v>
      </c>
      <c r="AD133" s="105">
        <f t="shared" si="47"/>
        <v>0.99</v>
      </c>
      <c r="AE133" s="105">
        <f t="shared" si="47"/>
        <v>0.99</v>
      </c>
      <c r="AF133" s="105">
        <f t="shared" ref="AF133:AV135" si="48">AF122*(1-$E133)</f>
        <v>0.99</v>
      </c>
      <c r="AG133" s="105">
        <f t="shared" si="48"/>
        <v>0.99</v>
      </c>
      <c r="AH133" s="105">
        <f t="shared" si="48"/>
        <v>0.99</v>
      </c>
      <c r="AI133" s="105">
        <f t="shared" si="48"/>
        <v>0.99</v>
      </c>
      <c r="AJ133" s="105">
        <f t="shared" si="48"/>
        <v>0.99</v>
      </c>
      <c r="AK133" s="105">
        <f t="shared" si="48"/>
        <v>0.99</v>
      </c>
      <c r="AL133" s="105">
        <f t="shared" si="48"/>
        <v>0.99</v>
      </c>
      <c r="AM133" s="105">
        <f t="shared" si="48"/>
        <v>0.99</v>
      </c>
      <c r="AN133" s="105">
        <f t="shared" si="48"/>
        <v>0.99</v>
      </c>
      <c r="AO133" s="105">
        <f t="shared" si="48"/>
        <v>0.99</v>
      </c>
      <c r="AP133" s="105">
        <f t="shared" si="48"/>
        <v>0.99</v>
      </c>
      <c r="AQ133" s="105">
        <f t="shared" si="48"/>
        <v>0.99</v>
      </c>
      <c r="AR133" s="105">
        <f t="shared" si="48"/>
        <v>0.99</v>
      </c>
      <c r="AS133" s="105">
        <f t="shared" si="48"/>
        <v>0.99</v>
      </c>
      <c r="AT133" s="105">
        <f t="shared" si="48"/>
        <v>0.99</v>
      </c>
      <c r="AU133" s="105">
        <f t="shared" si="48"/>
        <v>0.99</v>
      </c>
      <c r="AV133" s="105">
        <f t="shared" si="48"/>
        <v>0.99</v>
      </c>
    </row>
    <row r="134" spans="1:48">
      <c r="A134" s="185" t="s">
        <v>16</v>
      </c>
      <c r="B134" s="263" t="str">
        <f t="shared" si="45"/>
        <v>CNT</v>
      </c>
      <c r="C134" s="263" t="str">
        <f t="shared" si="45"/>
        <v>Commercial - Public Water</v>
      </c>
      <c r="E134" s="144">
        <f t="shared" si="46"/>
        <v>0.01</v>
      </c>
      <c r="I134" s="151"/>
      <c r="J134" s="154">
        <f t="shared" ref="J134:AV135" si="49">J123*(1-$E134)</f>
        <v>0.99</v>
      </c>
      <c r="K134" s="105">
        <f t="shared" si="49"/>
        <v>0.99</v>
      </c>
      <c r="L134" s="105">
        <f t="shared" si="49"/>
        <v>0.99</v>
      </c>
      <c r="M134" s="105">
        <f t="shared" si="49"/>
        <v>0.99</v>
      </c>
      <c r="N134" s="105">
        <f t="shared" si="49"/>
        <v>0.99</v>
      </c>
      <c r="O134" s="105">
        <f t="shared" si="49"/>
        <v>0.99</v>
      </c>
      <c r="P134" s="105">
        <f t="shared" si="49"/>
        <v>0.99</v>
      </c>
      <c r="Q134" s="105">
        <f t="shared" si="49"/>
        <v>0.99</v>
      </c>
      <c r="R134" s="105">
        <f t="shared" si="49"/>
        <v>0.99</v>
      </c>
      <c r="S134" s="105">
        <f t="shared" si="49"/>
        <v>0.99</v>
      </c>
      <c r="T134" s="105">
        <f t="shared" si="49"/>
        <v>0.99</v>
      </c>
      <c r="U134" s="105">
        <f t="shared" si="49"/>
        <v>0.99</v>
      </c>
      <c r="V134" s="105">
        <f t="shared" si="49"/>
        <v>0.99</v>
      </c>
      <c r="W134" s="105">
        <f t="shared" si="49"/>
        <v>0.99</v>
      </c>
      <c r="X134" s="105">
        <f t="shared" si="49"/>
        <v>0.99</v>
      </c>
      <c r="Y134" s="105">
        <f t="shared" si="49"/>
        <v>0.99</v>
      </c>
      <c r="Z134" s="105">
        <f t="shared" si="49"/>
        <v>0.99</v>
      </c>
      <c r="AA134" s="105">
        <f t="shared" si="49"/>
        <v>0.99</v>
      </c>
      <c r="AB134" s="105">
        <f t="shared" si="49"/>
        <v>0.99</v>
      </c>
      <c r="AC134" s="105">
        <f t="shared" si="49"/>
        <v>0.99</v>
      </c>
      <c r="AD134" s="105">
        <f t="shared" si="49"/>
        <v>0.99</v>
      </c>
      <c r="AE134" s="105">
        <f t="shared" si="49"/>
        <v>0.99</v>
      </c>
      <c r="AF134" s="105">
        <f t="shared" si="49"/>
        <v>0.99</v>
      </c>
      <c r="AG134" s="105">
        <f t="shared" si="49"/>
        <v>0.99</v>
      </c>
      <c r="AH134" s="105">
        <f t="shared" si="49"/>
        <v>0.99</v>
      </c>
      <c r="AI134" s="105">
        <f t="shared" si="48"/>
        <v>0.99</v>
      </c>
      <c r="AJ134" s="105">
        <f t="shared" si="48"/>
        <v>0.99</v>
      </c>
      <c r="AK134" s="105">
        <f t="shared" si="48"/>
        <v>0.99</v>
      </c>
      <c r="AL134" s="105">
        <f t="shared" si="48"/>
        <v>0.99</v>
      </c>
      <c r="AM134" s="105">
        <f t="shared" si="48"/>
        <v>0.99</v>
      </c>
      <c r="AN134" s="105">
        <f t="shared" si="48"/>
        <v>0.99</v>
      </c>
      <c r="AO134" s="105">
        <f t="shared" si="48"/>
        <v>0.99</v>
      </c>
      <c r="AP134" s="105">
        <f t="shared" si="48"/>
        <v>0.99</v>
      </c>
      <c r="AQ134" s="105">
        <f t="shared" si="48"/>
        <v>0.99</v>
      </c>
      <c r="AR134" s="105">
        <f t="shared" si="48"/>
        <v>0.99</v>
      </c>
      <c r="AS134" s="105">
        <f t="shared" si="49"/>
        <v>0.99</v>
      </c>
      <c r="AT134" s="105">
        <f t="shared" si="49"/>
        <v>0.99</v>
      </c>
      <c r="AU134" s="105">
        <f t="shared" si="49"/>
        <v>0.99</v>
      </c>
      <c r="AV134" s="105">
        <f t="shared" si="49"/>
        <v>0.99</v>
      </c>
    </row>
    <row r="135" spans="1:48">
      <c r="A135" s="185" t="s">
        <v>16</v>
      </c>
      <c r="B135" s="263" t="str">
        <f t="shared" si="45"/>
        <v>CNO</v>
      </c>
      <c r="C135" s="263" t="str">
        <f t="shared" si="45"/>
        <v>Commercial - Other</v>
      </c>
      <c r="E135" s="144">
        <f t="shared" si="46"/>
        <v>0.01</v>
      </c>
      <c r="I135" s="151"/>
      <c r="J135" s="154">
        <f t="shared" si="49"/>
        <v>0.99</v>
      </c>
      <c r="K135" s="105">
        <f t="shared" si="49"/>
        <v>0.99</v>
      </c>
      <c r="L135" s="105">
        <f t="shared" si="49"/>
        <v>0.99</v>
      </c>
      <c r="M135" s="105">
        <f t="shared" si="49"/>
        <v>0.99</v>
      </c>
      <c r="N135" s="105">
        <f t="shared" si="49"/>
        <v>0.99</v>
      </c>
      <c r="O135" s="105">
        <f t="shared" si="49"/>
        <v>0.99</v>
      </c>
      <c r="P135" s="105">
        <f t="shared" si="49"/>
        <v>0.99</v>
      </c>
      <c r="Q135" s="105">
        <f t="shared" si="49"/>
        <v>0.99</v>
      </c>
      <c r="R135" s="105">
        <f t="shared" si="49"/>
        <v>0.99</v>
      </c>
      <c r="S135" s="105">
        <f t="shared" si="49"/>
        <v>0.99</v>
      </c>
      <c r="T135" s="105">
        <f t="shared" si="49"/>
        <v>0.99</v>
      </c>
      <c r="U135" s="105">
        <f t="shared" si="49"/>
        <v>0.99</v>
      </c>
      <c r="V135" s="105">
        <f t="shared" si="49"/>
        <v>0.99</v>
      </c>
      <c r="W135" s="105">
        <f t="shared" si="49"/>
        <v>0.99</v>
      </c>
      <c r="X135" s="105">
        <f t="shared" si="49"/>
        <v>0.99</v>
      </c>
      <c r="Y135" s="105">
        <f t="shared" si="49"/>
        <v>0.99</v>
      </c>
      <c r="Z135" s="105">
        <f t="shared" si="49"/>
        <v>0.99</v>
      </c>
      <c r="AA135" s="105">
        <f t="shared" si="49"/>
        <v>0.99</v>
      </c>
      <c r="AB135" s="105">
        <f t="shared" si="49"/>
        <v>0.99</v>
      </c>
      <c r="AC135" s="105">
        <f t="shared" si="49"/>
        <v>0.99</v>
      </c>
      <c r="AD135" s="105">
        <f t="shared" si="49"/>
        <v>0.99</v>
      </c>
      <c r="AE135" s="105">
        <f t="shared" si="49"/>
        <v>0.99</v>
      </c>
      <c r="AF135" s="105">
        <f t="shared" si="49"/>
        <v>0.99</v>
      </c>
      <c r="AG135" s="105">
        <f t="shared" si="49"/>
        <v>0.99</v>
      </c>
      <c r="AH135" s="105">
        <f t="shared" si="49"/>
        <v>0.99</v>
      </c>
      <c r="AI135" s="105">
        <f t="shared" si="48"/>
        <v>0.99</v>
      </c>
      <c r="AJ135" s="105">
        <f t="shared" si="48"/>
        <v>0.99</v>
      </c>
      <c r="AK135" s="105">
        <f t="shared" si="48"/>
        <v>0.99</v>
      </c>
      <c r="AL135" s="105">
        <f t="shared" si="48"/>
        <v>0.99</v>
      </c>
      <c r="AM135" s="105">
        <f t="shared" si="48"/>
        <v>0.99</v>
      </c>
      <c r="AN135" s="105">
        <f t="shared" si="48"/>
        <v>0.99</v>
      </c>
      <c r="AO135" s="105">
        <f t="shared" si="48"/>
        <v>0.99</v>
      </c>
      <c r="AP135" s="105">
        <f t="shared" si="48"/>
        <v>0.99</v>
      </c>
      <c r="AQ135" s="105">
        <f t="shared" si="48"/>
        <v>0.99</v>
      </c>
      <c r="AR135" s="105">
        <f t="shared" si="48"/>
        <v>0.99</v>
      </c>
      <c r="AS135" s="105">
        <f t="shared" si="49"/>
        <v>0.99</v>
      </c>
      <c r="AT135" s="105">
        <f t="shared" si="49"/>
        <v>0.99</v>
      </c>
      <c r="AU135" s="105">
        <f t="shared" si="49"/>
        <v>0.99</v>
      </c>
      <c r="AV135" s="105">
        <f t="shared" si="49"/>
        <v>0.99</v>
      </c>
    </row>
    <row r="136" spans="1:48">
      <c r="A136" s="185" t="s">
        <v>16</v>
      </c>
      <c r="B136" s="263"/>
      <c r="C136" s="263"/>
      <c r="I136" s="151"/>
      <c r="K136" s="87"/>
    </row>
    <row r="137" spans="1:48" ht="15.75" thickBot="1">
      <c r="A137" s="185" t="s">
        <v>16</v>
      </c>
      <c r="B137" s="263"/>
      <c r="C137" s="84" t="s">
        <v>260</v>
      </c>
      <c r="I137" s="151"/>
      <c r="K137" s="87"/>
    </row>
    <row r="138" spans="1:48">
      <c r="A138" s="185" t="s">
        <v>16</v>
      </c>
      <c r="B138" s="263" t="str">
        <f t="shared" ref="B138:C146" si="50">B127</f>
        <v>CNC</v>
      </c>
      <c r="C138" s="263" t="str">
        <f t="shared" si="50"/>
        <v>Commercial - Cooling</v>
      </c>
      <c r="E138" s="144">
        <f t="shared" ref="E138:E146" si="51">E127+$AX$106</f>
        <v>0.02</v>
      </c>
      <c r="I138" s="151"/>
      <c r="J138" s="154">
        <f t="shared" ref="J138:AV144" si="52">J127*(1-$E138)</f>
        <v>0.97019999999999995</v>
      </c>
      <c r="K138" s="105">
        <f t="shared" si="52"/>
        <v>0.97019999999999995</v>
      </c>
      <c r="L138" s="105">
        <f t="shared" si="52"/>
        <v>0.97019999999999995</v>
      </c>
      <c r="M138" s="105">
        <f t="shared" si="52"/>
        <v>0.97019999999999995</v>
      </c>
      <c r="N138" s="105">
        <f t="shared" si="52"/>
        <v>0.97019999999999995</v>
      </c>
      <c r="O138" s="105">
        <f t="shared" si="52"/>
        <v>0.97019999999999995</v>
      </c>
      <c r="P138" s="105">
        <f t="shared" si="52"/>
        <v>0.97019999999999995</v>
      </c>
      <c r="Q138" s="105">
        <f t="shared" si="52"/>
        <v>0.97019999999999995</v>
      </c>
      <c r="R138" s="105">
        <f t="shared" si="52"/>
        <v>0.97019999999999995</v>
      </c>
      <c r="S138" s="105">
        <f t="shared" si="52"/>
        <v>0.97019999999999995</v>
      </c>
      <c r="T138" s="105">
        <f t="shared" si="52"/>
        <v>0.97019999999999995</v>
      </c>
      <c r="U138" s="105">
        <f t="shared" si="52"/>
        <v>0.97019999999999995</v>
      </c>
      <c r="V138" s="105">
        <f t="shared" si="52"/>
        <v>0.97019999999999995</v>
      </c>
      <c r="W138" s="105">
        <f t="shared" si="52"/>
        <v>0.97019999999999995</v>
      </c>
      <c r="X138" s="105">
        <f t="shared" si="52"/>
        <v>0.97019999999999995</v>
      </c>
      <c r="Y138" s="105">
        <f t="shared" si="52"/>
        <v>0.97019999999999995</v>
      </c>
      <c r="Z138" s="105">
        <f t="shared" si="52"/>
        <v>0.97019999999999995</v>
      </c>
      <c r="AA138" s="105">
        <f t="shared" si="52"/>
        <v>0.97019999999999995</v>
      </c>
      <c r="AB138" s="105">
        <f t="shared" si="52"/>
        <v>0.97019999999999995</v>
      </c>
      <c r="AC138" s="105">
        <f t="shared" si="52"/>
        <v>0.97019999999999995</v>
      </c>
      <c r="AD138" s="105">
        <f t="shared" si="52"/>
        <v>0.97019999999999995</v>
      </c>
      <c r="AE138" s="105">
        <f t="shared" si="52"/>
        <v>0.97019999999999995</v>
      </c>
      <c r="AF138" s="105">
        <f t="shared" si="52"/>
        <v>0.97019999999999995</v>
      </c>
      <c r="AG138" s="105">
        <f t="shared" si="52"/>
        <v>0.97019999999999995</v>
      </c>
      <c r="AH138" s="105">
        <f t="shared" si="52"/>
        <v>0.97019999999999995</v>
      </c>
      <c r="AI138" s="105">
        <f t="shared" si="52"/>
        <v>0.97019999999999995</v>
      </c>
      <c r="AJ138" s="105">
        <f t="shared" si="52"/>
        <v>0.97019999999999995</v>
      </c>
      <c r="AK138" s="105">
        <f t="shared" si="52"/>
        <v>0.97019999999999995</v>
      </c>
      <c r="AL138" s="105">
        <f t="shared" si="52"/>
        <v>0.97019999999999995</v>
      </c>
      <c r="AM138" s="105">
        <f t="shared" si="52"/>
        <v>0.97019999999999995</v>
      </c>
      <c r="AN138" s="105">
        <f t="shared" si="52"/>
        <v>0.97019999999999995</v>
      </c>
      <c r="AO138" s="105">
        <f t="shared" si="52"/>
        <v>0.97019999999999995</v>
      </c>
      <c r="AP138" s="105">
        <f t="shared" si="52"/>
        <v>0.97019999999999995</v>
      </c>
      <c r="AQ138" s="105">
        <f t="shared" si="52"/>
        <v>0.97019999999999995</v>
      </c>
      <c r="AR138" s="105">
        <f t="shared" si="52"/>
        <v>0.97019999999999995</v>
      </c>
      <c r="AS138" s="105">
        <f t="shared" si="52"/>
        <v>0.97019999999999995</v>
      </c>
      <c r="AT138" s="105">
        <f t="shared" si="52"/>
        <v>0.97019999999999995</v>
      </c>
      <c r="AU138" s="105">
        <f t="shared" si="52"/>
        <v>0.97019999999999995</v>
      </c>
      <c r="AV138" s="105">
        <f t="shared" si="52"/>
        <v>0.97019999999999995</v>
      </c>
    </row>
    <row r="139" spans="1:48">
      <c r="A139" s="185" t="s">
        <v>16</v>
      </c>
      <c r="B139" s="263" t="str">
        <f t="shared" si="50"/>
        <v>CNH</v>
      </c>
      <c r="C139" s="263" t="str">
        <f t="shared" si="50"/>
        <v>Commercial - Space Heating</v>
      </c>
      <c r="E139" s="144">
        <f t="shared" si="51"/>
        <v>0.02</v>
      </c>
      <c r="I139" s="151"/>
      <c r="J139" s="154">
        <f t="shared" si="52"/>
        <v>0.97019999999999995</v>
      </c>
      <c r="K139" s="105">
        <f t="shared" si="52"/>
        <v>0.97019999999999995</v>
      </c>
      <c r="L139" s="105">
        <f t="shared" si="52"/>
        <v>0.97019999999999995</v>
      </c>
      <c r="M139" s="105">
        <f t="shared" si="52"/>
        <v>0.97019999999999995</v>
      </c>
      <c r="N139" s="105">
        <f t="shared" si="52"/>
        <v>0.97019999999999995</v>
      </c>
      <c r="O139" s="105">
        <f t="shared" si="52"/>
        <v>0.97019999999999995</v>
      </c>
      <c r="P139" s="105">
        <f t="shared" si="52"/>
        <v>0.97019999999999995</v>
      </c>
      <c r="Q139" s="105">
        <f t="shared" si="52"/>
        <v>0.97019999999999995</v>
      </c>
      <c r="R139" s="105">
        <f t="shared" si="52"/>
        <v>0.97019999999999995</v>
      </c>
      <c r="S139" s="105">
        <f t="shared" si="52"/>
        <v>0.97019999999999995</v>
      </c>
      <c r="T139" s="105">
        <f t="shared" si="52"/>
        <v>0.97019999999999995</v>
      </c>
      <c r="U139" s="105">
        <f t="shared" si="52"/>
        <v>0.97019999999999995</v>
      </c>
      <c r="V139" s="105">
        <f t="shared" si="52"/>
        <v>0.97019999999999995</v>
      </c>
      <c r="W139" s="105">
        <f t="shared" si="52"/>
        <v>0.97019999999999995</v>
      </c>
      <c r="X139" s="105">
        <f t="shared" si="52"/>
        <v>0.97019999999999995</v>
      </c>
      <c r="Y139" s="105">
        <f t="shared" si="52"/>
        <v>0.97019999999999995</v>
      </c>
      <c r="Z139" s="105">
        <f t="shared" si="52"/>
        <v>0.97019999999999995</v>
      </c>
      <c r="AA139" s="105">
        <f t="shared" si="52"/>
        <v>0.97019999999999995</v>
      </c>
      <c r="AB139" s="105">
        <f t="shared" si="52"/>
        <v>0.97019999999999995</v>
      </c>
      <c r="AC139" s="105">
        <f t="shared" si="52"/>
        <v>0.97019999999999995</v>
      </c>
      <c r="AD139" s="105">
        <f t="shared" si="52"/>
        <v>0.97019999999999995</v>
      </c>
      <c r="AE139" s="105">
        <f t="shared" si="52"/>
        <v>0.97019999999999995</v>
      </c>
      <c r="AF139" s="105">
        <f t="shared" si="52"/>
        <v>0.97019999999999995</v>
      </c>
      <c r="AG139" s="105">
        <f t="shared" si="52"/>
        <v>0.97019999999999995</v>
      </c>
      <c r="AH139" s="105">
        <f t="shared" si="52"/>
        <v>0.97019999999999995</v>
      </c>
      <c r="AI139" s="105">
        <f t="shared" si="52"/>
        <v>0.97019999999999995</v>
      </c>
      <c r="AJ139" s="105">
        <f t="shared" si="52"/>
        <v>0.97019999999999995</v>
      </c>
      <c r="AK139" s="105">
        <f t="shared" si="52"/>
        <v>0.97019999999999995</v>
      </c>
      <c r="AL139" s="105">
        <f t="shared" si="52"/>
        <v>0.97019999999999995</v>
      </c>
      <c r="AM139" s="105">
        <f t="shared" si="52"/>
        <v>0.97019999999999995</v>
      </c>
      <c r="AN139" s="105">
        <f t="shared" si="52"/>
        <v>0.97019999999999995</v>
      </c>
      <c r="AO139" s="105">
        <f t="shared" si="52"/>
        <v>0.97019999999999995</v>
      </c>
      <c r="AP139" s="105">
        <f t="shared" si="52"/>
        <v>0.97019999999999995</v>
      </c>
      <c r="AQ139" s="105">
        <f t="shared" si="52"/>
        <v>0.97019999999999995</v>
      </c>
      <c r="AR139" s="105">
        <f t="shared" si="52"/>
        <v>0.97019999999999995</v>
      </c>
      <c r="AS139" s="105">
        <f t="shared" si="52"/>
        <v>0.97019999999999995</v>
      </c>
      <c r="AT139" s="105">
        <f t="shared" si="52"/>
        <v>0.97019999999999995</v>
      </c>
      <c r="AU139" s="105">
        <f t="shared" si="52"/>
        <v>0.97019999999999995</v>
      </c>
      <c r="AV139" s="105">
        <f t="shared" si="52"/>
        <v>0.97019999999999995</v>
      </c>
    </row>
    <row r="140" spans="1:48">
      <c r="A140" s="185" t="s">
        <v>16</v>
      </c>
      <c r="B140" s="263" t="str">
        <f t="shared" si="50"/>
        <v>CNK</v>
      </c>
      <c r="C140" s="263" t="str">
        <f t="shared" si="50"/>
        <v>Commercial - Cooking</v>
      </c>
      <c r="E140" s="144">
        <f t="shared" si="51"/>
        <v>0.02</v>
      </c>
      <c r="I140" s="151"/>
      <c r="J140" s="154">
        <f t="shared" si="52"/>
        <v>0.97019999999999995</v>
      </c>
      <c r="K140" s="105">
        <f t="shared" si="52"/>
        <v>0.97019999999999995</v>
      </c>
      <c r="L140" s="105">
        <f t="shared" si="52"/>
        <v>0.97019999999999995</v>
      </c>
      <c r="M140" s="105">
        <f t="shared" si="52"/>
        <v>0.97019999999999995</v>
      </c>
      <c r="N140" s="105">
        <f t="shared" si="52"/>
        <v>0.97019999999999995</v>
      </c>
      <c r="O140" s="105">
        <f t="shared" si="52"/>
        <v>0.97019999999999995</v>
      </c>
      <c r="P140" s="105">
        <f t="shared" si="52"/>
        <v>0.97019999999999995</v>
      </c>
      <c r="Q140" s="105">
        <f t="shared" si="52"/>
        <v>0.97019999999999995</v>
      </c>
      <c r="R140" s="105">
        <f t="shared" si="52"/>
        <v>0.97019999999999995</v>
      </c>
      <c r="S140" s="105">
        <f t="shared" si="52"/>
        <v>0.97019999999999995</v>
      </c>
      <c r="T140" s="105">
        <f t="shared" si="52"/>
        <v>0.97019999999999995</v>
      </c>
      <c r="U140" s="105">
        <f t="shared" si="52"/>
        <v>0.97019999999999995</v>
      </c>
      <c r="V140" s="105">
        <f t="shared" si="52"/>
        <v>0.97019999999999995</v>
      </c>
      <c r="W140" s="105">
        <f t="shared" si="52"/>
        <v>0.97019999999999995</v>
      </c>
      <c r="X140" s="105">
        <f t="shared" si="52"/>
        <v>0.97019999999999995</v>
      </c>
      <c r="Y140" s="105">
        <f t="shared" si="52"/>
        <v>0.97019999999999995</v>
      </c>
      <c r="Z140" s="105">
        <f t="shared" si="52"/>
        <v>0.97019999999999995</v>
      </c>
      <c r="AA140" s="105">
        <f t="shared" si="52"/>
        <v>0.97019999999999995</v>
      </c>
      <c r="AB140" s="105">
        <f t="shared" si="52"/>
        <v>0.97019999999999995</v>
      </c>
      <c r="AC140" s="105">
        <f t="shared" si="52"/>
        <v>0.97019999999999995</v>
      </c>
      <c r="AD140" s="105">
        <f t="shared" si="52"/>
        <v>0.97019999999999995</v>
      </c>
      <c r="AE140" s="105">
        <f t="shared" si="52"/>
        <v>0.97019999999999995</v>
      </c>
      <c r="AF140" s="105">
        <f t="shared" si="52"/>
        <v>0.97019999999999995</v>
      </c>
      <c r="AG140" s="105">
        <f t="shared" si="52"/>
        <v>0.97019999999999995</v>
      </c>
      <c r="AH140" s="105">
        <f t="shared" si="52"/>
        <v>0.97019999999999995</v>
      </c>
      <c r="AI140" s="105">
        <f t="shared" si="52"/>
        <v>0.97019999999999995</v>
      </c>
      <c r="AJ140" s="105">
        <f t="shared" si="52"/>
        <v>0.97019999999999995</v>
      </c>
      <c r="AK140" s="105">
        <f t="shared" si="52"/>
        <v>0.97019999999999995</v>
      </c>
      <c r="AL140" s="105">
        <f t="shared" si="52"/>
        <v>0.97019999999999995</v>
      </c>
      <c r="AM140" s="105">
        <f t="shared" si="52"/>
        <v>0.97019999999999995</v>
      </c>
      <c r="AN140" s="105">
        <f t="shared" si="52"/>
        <v>0.97019999999999995</v>
      </c>
      <c r="AO140" s="105">
        <f t="shared" si="52"/>
        <v>0.97019999999999995</v>
      </c>
      <c r="AP140" s="105">
        <f t="shared" si="52"/>
        <v>0.97019999999999995</v>
      </c>
      <c r="AQ140" s="105">
        <f t="shared" si="52"/>
        <v>0.97019999999999995</v>
      </c>
      <c r="AR140" s="105">
        <f t="shared" si="52"/>
        <v>0.97019999999999995</v>
      </c>
      <c r="AS140" s="105">
        <f t="shared" si="52"/>
        <v>0.97019999999999995</v>
      </c>
      <c r="AT140" s="105">
        <f t="shared" si="52"/>
        <v>0.97019999999999995</v>
      </c>
      <c r="AU140" s="105">
        <f t="shared" si="52"/>
        <v>0.97019999999999995</v>
      </c>
      <c r="AV140" s="105">
        <f t="shared" si="52"/>
        <v>0.97019999999999995</v>
      </c>
    </row>
    <row r="141" spans="1:48">
      <c r="A141" s="185" t="s">
        <v>16</v>
      </c>
      <c r="B141" s="263" t="str">
        <f t="shared" si="50"/>
        <v>CNL</v>
      </c>
      <c r="C141" s="263" t="str">
        <f t="shared" si="50"/>
        <v>Commercial - Lighting</v>
      </c>
      <c r="E141" s="144">
        <f t="shared" si="51"/>
        <v>0.02</v>
      </c>
      <c r="I141" s="151"/>
      <c r="J141" s="154">
        <f t="shared" si="52"/>
        <v>0.97019999999999995</v>
      </c>
      <c r="K141" s="105">
        <f t="shared" si="52"/>
        <v>0.97019999999999995</v>
      </c>
      <c r="L141" s="105">
        <f t="shared" si="52"/>
        <v>0.97019999999999995</v>
      </c>
      <c r="M141" s="105">
        <f t="shared" si="52"/>
        <v>0.97019999999999995</v>
      </c>
      <c r="N141" s="105">
        <f t="shared" si="52"/>
        <v>0.97019999999999995</v>
      </c>
      <c r="O141" s="105">
        <f t="shared" si="52"/>
        <v>0.97019999999999995</v>
      </c>
      <c r="P141" s="105">
        <f t="shared" si="52"/>
        <v>0.97019999999999995</v>
      </c>
      <c r="Q141" s="105">
        <f t="shared" si="52"/>
        <v>0.97019999999999995</v>
      </c>
      <c r="R141" s="105">
        <f t="shared" si="52"/>
        <v>0.97019999999999995</v>
      </c>
      <c r="S141" s="105">
        <f t="shared" si="52"/>
        <v>0.97019999999999995</v>
      </c>
      <c r="T141" s="105">
        <f t="shared" si="52"/>
        <v>0.97019999999999995</v>
      </c>
      <c r="U141" s="105">
        <f t="shared" si="52"/>
        <v>0.97019999999999995</v>
      </c>
      <c r="V141" s="105">
        <f t="shared" si="52"/>
        <v>0.97019999999999995</v>
      </c>
      <c r="W141" s="105">
        <f t="shared" si="52"/>
        <v>0.97019999999999995</v>
      </c>
      <c r="X141" s="105">
        <f t="shared" si="52"/>
        <v>0.97019999999999995</v>
      </c>
      <c r="Y141" s="105">
        <f t="shared" si="52"/>
        <v>0.97019999999999995</v>
      </c>
      <c r="Z141" s="105">
        <f t="shared" si="52"/>
        <v>0.97019999999999995</v>
      </c>
      <c r="AA141" s="105">
        <f t="shared" si="52"/>
        <v>0.97019999999999995</v>
      </c>
      <c r="AB141" s="105">
        <f t="shared" si="52"/>
        <v>0.97019999999999995</v>
      </c>
      <c r="AC141" s="105">
        <f t="shared" si="52"/>
        <v>0.97019999999999995</v>
      </c>
      <c r="AD141" s="105">
        <f t="shared" si="52"/>
        <v>0.97019999999999995</v>
      </c>
      <c r="AE141" s="105">
        <f t="shared" si="52"/>
        <v>0.97019999999999995</v>
      </c>
      <c r="AF141" s="105">
        <f t="shared" si="52"/>
        <v>0.97019999999999995</v>
      </c>
      <c r="AG141" s="105">
        <f t="shared" si="52"/>
        <v>0.97019999999999995</v>
      </c>
      <c r="AH141" s="105">
        <f t="shared" si="52"/>
        <v>0.97019999999999995</v>
      </c>
      <c r="AI141" s="105">
        <f t="shared" si="52"/>
        <v>0.97019999999999995</v>
      </c>
      <c r="AJ141" s="105">
        <f t="shared" si="52"/>
        <v>0.97019999999999995</v>
      </c>
      <c r="AK141" s="105">
        <f t="shared" si="52"/>
        <v>0.97019999999999995</v>
      </c>
      <c r="AL141" s="105">
        <f t="shared" si="52"/>
        <v>0.97019999999999995</v>
      </c>
      <c r="AM141" s="105">
        <f t="shared" si="52"/>
        <v>0.97019999999999995</v>
      </c>
      <c r="AN141" s="105">
        <f t="shared" si="52"/>
        <v>0.97019999999999995</v>
      </c>
      <c r="AO141" s="105">
        <f t="shared" si="52"/>
        <v>0.97019999999999995</v>
      </c>
      <c r="AP141" s="105">
        <f t="shared" si="52"/>
        <v>0.97019999999999995</v>
      </c>
      <c r="AQ141" s="105">
        <f t="shared" si="52"/>
        <v>0.97019999999999995</v>
      </c>
      <c r="AR141" s="105">
        <f t="shared" si="52"/>
        <v>0.97019999999999995</v>
      </c>
      <c r="AS141" s="105">
        <f t="shared" si="52"/>
        <v>0.97019999999999995</v>
      </c>
      <c r="AT141" s="105">
        <f t="shared" si="52"/>
        <v>0.97019999999999995</v>
      </c>
      <c r="AU141" s="105">
        <f t="shared" si="52"/>
        <v>0.97019999999999995</v>
      </c>
      <c r="AV141" s="105">
        <f t="shared" si="52"/>
        <v>0.97019999999999995</v>
      </c>
    </row>
    <row r="142" spans="1:48">
      <c r="A142" s="185" t="s">
        <v>16</v>
      </c>
      <c r="B142" s="263" t="str">
        <f t="shared" si="50"/>
        <v>CNR</v>
      </c>
      <c r="C142" s="263" t="str">
        <f t="shared" si="50"/>
        <v>Commercial - Refrigeration</v>
      </c>
      <c r="E142" s="144">
        <f t="shared" si="51"/>
        <v>0.02</v>
      </c>
      <c r="I142" s="151"/>
      <c r="J142" s="154">
        <f t="shared" si="52"/>
        <v>0.97019999999999995</v>
      </c>
      <c r="K142" s="105">
        <f t="shared" si="52"/>
        <v>0.97019999999999995</v>
      </c>
      <c r="L142" s="105">
        <f t="shared" si="52"/>
        <v>0.97019999999999995</v>
      </c>
      <c r="M142" s="105">
        <f t="shared" si="52"/>
        <v>0.97019999999999995</v>
      </c>
      <c r="N142" s="105">
        <f t="shared" si="52"/>
        <v>0.97019999999999995</v>
      </c>
      <c r="O142" s="105">
        <f t="shared" si="52"/>
        <v>0.97019999999999995</v>
      </c>
      <c r="P142" s="105">
        <f t="shared" si="52"/>
        <v>0.97019999999999995</v>
      </c>
      <c r="Q142" s="105">
        <f t="shared" si="52"/>
        <v>0.97019999999999995</v>
      </c>
      <c r="R142" s="105">
        <f t="shared" si="52"/>
        <v>0.97019999999999995</v>
      </c>
      <c r="S142" s="105">
        <f t="shared" si="52"/>
        <v>0.97019999999999995</v>
      </c>
      <c r="T142" s="105">
        <f t="shared" si="52"/>
        <v>0.97019999999999995</v>
      </c>
      <c r="U142" s="105">
        <f t="shared" si="52"/>
        <v>0.97019999999999995</v>
      </c>
      <c r="V142" s="105">
        <f t="shared" si="52"/>
        <v>0.97019999999999995</v>
      </c>
      <c r="W142" s="105">
        <f t="shared" si="52"/>
        <v>0.97019999999999995</v>
      </c>
      <c r="X142" s="105">
        <f t="shared" si="52"/>
        <v>0.97019999999999995</v>
      </c>
      <c r="Y142" s="105">
        <f t="shared" si="52"/>
        <v>0.97019999999999995</v>
      </c>
      <c r="Z142" s="105">
        <f t="shared" si="52"/>
        <v>0.97019999999999995</v>
      </c>
      <c r="AA142" s="105">
        <f t="shared" si="52"/>
        <v>0.97019999999999995</v>
      </c>
      <c r="AB142" s="105">
        <f t="shared" si="52"/>
        <v>0.97019999999999995</v>
      </c>
      <c r="AC142" s="105">
        <f t="shared" si="52"/>
        <v>0.97019999999999995</v>
      </c>
      <c r="AD142" s="105">
        <f t="shared" si="52"/>
        <v>0.97019999999999995</v>
      </c>
      <c r="AE142" s="105">
        <f t="shared" si="52"/>
        <v>0.97019999999999995</v>
      </c>
      <c r="AF142" s="105">
        <f t="shared" si="52"/>
        <v>0.97019999999999995</v>
      </c>
      <c r="AG142" s="105">
        <f t="shared" si="52"/>
        <v>0.97019999999999995</v>
      </c>
      <c r="AH142" s="105">
        <f t="shared" si="52"/>
        <v>0.97019999999999995</v>
      </c>
      <c r="AI142" s="105">
        <f t="shared" si="52"/>
        <v>0.97019999999999995</v>
      </c>
      <c r="AJ142" s="105">
        <f t="shared" si="52"/>
        <v>0.97019999999999995</v>
      </c>
      <c r="AK142" s="105">
        <f t="shared" si="52"/>
        <v>0.97019999999999995</v>
      </c>
      <c r="AL142" s="105">
        <f t="shared" si="52"/>
        <v>0.97019999999999995</v>
      </c>
      <c r="AM142" s="105">
        <f t="shared" si="52"/>
        <v>0.97019999999999995</v>
      </c>
      <c r="AN142" s="105">
        <f t="shared" si="52"/>
        <v>0.97019999999999995</v>
      </c>
      <c r="AO142" s="105">
        <f t="shared" si="52"/>
        <v>0.97019999999999995</v>
      </c>
      <c r="AP142" s="105">
        <f t="shared" si="52"/>
        <v>0.97019999999999995</v>
      </c>
      <c r="AQ142" s="105">
        <f t="shared" si="52"/>
        <v>0.97019999999999995</v>
      </c>
      <c r="AR142" s="105">
        <f t="shared" si="52"/>
        <v>0.97019999999999995</v>
      </c>
      <c r="AS142" s="105">
        <f t="shared" si="52"/>
        <v>0.97019999999999995</v>
      </c>
      <c r="AT142" s="105">
        <f t="shared" si="52"/>
        <v>0.97019999999999995</v>
      </c>
      <c r="AU142" s="105">
        <f t="shared" si="52"/>
        <v>0.97019999999999995</v>
      </c>
      <c r="AV142" s="105">
        <f t="shared" si="52"/>
        <v>0.97019999999999995</v>
      </c>
    </row>
    <row r="143" spans="1:48">
      <c r="A143" s="185" t="s">
        <v>16</v>
      </c>
      <c r="B143" s="263" t="str">
        <f t="shared" si="50"/>
        <v>CNW</v>
      </c>
      <c r="C143" s="263" t="str">
        <f t="shared" si="50"/>
        <v>Commercial - Water Heating</v>
      </c>
      <c r="E143" s="144">
        <f t="shared" si="51"/>
        <v>0.02</v>
      </c>
      <c r="I143" s="151"/>
      <c r="J143" s="154">
        <f t="shared" si="52"/>
        <v>0.97019999999999995</v>
      </c>
      <c r="K143" s="105">
        <f t="shared" si="52"/>
        <v>0.97019999999999995</v>
      </c>
      <c r="L143" s="105">
        <f t="shared" si="52"/>
        <v>0.97019999999999995</v>
      </c>
      <c r="M143" s="105">
        <f t="shared" si="52"/>
        <v>0.97019999999999995</v>
      </c>
      <c r="N143" s="105">
        <f t="shared" si="52"/>
        <v>0.97019999999999995</v>
      </c>
      <c r="O143" s="105">
        <f t="shared" si="52"/>
        <v>0.97019999999999995</v>
      </c>
      <c r="P143" s="105">
        <f t="shared" si="52"/>
        <v>0.97019999999999995</v>
      </c>
      <c r="Q143" s="105">
        <f t="shared" si="52"/>
        <v>0.97019999999999995</v>
      </c>
      <c r="R143" s="105">
        <f t="shared" si="52"/>
        <v>0.97019999999999995</v>
      </c>
      <c r="S143" s="105">
        <f t="shared" si="52"/>
        <v>0.97019999999999995</v>
      </c>
      <c r="T143" s="105">
        <f t="shared" si="52"/>
        <v>0.97019999999999995</v>
      </c>
      <c r="U143" s="105">
        <f t="shared" si="52"/>
        <v>0.97019999999999995</v>
      </c>
      <c r="V143" s="105">
        <f t="shared" si="52"/>
        <v>0.97019999999999995</v>
      </c>
      <c r="W143" s="105">
        <f t="shared" si="52"/>
        <v>0.97019999999999995</v>
      </c>
      <c r="X143" s="105">
        <f t="shared" si="52"/>
        <v>0.97019999999999995</v>
      </c>
      <c r="Y143" s="105">
        <f t="shared" si="52"/>
        <v>0.97019999999999995</v>
      </c>
      <c r="Z143" s="105">
        <f t="shared" si="52"/>
        <v>0.97019999999999995</v>
      </c>
      <c r="AA143" s="105">
        <f t="shared" si="52"/>
        <v>0.97019999999999995</v>
      </c>
      <c r="AB143" s="105">
        <f t="shared" si="52"/>
        <v>0.97019999999999995</v>
      </c>
      <c r="AC143" s="105">
        <f t="shared" si="52"/>
        <v>0.97019999999999995</v>
      </c>
      <c r="AD143" s="105">
        <f t="shared" si="52"/>
        <v>0.97019999999999995</v>
      </c>
      <c r="AE143" s="105">
        <f t="shared" si="52"/>
        <v>0.97019999999999995</v>
      </c>
      <c r="AF143" s="105">
        <f t="shared" si="52"/>
        <v>0.97019999999999995</v>
      </c>
      <c r="AG143" s="105">
        <f t="shared" si="52"/>
        <v>0.97019999999999995</v>
      </c>
      <c r="AH143" s="105">
        <f t="shared" si="52"/>
        <v>0.97019999999999995</v>
      </c>
      <c r="AI143" s="105">
        <f t="shared" si="52"/>
        <v>0.97019999999999995</v>
      </c>
      <c r="AJ143" s="105">
        <f t="shared" si="52"/>
        <v>0.97019999999999995</v>
      </c>
      <c r="AK143" s="105">
        <f t="shared" si="52"/>
        <v>0.97019999999999995</v>
      </c>
      <c r="AL143" s="105">
        <f t="shared" si="52"/>
        <v>0.97019999999999995</v>
      </c>
      <c r="AM143" s="105">
        <f t="shared" si="52"/>
        <v>0.97019999999999995</v>
      </c>
      <c r="AN143" s="105">
        <f t="shared" si="52"/>
        <v>0.97019999999999995</v>
      </c>
      <c r="AO143" s="105">
        <f t="shared" si="52"/>
        <v>0.97019999999999995</v>
      </c>
      <c r="AP143" s="105">
        <f t="shared" si="52"/>
        <v>0.97019999999999995</v>
      </c>
      <c r="AQ143" s="105">
        <f t="shared" si="52"/>
        <v>0.97019999999999995</v>
      </c>
      <c r="AR143" s="105">
        <f t="shared" si="52"/>
        <v>0.97019999999999995</v>
      </c>
      <c r="AS143" s="105">
        <f t="shared" si="52"/>
        <v>0.97019999999999995</v>
      </c>
      <c r="AT143" s="105">
        <f t="shared" si="52"/>
        <v>0.97019999999999995</v>
      </c>
      <c r="AU143" s="105">
        <f t="shared" si="52"/>
        <v>0.97019999999999995</v>
      </c>
      <c r="AV143" s="105">
        <f t="shared" si="52"/>
        <v>0.97019999999999995</v>
      </c>
    </row>
    <row r="144" spans="1:48">
      <c r="A144" s="185" t="s">
        <v>16</v>
      </c>
      <c r="B144" s="263" t="str">
        <f t="shared" si="50"/>
        <v>CNG</v>
      </c>
      <c r="C144" s="263" t="str">
        <f t="shared" si="50"/>
        <v>Commercial - Public lights</v>
      </c>
      <c r="E144" s="144">
        <f t="shared" si="51"/>
        <v>0.02</v>
      </c>
      <c r="I144" s="151"/>
      <c r="J144" s="154">
        <f t="shared" si="52"/>
        <v>0.97019999999999995</v>
      </c>
      <c r="K144" s="105">
        <f t="shared" si="52"/>
        <v>0.97019999999999995</v>
      </c>
      <c r="L144" s="105">
        <f t="shared" si="52"/>
        <v>0.97019999999999995</v>
      </c>
      <c r="M144" s="105">
        <f t="shared" si="52"/>
        <v>0.97019999999999995</v>
      </c>
      <c r="N144" s="105">
        <f t="shared" si="52"/>
        <v>0.97019999999999995</v>
      </c>
      <c r="O144" s="105">
        <f t="shared" si="52"/>
        <v>0.97019999999999995</v>
      </c>
      <c r="P144" s="105">
        <f t="shared" si="52"/>
        <v>0.97019999999999995</v>
      </c>
      <c r="Q144" s="105">
        <f t="shared" si="52"/>
        <v>0.97019999999999995</v>
      </c>
      <c r="R144" s="105">
        <f t="shared" si="52"/>
        <v>0.97019999999999995</v>
      </c>
      <c r="S144" s="105">
        <f t="shared" si="52"/>
        <v>0.97019999999999995</v>
      </c>
      <c r="T144" s="105">
        <f t="shared" si="52"/>
        <v>0.97019999999999995</v>
      </c>
      <c r="U144" s="105">
        <f t="shared" si="52"/>
        <v>0.97019999999999995</v>
      </c>
      <c r="V144" s="105">
        <f t="shared" si="52"/>
        <v>0.97019999999999995</v>
      </c>
      <c r="W144" s="105">
        <f t="shared" si="52"/>
        <v>0.97019999999999995</v>
      </c>
      <c r="X144" s="105">
        <f t="shared" si="52"/>
        <v>0.97019999999999995</v>
      </c>
      <c r="Y144" s="105">
        <f t="shared" si="52"/>
        <v>0.97019999999999995</v>
      </c>
      <c r="Z144" s="105">
        <f t="shared" si="52"/>
        <v>0.97019999999999995</v>
      </c>
      <c r="AA144" s="105">
        <f t="shared" si="52"/>
        <v>0.97019999999999995</v>
      </c>
      <c r="AB144" s="105">
        <f t="shared" si="52"/>
        <v>0.97019999999999995</v>
      </c>
      <c r="AC144" s="105">
        <f t="shared" si="52"/>
        <v>0.97019999999999995</v>
      </c>
      <c r="AD144" s="105">
        <f t="shared" si="52"/>
        <v>0.97019999999999995</v>
      </c>
      <c r="AE144" s="105">
        <f t="shared" ref="AE144:AV146" si="53">AE133*(1-$E144)</f>
        <v>0.97019999999999995</v>
      </c>
      <c r="AF144" s="105">
        <f t="shared" si="53"/>
        <v>0.97019999999999995</v>
      </c>
      <c r="AG144" s="105">
        <f t="shared" si="53"/>
        <v>0.97019999999999995</v>
      </c>
      <c r="AH144" s="105">
        <f t="shared" si="53"/>
        <v>0.97019999999999995</v>
      </c>
      <c r="AI144" s="105">
        <f t="shared" si="53"/>
        <v>0.97019999999999995</v>
      </c>
      <c r="AJ144" s="105">
        <f t="shared" si="53"/>
        <v>0.97019999999999995</v>
      </c>
      <c r="AK144" s="105">
        <f t="shared" si="53"/>
        <v>0.97019999999999995</v>
      </c>
      <c r="AL144" s="105">
        <f t="shared" si="53"/>
        <v>0.97019999999999995</v>
      </c>
      <c r="AM144" s="105">
        <f t="shared" si="53"/>
        <v>0.97019999999999995</v>
      </c>
      <c r="AN144" s="105">
        <f t="shared" si="53"/>
        <v>0.97019999999999995</v>
      </c>
      <c r="AO144" s="105">
        <f t="shared" si="53"/>
        <v>0.97019999999999995</v>
      </c>
      <c r="AP144" s="105">
        <f t="shared" si="53"/>
        <v>0.97019999999999995</v>
      </c>
      <c r="AQ144" s="105">
        <f t="shared" si="53"/>
        <v>0.97019999999999995</v>
      </c>
      <c r="AR144" s="105">
        <f t="shared" si="53"/>
        <v>0.97019999999999995</v>
      </c>
      <c r="AS144" s="105">
        <f t="shared" si="53"/>
        <v>0.97019999999999995</v>
      </c>
      <c r="AT144" s="105">
        <f t="shared" si="53"/>
        <v>0.97019999999999995</v>
      </c>
      <c r="AU144" s="105">
        <f t="shared" si="53"/>
        <v>0.97019999999999995</v>
      </c>
      <c r="AV144" s="105">
        <f t="shared" si="53"/>
        <v>0.97019999999999995</v>
      </c>
    </row>
    <row r="145" spans="1:48">
      <c r="A145" s="185" t="s">
        <v>16</v>
      </c>
      <c r="B145" s="263" t="str">
        <f t="shared" si="50"/>
        <v>CNT</v>
      </c>
      <c r="C145" s="263" t="str">
        <f t="shared" si="50"/>
        <v>Commercial - Public Water</v>
      </c>
      <c r="E145" s="144">
        <f t="shared" si="51"/>
        <v>0.02</v>
      </c>
      <c r="I145" s="151"/>
      <c r="J145" s="154">
        <f t="shared" ref="J145:AV146" si="54">J134*(1-$E145)</f>
        <v>0.97019999999999995</v>
      </c>
      <c r="K145" s="105">
        <f t="shared" si="54"/>
        <v>0.97019999999999995</v>
      </c>
      <c r="L145" s="105">
        <f t="shared" si="54"/>
        <v>0.97019999999999995</v>
      </c>
      <c r="M145" s="105">
        <f t="shared" si="54"/>
        <v>0.97019999999999995</v>
      </c>
      <c r="N145" s="105">
        <f t="shared" si="54"/>
        <v>0.97019999999999995</v>
      </c>
      <c r="O145" s="105">
        <f t="shared" si="54"/>
        <v>0.97019999999999995</v>
      </c>
      <c r="P145" s="105">
        <f t="shared" si="54"/>
        <v>0.97019999999999995</v>
      </c>
      <c r="Q145" s="105">
        <f t="shared" si="54"/>
        <v>0.97019999999999995</v>
      </c>
      <c r="R145" s="105">
        <f t="shared" si="54"/>
        <v>0.97019999999999995</v>
      </c>
      <c r="S145" s="105">
        <f t="shared" si="54"/>
        <v>0.97019999999999995</v>
      </c>
      <c r="T145" s="105">
        <f t="shared" si="54"/>
        <v>0.97019999999999995</v>
      </c>
      <c r="U145" s="105">
        <f t="shared" si="54"/>
        <v>0.97019999999999995</v>
      </c>
      <c r="V145" s="105">
        <f t="shared" si="54"/>
        <v>0.97019999999999995</v>
      </c>
      <c r="W145" s="105">
        <f t="shared" si="54"/>
        <v>0.97019999999999995</v>
      </c>
      <c r="X145" s="105">
        <f t="shared" si="54"/>
        <v>0.97019999999999995</v>
      </c>
      <c r="Y145" s="105">
        <f t="shared" si="54"/>
        <v>0.97019999999999995</v>
      </c>
      <c r="Z145" s="105">
        <f t="shared" si="54"/>
        <v>0.97019999999999995</v>
      </c>
      <c r="AA145" s="105">
        <f t="shared" si="54"/>
        <v>0.97019999999999995</v>
      </c>
      <c r="AB145" s="105">
        <f t="shared" si="54"/>
        <v>0.97019999999999995</v>
      </c>
      <c r="AC145" s="105">
        <f t="shared" si="54"/>
        <v>0.97019999999999995</v>
      </c>
      <c r="AD145" s="105">
        <f t="shared" si="54"/>
        <v>0.97019999999999995</v>
      </c>
      <c r="AE145" s="105">
        <f t="shared" si="54"/>
        <v>0.97019999999999995</v>
      </c>
      <c r="AF145" s="105">
        <f t="shared" si="54"/>
        <v>0.97019999999999995</v>
      </c>
      <c r="AG145" s="105">
        <f t="shared" si="54"/>
        <v>0.97019999999999995</v>
      </c>
      <c r="AH145" s="105">
        <f t="shared" si="54"/>
        <v>0.97019999999999995</v>
      </c>
      <c r="AI145" s="105">
        <f t="shared" si="53"/>
        <v>0.97019999999999995</v>
      </c>
      <c r="AJ145" s="105">
        <f t="shared" si="53"/>
        <v>0.97019999999999995</v>
      </c>
      <c r="AK145" s="105">
        <f t="shared" si="53"/>
        <v>0.97019999999999995</v>
      </c>
      <c r="AL145" s="105">
        <f t="shared" si="53"/>
        <v>0.97019999999999995</v>
      </c>
      <c r="AM145" s="105">
        <f t="shared" si="53"/>
        <v>0.97019999999999995</v>
      </c>
      <c r="AN145" s="105">
        <f t="shared" si="53"/>
        <v>0.97019999999999995</v>
      </c>
      <c r="AO145" s="105">
        <f t="shared" si="53"/>
        <v>0.97019999999999995</v>
      </c>
      <c r="AP145" s="105">
        <f t="shared" si="53"/>
        <v>0.97019999999999995</v>
      </c>
      <c r="AQ145" s="105">
        <f t="shared" si="53"/>
        <v>0.97019999999999995</v>
      </c>
      <c r="AR145" s="105">
        <f t="shared" si="53"/>
        <v>0.97019999999999995</v>
      </c>
      <c r="AS145" s="105">
        <f t="shared" si="54"/>
        <v>0.97019999999999995</v>
      </c>
      <c r="AT145" s="105">
        <f t="shared" si="54"/>
        <v>0.97019999999999995</v>
      </c>
      <c r="AU145" s="105">
        <f t="shared" si="54"/>
        <v>0.97019999999999995</v>
      </c>
      <c r="AV145" s="105">
        <f t="shared" si="54"/>
        <v>0.97019999999999995</v>
      </c>
    </row>
    <row r="146" spans="1:48">
      <c r="A146" s="185" t="s">
        <v>16</v>
      </c>
      <c r="B146" s="263" t="str">
        <f t="shared" si="50"/>
        <v>CNO</v>
      </c>
      <c r="C146" s="263" t="str">
        <f t="shared" si="50"/>
        <v>Commercial - Other</v>
      </c>
      <c r="E146" s="144">
        <f t="shared" si="51"/>
        <v>0.02</v>
      </c>
      <c r="I146" s="151"/>
      <c r="J146" s="154">
        <f t="shared" si="54"/>
        <v>0.97019999999999995</v>
      </c>
      <c r="K146" s="105">
        <f t="shared" si="54"/>
        <v>0.97019999999999995</v>
      </c>
      <c r="L146" s="105">
        <f t="shared" si="54"/>
        <v>0.97019999999999995</v>
      </c>
      <c r="M146" s="105">
        <f t="shared" si="54"/>
        <v>0.97019999999999995</v>
      </c>
      <c r="N146" s="105">
        <f t="shared" si="54"/>
        <v>0.97019999999999995</v>
      </c>
      <c r="O146" s="105">
        <f t="shared" si="54"/>
        <v>0.97019999999999995</v>
      </c>
      <c r="P146" s="105">
        <f t="shared" si="54"/>
        <v>0.97019999999999995</v>
      </c>
      <c r="Q146" s="105">
        <f t="shared" si="54"/>
        <v>0.97019999999999995</v>
      </c>
      <c r="R146" s="105">
        <f t="shared" si="54"/>
        <v>0.97019999999999995</v>
      </c>
      <c r="S146" s="105">
        <f t="shared" si="54"/>
        <v>0.97019999999999995</v>
      </c>
      <c r="T146" s="105">
        <f t="shared" si="54"/>
        <v>0.97019999999999995</v>
      </c>
      <c r="U146" s="105">
        <f t="shared" si="54"/>
        <v>0.97019999999999995</v>
      </c>
      <c r="V146" s="105">
        <f t="shared" si="54"/>
        <v>0.97019999999999995</v>
      </c>
      <c r="W146" s="105">
        <f t="shared" si="54"/>
        <v>0.97019999999999995</v>
      </c>
      <c r="X146" s="105">
        <f t="shared" si="54"/>
        <v>0.97019999999999995</v>
      </c>
      <c r="Y146" s="105">
        <f t="shared" si="54"/>
        <v>0.97019999999999995</v>
      </c>
      <c r="Z146" s="105">
        <f t="shared" si="54"/>
        <v>0.97019999999999995</v>
      </c>
      <c r="AA146" s="105">
        <f t="shared" si="54"/>
        <v>0.97019999999999995</v>
      </c>
      <c r="AB146" s="105">
        <f t="shared" si="54"/>
        <v>0.97019999999999995</v>
      </c>
      <c r="AC146" s="105">
        <f t="shared" si="54"/>
        <v>0.97019999999999995</v>
      </c>
      <c r="AD146" s="105">
        <f t="shared" si="54"/>
        <v>0.97019999999999995</v>
      </c>
      <c r="AE146" s="105">
        <f t="shared" si="54"/>
        <v>0.97019999999999995</v>
      </c>
      <c r="AF146" s="105">
        <f t="shared" si="54"/>
        <v>0.97019999999999995</v>
      </c>
      <c r="AG146" s="105">
        <f t="shared" si="54"/>
        <v>0.97019999999999995</v>
      </c>
      <c r="AH146" s="105">
        <f t="shared" si="54"/>
        <v>0.97019999999999995</v>
      </c>
      <c r="AI146" s="105">
        <f t="shared" si="53"/>
        <v>0.97019999999999995</v>
      </c>
      <c r="AJ146" s="105">
        <f t="shared" si="53"/>
        <v>0.97019999999999995</v>
      </c>
      <c r="AK146" s="105">
        <f t="shared" si="53"/>
        <v>0.97019999999999995</v>
      </c>
      <c r="AL146" s="105">
        <f t="shared" si="53"/>
        <v>0.97019999999999995</v>
      </c>
      <c r="AM146" s="105">
        <f t="shared" si="53"/>
        <v>0.97019999999999995</v>
      </c>
      <c r="AN146" s="105">
        <f t="shared" si="53"/>
        <v>0.97019999999999995</v>
      </c>
      <c r="AO146" s="105">
        <f t="shared" si="53"/>
        <v>0.97019999999999995</v>
      </c>
      <c r="AP146" s="105">
        <f t="shared" si="53"/>
        <v>0.97019999999999995</v>
      </c>
      <c r="AQ146" s="105">
        <f t="shared" si="53"/>
        <v>0.97019999999999995</v>
      </c>
      <c r="AR146" s="105">
        <f t="shared" si="53"/>
        <v>0.97019999999999995</v>
      </c>
      <c r="AS146" s="105">
        <f t="shared" si="54"/>
        <v>0.97019999999999995</v>
      </c>
      <c r="AT146" s="105">
        <f t="shared" si="54"/>
        <v>0.97019999999999995</v>
      </c>
      <c r="AU146" s="105">
        <f t="shared" si="54"/>
        <v>0.97019999999999995</v>
      </c>
      <c r="AV146" s="105">
        <f t="shared" si="54"/>
        <v>0.97019999999999995</v>
      </c>
    </row>
    <row r="147" spans="1:48">
      <c r="A147" s="185" t="s">
        <v>16</v>
      </c>
      <c r="I147" s="151"/>
      <c r="K147" s="87"/>
    </row>
    <row r="148" spans="1:48" ht="19.5" thickBot="1">
      <c r="A148" s="185" t="s">
        <v>16</v>
      </c>
      <c r="B148" s="160" t="s">
        <v>480</v>
      </c>
      <c r="C148" s="85"/>
      <c r="D148" s="85"/>
      <c r="E148" s="85"/>
      <c r="F148" s="85"/>
      <c r="G148" s="85"/>
      <c r="H148" s="85"/>
      <c r="I148" s="152"/>
      <c r="J148" s="85"/>
      <c r="K148" s="85"/>
      <c r="L148" s="85"/>
      <c r="M148" s="85"/>
      <c r="N148" s="85"/>
      <c r="O148" s="85"/>
      <c r="P148" s="85"/>
      <c r="Q148" s="85"/>
      <c r="R148" s="85"/>
      <c r="S148" s="85"/>
      <c r="T148" s="85"/>
      <c r="U148" s="85"/>
      <c r="V148" s="85"/>
      <c r="W148" s="85"/>
      <c r="X148" s="85"/>
      <c r="Y148" s="85"/>
      <c r="Z148" s="85"/>
      <c r="AA148" s="85"/>
      <c r="AB148" s="85"/>
      <c r="AC148" s="85"/>
      <c r="AD148" s="85"/>
      <c r="AE148" s="85"/>
      <c r="AF148" s="85"/>
      <c r="AG148" s="85"/>
      <c r="AH148" s="85"/>
      <c r="AI148" s="85"/>
      <c r="AJ148" s="85"/>
      <c r="AK148" s="85"/>
      <c r="AL148" s="85"/>
      <c r="AM148" s="85"/>
      <c r="AN148" s="85"/>
      <c r="AO148" s="85"/>
      <c r="AP148" s="85"/>
      <c r="AQ148" s="85"/>
      <c r="AR148" s="85"/>
      <c r="AS148" s="85"/>
      <c r="AT148" s="85"/>
      <c r="AU148" s="85"/>
      <c r="AV148" s="85"/>
    </row>
    <row r="149" spans="1:48">
      <c r="A149" s="185" t="s">
        <v>16</v>
      </c>
      <c r="B149" s="159"/>
      <c r="C149" s="159"/>
      <c r="D149" s="159"/>
      <c r="E149" s="159"/>
      <c r="F149" s="159"/>
      <c r="G149" s="159"/>
      <c r="H149" s="159"/>
      <c r="I149" s="158"/>
      <c r="K149" s="87"/>
    </row>
    <row r="150" spans="1:48" ht="15.75" thickBot="1">
      <c r="A150" s="185" t="s">
        <v>16</v>
      </c>
      <c r="B150" s="85" t="s">
        <v>494</v>
      </c>
      <c r="C150" s="159"/>
      <c r="D150" s="159"/>
      <c r="E150" s="159"/>
      <c r="F150" s="159"/>
      <c r="G150" s="159"/>
      <c r="H150" s="159"/>
      <c r="I150" s="158"/>
      <c r="K150" s="87"/>
    </row>
    <row r="151" spans="1:48">
      <c r="A151" s="185" t="s">
        <v>16</v>
      </c>
      <c r="B151" s="87" t="str">
        <f>B92</f>
        <v>CEC</v>
      </c>
      <c r="C151" s="87" t="str">
        <f>C92</f>
        <v>Commercial - Cooling</v>
      </c>
      <c r="D151" s="159"/>
      <c r="E151" s="159"/>
      <c r="F151" s="159"/>
      <c r="G151" s="159"/>
      <c r="H151" s="159"/>
      <c r="I151" s="158"/>
      <c r="J151" s="157">
        <f t="shared" ref="J151:AV157" si="55">J92*J$34/1000</f>
        <v>27.932878870776872</v>
      </c>
      <c r="K151" s="157">
        <f t="shared" si="55"/>
        <v>27.177942001479515</v>
      </c>
      <c r="L151" s="157">
        <f t="shared" si="55"/>
        <v>26.482954035311195</v>
      </c>
      <c r="M151" s="157">
        <f t="shared" si="55"/>
        <v>25.727350426489295</v>
      </c>
      <c r="N151" s="157">
        <f t="shared" si="55"/>
        <v>24.939742625372652</v>
      </c>
      <c r="O151" s="157">
        <f t="shared" si="55"/>
        <v>24.056668064799556</v>
      </c>
      <c r="P151" s="157">
        <f>P92*P$34/1000</f>
        <v>24.229725056384154</v>
      </c>
      <c r="Q151" s="157">
        <f>Q92*Q$34/1000</f>
        <v>24.372414300706755</v>
      </c>
      <c r="R151" s="157">
        <f t="shared" si="55"/>
        <v>24.372414300706755</v>
      </c>
      <c r="S151" s="157">
        <f t="shared" si="55"/>
        <v>24.613405754738174</v>
      </c>
      <c r="T151" s="157">
        <f t="shared" si="55"/>
        <v>24.86434568116108</v>
      </c>
      <c r="U151" s="157">
        <f t="shared" si="55"/>
        <v>25.133955954294837</v>
      </c>
      <c r="V151" s="157">
        <f t="shared" si="55"/>
        <v>25.420387268851481</v>
      </c>
      <c r="W151" s="157">
        <f t="shared" si="55"/>
        <v>25.70511197770098</v>
      </c>
      <c r="X151" s="157">
        <f t="shared" si="55"/>
        <v>26.016890736636164</v>
      </c>
      <c r="Y151" s="157">
        <f t="shared" si="55"/>
        <v>26.333458247349103</v>
      </c>
      <c r="Z151" s="157">
        <f t="shared" si="55"/>
        <v>26.666702515055192</v>
      </c>
      <c r="AA151" s="157">
        <f t="shared" si="55"/>
        <v>27.004216531400157</v>
      </c>
      <c r="AB151" s="157">
        <f t="shared" si="55"/>
        <v>27.299773079688244</v>
      </c>
      <c r="AC151" s="157">
        <f t="shared" si="55"/>
        <v>27.645582968186574</v>
      </c>
      <c r="AD151" s="157">
        <f t="shared" si="55"/>
        <v>27.995789216911568</v>
      </c>
      <c r="AE151" s="157">
        <f t="shared" si="55"/>
        <v>28.350892025194455</v>
      </c>
      <c r="AF151" s="157">
        <f t="shared" si="55"/>
        <v>28.691038140586901</v>
      </c>
      <c r="AG151" s="157">
        <f t="shared" si="55"/>
        <v>29.045248709140999</v>
      </c>
      <c r="AH151" s="157">
        <f t="shared" si="55"/>
        <v>29.40552204545995</v>
      </c>
      <c r="AI151" s="157">
        <f t="shared" si="55"/>
        <v>29.774204886420549</v>
      </c>
      <c r="AJ151" s="157">
        <f t="shared" si="55"/>
        <v>30.135505120085536</v>
      </c>
      <c r="AK151" s="157">
        <f t="shared" si="55"/>
        <v>30.503741210996857</v>
      </c>
      <c r="AL151" s="157">
        <f t="shared" si="55"/>
        <v>30.887781388189929</v>
      </c>
      <c r="AM151" s="157">
        <f t="shared" si="55"/>
        <v>31.319352617179486</v>
      </c>
      <c r="AN151" s="157">
        <f t="shared" si="55"/>
        <v>31.743579215956768</v>
      </c>
      <c r="AO151" s="157">
        <f t="shared" si="55"/>
        <v>32.160800291599259</v>
      </c>
      <c r="AP151" s="157">
        <f t="shared" si="55"/>
        <v>32.571329978050507</v>
      </c>
      <c r="AQ151" s="157">
        <f t="shared" si="55"/>
        <v>32.97545992290862</v>
      </c>
      <c r="AR151" s="157">
        <f t="shared" si="55"/>
        <v>33.42716611813799</v>
      </c>
      <c r="AS151" s="157">
        <f t="shared" si="55"/>
        <v>33.871331238196809</v>
      </c>
      <c r="AT151" s="157">
        <f t="shared" si="55"/>
        <v>34.308297030326735</v>
      </c>
      <c r="AU151" s="157">
        <f t="shared" si="55"/>
        <v>34.738380525830955</v>
      </c>
      <c r="AV151" s="157">
        <f t="shared" si="55"/>
        <v>35.186531909578846</v>
      </c>
    </row>
    <row r="152" spans="1:48">
      <c r="A152" s="185" t="s">
        <v>16</v>
      </c>
      <c r="B152" s="87" t="str">
        <f t="shared" ref="B152:C159" si="56">B93</f>
        <v>CEH</v>
      </c>
      <c r="C152" s="87" t="str">
        <f t="shared" si="56"/>
        <v>Commercial - Space Heating</v>
      </c>
      <c r="D152" s="159"/>
      <c r="E152" s="159"/>
      <c r="F152" s="159"/>
      <c r="G152" s="159"/>
      <c r="H152" s="159"/>
      <c r="I152" s="158"/>
      <c r="J152" s="157">
        <f t="shared" si="55"/>
        <v>1.5703509815003798</v>
      </c>
      <c r="K152" s="157">
        <f t="shared" si="55"/>
        <v>1.7092027157283503</v>
      </c>
      <c r="L152" s="157">
        <f t="shared" si="55"/>
        <v>1.855729423279425</v>
      </c>
      <c r="M152" s="157">
        <f t="shared" si="55"/>
        <v>2.0023592180722973</v>
      </c>
      <c r="N152" s="157">
        <f t="shared" si="55"/>
        <v>2.1506332692372587</v>
      </c>
      <c r="O152" s="157">
        <f t="shared" si="55"/>
        <v>2.2941963422736769</v>
      </c>
      <c r="P152" s="157">
        <f t="shared" si="55"/>
        <v>2.3107001538584244</v>
      </c>
      <c r="Q152" s="157">
        <f t="shared" si="55"/>
        <v>2.3243079045878652</v>
      </c>
      <c r="R152" s="157">
        <f t="shared" si="55"/>
        <v>2.3243079045878652</v>
      </c>
      <c r="S152" s="157">
        <f t="shared" si="55"/>
        <v>2.3472903770927385</v>
      </c>
      <c r="T152" s="157">
        <f t="shared" si="55"/>
        <v>2.3712215989801217</v>
      </c>
      <c r="U152" s="157">
        <f t="shared" si="55"/>
        <v>2.3969333434659648</v>
      </c>
      <c r="V152" s="157">
        <f t="shared" si="55"/>
        <v>2.4242492490767686</v>
      </c>
      <c r="W152" s="157">
        <f t="shared" si="55"/>
        <v>2.4514024019505558</v>
      </c>
      <c r="X152" s="157">
        <f t="shared" si="55"/>
        <v>2.4811356005140905</v>
      </c>
      <c r="Y152" s="157">
        <f t="shared" si="55"/>
        <v>2.5113254847991464</v>
      </c>
      <c r="Z152" s="157">
        <f t="shared" si="55"/>
        <v>2.5431057703314419</v>
      </c>
      <c r="AA152" s="157">
        <f t="shared" si="55"/>
        <v>2.5752932461563973</v>
      </c>
      <c r="AB152" s="157">
        <f t="shared" si="55"/>
        <v>2.6034793918932513</v>
      </c>
      <c r="AC152" s="157">
        <f t="shared" si="55"/>
        <v>2.6364580146675247</v>
      </c>
      <c r="AD152" s="157">
        <f t="shared" si="55"/>
        <v>2.6698559022179578</v>
      </c>
      <c r="AE152" s="157">
        <f t="shared" si="55"/>
        <v>2.7037207567231323</v>
      </c>
      <c r="AF152" s="157">
        <f t="shared" si="55"/>
        <v>2.7361592461959861</v>
      </c>
      <c r="AG152" s="157">
        <f t="shared" si="55"/>
        <v>2.7699390110654432</v>
      </c>
      <c r="AH152" s="157">
        <f t="shared" si="55"/>
        <v>2.8042969598959004</v>
      </c>
      <c r="AI152" s="157">
        <f t="shared" si="55"/>
        <v>2.8394568923899817</v>
      </c>
      <c r="AJ152" s="157">
        <f t="shared" si="55"/>
        <v>2.873912772660022</v>
      </c>
      <c r="AK152" s="157">
        <f t="shared" si="55"/>
        <v>2.9090301002378194</v>
      </c>
      <c r="AL152" s="157">
        <f t="shared" si="55"/>
        <v>2.9456546056526687</v>
      </c>
      <c r="AM152" s="157">
        <f t="shared" si="55"/>
        <v>2.9868119734274337</v>
      </c>
      <c r="AN152" s="157">
        <f t="shared" si="55"/>
        <v>3.0272689107135302</v>
      </c>
      <c r="AO152" s="157">
        <f t="shared" si="55"/>
        <v>3.0670577569111916</v>
      </c>
      <c r="AP152" s="157">
        <f t="shared" si="55"/>
        <v>3.1062084698243115</v>
      </c>
      <c r="AQ152" s="157">
        <f t="shared" si="55"/>
        <v>3.1447488628163645</v>
      </c>
      <c r="AR152" s="157">
        <f t="shared" si="55"/>
        <v>3.1878264285909008</v>
      </c>
      <c r="AS152" s="157">
        <f t="shared" si="55"/>
        <v>3.230184829640443</v>
      </c>
      <c r="AT152" s="157">
        <f t="shared" si="55"/>
        <v>3.2718566571480134</v>
      </c>
      <c r="AU152" s="157">
        <f t="shared" si="55"/>
        <v>3.3128721452280865</v>
      </c>
      <c r="AV152" s="157">
        <f t="shared" si="55"/>
        <v>3.3556107016486942</v>
      </c>
    </row>
    <row r="153" spans="1:48">
      <c r="A153" s="185" t="s">
        <v>16</v>
      </c>
      <c r="B153" s="87" t="str">
        <f t="shared" si="56"/>
        <v>CEK</v>
      </c>
      <c r="C153" s="87" t="str">
        <f t="shared" si="56"/>
        <v>Commercial - Cooking</v>
      </c>
      <c r="D153" s="159"/>
      <c r="E153" s="159"/>
      <c r="F153" s="159"/>
      <c r="G153" s="159"/>
      <c r="H153" s="159"/>
      <c r="I153" s="158"/>
      <c r="J153" s="157">
        <f t="shared" si="55"/>
        <v>1.9788999513059524</v>
      </c>
      <c r="K153" s="157">
        <f t="shared" si="55"/>
        <v>1.9150740151967034</v>
      </c>
      <c r="L153" s="157">
        <f t="shared" si="55"/>
        <v>1.8552495695318501</v>
      </c>
      <c r="M153" s="157">
        <f t="shared" si="55"/>
        <v>1.7909305310659525</v>
      </c>
      <c r="N153" s="157">
        <f t="shared" si="55"/>
        <v>1.7241477141403778</v>
      </c>
      <c r="O153" s="157">
        <f t="shared" si="55"/>
        <v>1.6505641448308161</v>
      </c>
      <c r="P153" s="157">
        <f t="shared" si="55"/>
        <v>1.6624378450686219</v>
      </c>
      <c r="Q153" s="157">
        <f t="shared" si="55"/>
        <v>1.6722279685344938</v>
      </c>
      <c r="R153" s="157">
        <f t="shared" si="55"/>
        <v>1.6722279685344938</v>
      </c>
      <c r="S153" s="157">
        <f t="shared" si="55"/>
        <v>1.6887627543229273</v>
      </c>
      <c r="T153" s="157">
        <f t="shared" si="55"/>
        <v>1.7059801197512756</v>
      </c>
      <c r="U153" s="157">
        <f t="shared" si="55"/>
        <v>1.7244784857225701</v>
      </c>
      <c r="V153" s="157">
        <f t="shared" si="55"/>
        <v>1.744130968622134</v>
      </c>
      <c r="W153" s="157">
        <f t="shared" si="55"/>
        <v>1.7636663587396888</v>
      </c>
      <c r="X153" s="157">
        <f t="shared" si="55"/>
        <v>1.7850579678865621</v>
      </c>
      <c r="Y153" s="157">
        <f t="shared" si="55"/>
        <v>1.8067781404887555</v>
      </c>
      <c r="Z153" s="157">
        <f t="shared" si="55"/>
        <v>1.829642530447684</v>
      </c>
      <c r="AA153" s="157">
        <f t="shared" si="55"/>
        <v>1.8527998742766905</v>
      </c>
      <c r="AB153" s="157">
        <f t="shared" si="55"/>
        <v>1.8730784531746585</v>
      </c>
      <c r="AC153" s="157">
        <f t="shared" si="55"/>
        <v>1.8968049892579524</v>
      </c>
      <c r="AD153" s="157">
        <f t="shared" si="55"/>
        <v>1.9208331662226161</v>
      </c>
      <c r="AE153" s="157">
        <f t="shared" si="55"/>
        <v>1.945197303496393</v>
      </c>
      <c r="AF153" s="157">
        <f t="shared" si="55"/>
        <v>1.9685352395961875</v>
      </c>
      <c r="AG153" s="157">
        <f t="shared" si="55"/>
        <v>1.9928381589614428</v>
      </c>
      <c r="AH153" s="157">
        <f t="shared" si="55"/>
        <v>2.017557053933301</v>
      </c>
      <c r="AI153" s="157">
        <f t="shared" si="55"/>
        <v>2.0428529376552182</v>
      </c>
      <c r="AJ153" s="157">
        <f t="shared" si="55"/>
        <v>2.0676422895970616</v>
      </c>
      <c r="AK153" s="157">
        <f t="shared" si="55"/>
        <v>2.092907521126786</v>
      </c>
      <c r="AL153" s="157">
        <f t="shared" si="55"/>
        <v>2.1192570947644116</v>
      </c>
      <c r="AM153" s="157">
        <f t="shared" si="55"/>
        <v>2.1488678452886312</v>
      </c>
      <c r="AN153" s="157">
        <f t="shared" si="55"/>
        <v>2.1779746696975306</v>
      </c>
      <c r="AO153" s="157">
        <f t="shared" si="55"/>
        <v>2.2066008346372592</v>
      </c>
      <c r="AP153" s="157">
        <f t="shared" si="55"/>
        <v>2.234767893309717</v>
      </c>
      <c r="AQ153" s="157">
        <f t="shared" si="55"/>
        <v>2.2624958560948585</v>
      </c>
      <c r="AR153" s="157">
        <f t="shared" si="55"/>
        <v>2.2934880969087263</v>
      </c>
      <c r="AS153" s="157">
        <f t="shared" si="55"/>
        <v>2.3239629332234975</v>
      </c>
      <c r="AT153" s="157">
        <f t="shared" si="55"/>
        <v>2.3539438128309524</v>
      </c>
      <c r="AU153" s="157">
        <f t="shared" si="55"/>
        <v>2.383452487725191</v>
      </c>
      <c r="AV153" s="157">
        <f t="shared" si="55"/>
        <v>2.4142008275816536</v>
      </c>
    </row>
    <row r="154" spans="1:48">
      <c r="A154" s="185" t="s">
        <v>16</v>
      </c>
      <c r="B154" s="87" t="str">
        <f t="shared" si="56"/>
        <v>CEL</v>
      </c>
      <c r="C154" s="87" t="str">
        <f t="shared" si="56"/>
        <v>Commercial - Lighting</v>
      </c>
      <c r="D154" s="159"/>
      <c r="E154" s="159"/>
      <c r="F154" s="159"/>
      <c r="G154" s="159"/>
      <c r="H154" s="159"/>
      <c r="I154" s="158"/>
      <c r="J154" s="157">
        <f t="shared" si="55"/>
        <v>24.308054381137783</v>
      </c>
      <c r="K154" s="157">
        <f t="shared" si="55"/>
        <v>23.651084988254869</v>
      </c>
      <c r="L154" s="157">
        <f t="shared" si="55"/>
        <v>23.046284983428656</v>
      </c>
      <c r="M154" s="157">
        <f t="shared" si="55"/>
        <v>22.388735373207769</v>
      </c>
      <c r="N154" s="157">
        <f t="shared" si="55"/>
        <v>21.703334725851605</v>
      </c>
      <c r="O154" s="157">
        <f t="shared" si="55"/>
        <v>20.934855954282259</v>
      </c>
      <c r="P154" s="157">
        <f t="shared" si="55"/>
        <v>21.085455496203284</v>
      </c>
      <c r="Q154" s="157">
        <f t="shared" si="55"/>
        <v>21.209628086026306</v>
      </c>
      <c r="R154" s="157">
        <f t="shared" si="55"/>
        <v>21.209628086026306</v>
      </c>
      <c r="S154" s="157">
        <f t="shared" si="55"/>
        <v>21.419346296493828</v>
      </c>
      <c r="T154" s="157">
        <f t="shared" si="55"/>
        <v>21.637721975066231</v>
      </c>
      <c r="U154" s="157">
        <f t="shared" si="55"/>
        <v>21.872345166301457</v>
      </c>
      <c r="V154" s="157">
        <f t="shared" si="55"/>
        <v>22.1216065475903</v>
      </c>
      <c r="W154" s="157">
        <f t="shared" si="55"/>
        <v>22.369382787854889</v>
      </c>
      <c r="X154" s="157">
        <f t="shared" si="55"/>
        <v>22.640702298534073</v>
      </c>
      <c r="Y154" s="157">
        <f t="shared" si="55"/>
        <v>22.916189128993288</v>
      </c>
      <c r="Z154" s="157">
        <f t="shared" si="55"/>
        <v>23.206188588736651</v>
      </c>
      <c r="AA154" s="157">
        <f t="shared" si="55"/>
        <v>23.499903715690245</v>
      </c>
      <c r="AB154" s="157">
        <f t="shared" si="55"/>
        <v>23.757106157362109</v>
      </c>
      <c r="AC154" s="157">
        <f t="shared" si="55"/>
        <v>24.058040608624374</v>
      </c>
      <c r="AD154" s="157">
        <f t="shared" si="55"/>
        <v>24.362800908413149</v>
      </c>
      <c r="AE154" s="157">
        <f t="shared" si="55"/>
        <v>24.671822345643726</v>
      </c>
      <c r="AF154" s="157">
        <f t="shared" si="55"/>
        <v>24.967828006526126</v>
      </c>
      <c r="AG154" s="157">
        <f t="shared" si="55"/>
        <v>25.276072989172533</v>
      </c>
      <c r="AH154" s="157">
        <f t="shared" si="55"/>
        <v>25.589593979680856</v>
      </c>
      <c r="AI154" s="157">
        <f t="shared" si="55"/>
        <v>25.910433181000652</v>
      </c>
      <c r="AJ154" s="157">
        <f t="shared" si="55"/>
        <v>26.224847809312898</v>
      </c>
      <c r="AK154" s="157">
        <f t="shared" si="55"/>
        <v>26.545298234934243</v>
      </c>
      <c r="AL154" s="157">
        <f t="shared" si="55"/>
        <v>26.879501864819218</v>
      </c>
      <c r="AM154" s="157">
        <f t="shared" si="55"/>
        <v>27.255068484792208</v>
      </c>
      <c r="AN154" s="157">
        <f t="shared" si="55"/>
        <v>27.624243580589148</v>
      </c>
      <c r="AO154" s="157">
        <f t="shared" si="55"/>
        <v>27.987322253668019</v>
      </c>
      <c r="AP154" s="157">
        <f t="shared" si="55"/>
        <v>28.344577873093925</v>
      </c>
      <c r="AQ154" s="157">
        <f t="shared" si="55"/>
        <v>28.69626423961931</v>
      </c>
      <c r="AR154" s="157">
        <f t="shared" si="55"/>
        <v>29.089352929429214</v>
      </c>
      <c r="AS154" s="157">
        <f t="shared" si="55"/>
        <v>29.475879142589786</v>
      </c>
      <c r="AT154" s="157">
        <f t="shared" si="55"/>
        <v>29.856140278111472</v>
      </c>
      <c r="AU154" s="157">
        <f t="shared" si="55"/>
        <v>30.23041222643127</v>
      </c>
      <c r="AV154" s="157">
        <f t="shared" si="55"/>
        <v>30.620407409438432</v>
      </c>
    </row>
    <row r="155" spans="1:48">
      <c r="A155" s="185" t="s">
        <v>16</v>
      </c>
      <c r="B155" s="87" t="str">
        <f t="shared" si="56"/>
        <v>CER</v>
      </c>
      <c r="C155" s="87" t="str">
        <f t="shared" si="56"/>
        <v>Commercial - Refrigeration</v>
      </c>
      <c r="D155" s="159"/>
      <c r="E155" s="159"/>
      <c r="F155" s="159"/>
      <c r="G155" s="159"/>
      <c r="H155" s="159"/>
      <c r="I155" s="158"/>
      <c r="J155" s="157">
        <f t="shared" si="55"/>
        <v>5.9132780747494111</v>
      </c>
      <c r="K155" s="157">
        <f t="shared" si="55"/>
        <v>5.7534609768524074</v>
      </c>
      <c r="L155" s="157">
        <f t="shared" si="55"/>
        <v>5.6063348205557402</v>
      </c>
      <c r="M155" s="157">
        <f t="shared" si="55"/>
        <v>5.4463765765838827</v>
      </c>
      <c r="N155" s="157">
        <f t="shared" si="55"/>
        <v>5.2796431738655141</v>
      </c>
      <c r="O155" s="157">
        <f t="shared" si="55"/>
        <v>5.0926998422610916</v>
      </c>
      <c r="P155" s="157">
        <f t="shared" si="55"/>
        <v>5.1293353111203324</v>
      </c>
      <c r="Q155" s="157">
        <f t="shared" si="55"/>
        <v>5.1595420500625941</v>
      </c>
      <c r="R155" s="157">
        <f t="shared" si="55"/>
        <v>5.1595420500625941</v>
      </c>
      <c r="S155" s="157">
        <f t="shared" si="55"/>
        <v>5.2105589713014879</v>
      </c>
      <c r="T155" s="157">
        <f t="shared" si="55"/>
        <v>5.2636819441200258</v>
      </c>
      <c r="U155" s="157">
        <f t="shared" si="55"/>
        <v>5.3207573542209499</v>
      </c>
      <c r="V155" s="157">
        <f t="shared" si="55"/>
        <v>5.3813937111151002</v>
      </c>
      <c r="W155" s="157">
        <f t="shared" si="55"/>
        <v>5.4416687864472228</v>
      </c>
      <c r="X155" s="157">
        <f t="shared" si="55"/>
        <v>5.5076710953360788</v>
      </c>
      <c r="Y155" s="157">
        <f t="shared" si="55"/>
        <v>5.5746871637097266</v>
      </c>
      <c r="Z155" s="157">
        <f t="shared" si="55"/>
        <v>5.6452336344433229</v>
      </c>
      <c r="AA155" s="157">
        <f t="shared" si="55"/>
        <v>5.7166839937853133</v>
      </c>
      <c r="AB155" s="157">
        <f t="shared" si="55"/>
        <v>5.7792521259469067</v>
      </c>
      <c r="AC155" s="157">
        <f t="shared" si="55"/>
        <v>5.8524586880470286</v>
      </c>
      <c r="AD155" s="157">
        <f t="shared" si="55"/>
        <v>5.9265959419192846</v>
      </c>
      <c r="AE155" s="157">
        <f t="shared" si="55"/>
        <v>6.0017697777496464</v>
      </c>
      <c r="AF155" s="157">
        <f t="shared" si="55"/>
        <v>6.0737773418702785</v>
      </c>
      <c r="AG155" s="157">
        <f t="shared" si="55"/>
        <v>6.1487622941397984</v>
      </c>
      <c r="AH155" s="157">
        <f t="shared" si="55"/>
        <v>6.2250307099528381</v>
      </c>
      <c r="AI155" s="157">
        <f t="shared" si="55"/>
        <v>6.3030793840646009</v>
      </c>
      <c r="AJ155" s="157">
        <f t="shared" si="55"/>
        <v>6.3795651899142864</v>
      </c>
      <c r="AK155" s="157">
        <f t="shared" si="55"/>
        <v>6.4575192888380242</v>
      </c>
      <c r="AL155" s="157">
        <f t="shared" si="55"/>
        <v>6.5388190492431182</v>
      </c>
      <c r="AM155" s="157">
        <f t="shared" si="55"/>
        <v>6.6301809420821156</v>
      </c>
      <c r="AN155" s="157">
        <f t="shared" si="55"/>
        <v>6.7199880062547832</v>
      </c>
      <c r="AO155" s="157">
        <f t="shared" si="55"/>
        <v>6.8083120293650978</v>
      </c>
      <c r="AP155" s="157">
        <f t="shared" si="55"/>
        <v>6.8952195123050535</v>
      </c>
      <c r="AQ155" s="157">
        <f t="shared" si="55"/>
        <v>6.9807721956977877</v>
      </c>
      <c r="AR155" s="157">
        <f t="shared" si="55"/>
        <v>7.0763965798808579</v>
      </c>
      <c r="AS155" s="157">
        <f t="shared" si="55"/>
        <v>7.1704245487902867</v>
      </c>
      <c r="AT155" s="157">
        <f t="shared" si="55"/>
        <v>7.2629284489421853</v>
      </c>
      <c r="AU155" s="157">
        <f t="shared" si="55"/>
        <v>7.3539753945879278</v>
      </c>
      <c r="AV155" s="157">
        <f t="shared" si="55"/>
        <v>7.4488472394824177</v>
      </c>
    </row>
    <row r="156" spans="1:48">
      <c r="A156" s="185" t="s">
        <v>16</v>
      </c>
      <c r="B156" s="87" t="str">
        <f t="shared" si="56"/>
        <v>CEW</v>
      </c>
      <c r="C156" s="87" t="str">
        <f t="shared" si="56"/>
        <v>Commercial - Water Heating</v>
      </c>
      <c r="D156" s="159"/>
      <c r="E156" s="159"/>
      <c r="F156" s="159"/>
      <c r="G156" s="159"/>
      <c r="H156" s="159"/>
      <c r="I156" s="158"/>
      <c r="J156" s="157">
        <f t="shared" si="55"/>
        <v>1.9366218046150063</v>
      </c>
      <c r="K156" s="157">
        <f t="shared" si="55"/>
        <v>1.9347251007785318</v>
      </c>
      <c r="L156" s="157">
        <f t="shared" si="55"/>
        <v>1.9381824990609346</v>
      </c>
      <c r="M156" s="157">
        <f t="shared" si="55"/>
        <v>1.9384142079955711</v>
      </c>
      <c r="N156" s="157">
        <f t="shared" si="55"/>
        <v>1.9373851612697315</v>
      </c>
      <c r="O156" s="157">
        <f t="shared" si="55"/>
        <v>1.9299198240162896</v>
      </c>
      <c r="P156" s="157">
        <f t="shared" si="55"/>
        <v>1.9438031314570416</v>
      </c>
      <c r="Q156" s="157">
        <f t="shared" si="55"/>
        <v>1.9552502196635348</v>
      </c>
      <c r="R156" s="157">
        <f t="shared" si="55"/>
        <v>1.9552502196635348</v>
      </c>
      <c r="S156" s="157">
        <f t="shared" si="55"/>
        <v>1.9745834948827368</v>
      </c>
      <c r="T156" s="157">
        <f t="shared" si="55"/>
        <v>1.9947148753937969</v>
      </c>
      <c r="U156" s="157">
        <f t="shared" si="55"/>
        <v>2.0163440640028645</v>
      </c>
      <c r="V156" s="157">
        <f t="shared" si="55"/>
        <v>2.0393227022204643</v>
      </c>
      <c r="W156" s="157">
        <f t="shared" si="55"/>
        <v>2.0621644298660295</v>
      </c>
      <c r="X156" s="157">
        <f t="shared" si="55"/>
        <v>2.0871765390224359</v>
      </c>
      <c r="Y156" s="157">
        <f t="shared" si="55"/>
        <v>2.1125728205406711</v>
      </c>
      <c r="Z156" s="157">
        <f t="shared" si="55"/>
        <v>2.139306976607231</v>
      </c>
      <c r="AA156" s="157">
        <f t="shared" si="55"/>
        <v>2.1663836685777458</v>
      </c>
      <c r="AB156" s="157">
        <f t="shared" si="55"/>
        <v>2.1900943686681558</v>
      </c>
      <c r="AC156" s="157">
        <f t="shared" si="55"/>
        <v>2.2178365878880459</v>
      </c>
      <c r="AD156" s="157">
        <f t="shared" si="55"/>
        <v>2.2459315002877269</v>
      </c>
      <c r="AE156" s="157">
        <f t="shared" si="55"/>
        <v>2.2744192338102165</v>
      </c>
      <c r="AF156" s="157">
        <f t="shared" si="55"/>
        <v>2.3017070830414474</v>
      </c>
      <c r="AG156" s="157">
        <f t="shared" si="55"/>
        <v>2.3301232376097891</v>
      </c>
      <c r="AH156" s="157">
        <f t="shared" si="55"/>
        <v>2.3590257710759182</v>
      </c>
      <c r="AI156" s="157">
        <f t="shared" si="55"/>
        <v>2.388602947833228</v>
      </c>
      <c r="AJ156" s="157">
        <f t="shared" si="55"/>
        <v>2.4175878630132344</v>
      </c>
      <c r="AK156" s="157">
        <f t="shared" si="55"/>
        <v>2.4471291997375784</v>
      </c>
      <c r="AL156" s="157">
        <f t="shared" si="55"/>
        <v>2.4779384019590669</v>
      </c>
      <c r="AM156" s="157">
        <f t="shared" si="55"/>
        <v>2.5125607307062778</v>
      </c>
      <c r="AN156" s="157">
        <f t="shared" si="55"/>
        <v>2.5465938445460643</v>
      </c>
      <c r="AO156" s="157">
        <f t="shared" si="55"/>
        <v>2.580064947971981</v>
      </c>
      <c r="AP156" s="157">
        <f t="shared" si="55"/>
        <v>2.6129992420352863</v>
      </c>
      <c r="AQ156" s="157">
        <f t="shared" si="55"/>
        <v>2.6454201238448301</v>
      </c>
      <c r="AR156" s="157">
        <f t="shared" si="55"/>
        <v>2.6816577581862089</v>
      </c>
      <c r="AS156" s="157">
        <f t="shared" si="55"/>
        <v>2.7172904180387332</v>
      </c>
      <c r="AT156" s="157">
        <f t="shared" si="55"/>
        <v>2.7523455197002344</v>
      </c>
      <c r="AU156" s="157">
        <f t="shared" si="55"/>
        <v>2.7868484966594727</v>
      </c>
      <c r="AV156" s="157">
        <f t="shared" si="55"/>
        <v>2.8228009501466165</v>
      </c>
    </row>
    <row r="157" spans="1:48">
      <c r="A157" s="185" t="s">
        <v>16</v>
      </c>
      <c r="B157" s="87" t="str">
        <f t="shared" si="56"/>
        <v>CEG</v>
      </c>
      <c r="C157" s="87" t="str">
        <f t="shared" si="56"/>
        <v>Commercial - Public lights</v>
      </c>
      <c r="D157" s="159"/>
      <c r="E157" s="159"/>
      <c r="F157" s="159"/>
      <c r="G157" s="159"/>
      <c r="H157" s="159"/>
      <c r="I157" s="158"/>
      <c r="J157" s="157">
        <f t="shared" si="55"/>
        <v>10.30055287377321</v>
      </c>
      <c r="K157" s="157">
        <f t="shared" si="55"/>
        <v>10.022161692737667</v>
      </c>
      <c r="L157" s="157">
        <f t="shared" si="55"/>
        <v>9.765877321718456</v>
      </c>
      <c r="M157" s="157">
        <f t="shared" si="55"/>
        <v>9.4872402732319685</v>
      </c>
      <c r="N157" s="157">
        <f t="shared" si="55"/>
        <v>9.1968013307681549</v>
      </c>
      <c r="O157" s="157">
        <f t="shared" si="55"/>
        <v>8.8711579824850144</v>
      </c>
      <c r="P157" s="157">
        <f t="shared" si="55"/>
        <v>8.9349746302512507</v>
      </c>
      <c r="Q157" s="157">
        <f t="shared" si="55"/>
        <v>8.9875928409435009</v>
      </c>
      <c r="R157" s="157">
        <f t="shared" si="55"/>
        <v>8.9875928409435009</v>
      </c>
      <c r="S157" s="157">
        <f t="shared" si="55"/>
        <v>9.0764610605732052</v>
      </c>
      <c r="T157" s="157">
        <f t="shared" si="55"/>
        <v>9.1689978875940721</v>
      </c>
      <c r="U157" s="157">
        <f t="shared" si="55"/>
        <v>9.2684196080180303</v>
      </c>
      <c r="V157" s="157">
        <f t="shared" si="55"/>
        <v>9.3740442704076212</v>
      </c>
      <c r="W157" s="157">
        <f t="shared" si="55"/>
        <v>9.479039603382132</v>
      </c>
      <c r="X157" s="157">
        <f t="shared" si="55"/>
        <v>9.5940114115580197</v>
      </c>
      <c r="Y157" s="157">
        <f t="shared" si="55"/>
        <v>9.7107491240330788</v>
      </c>
      <c r="Z157" s="157">
        <f t="shared" si="55"/>
        <v>9.8336365720211045</v>
      </c>
      <c r="AA157" s="157">
        <f t="shared" si="55"/>
        <v>9.9580985362563066</v>
      </c>
      <c r="AB157" s="157">
        <f t="shared" si="55"/>
        <v>10.067088227827853</v>
      </c>
      <c r="AC157" s="157">
        <f t="shared" si="55"/>
        <v>10.194609385143192</v>
      </c>
      <c r="AD157" s="157">
        <f t="shared" si="55"/>
        <v>10.323751748105698</v>
      </c>
      <c r="AE157" s="157">
        <f t="shared" si="55"/>
        <v>10.454699770658788</v>
      </c>
      <c r="AF157" s="157">
        <f t="shared" si="55"/>
        <v>10.580132350043721</v>
      </c>
      <c r="AG157" s="157">
        <f t="shared" ref="K157:AV159" si="57">AG98*AG$34/1000</f>
        <v>10.710751349493071</v>
      </c>
      <c r="AH157" s="157">
        <f t="shared" si="57"/>
        <v>10.843606060492677</v>
      </c>
      <c r="AI157" s="157">
        <f t="shared" si="57"/>
        <v>10.979561867788309</v>
      </c>
      <c r="AJ157" s="157">
        <f t="shared" si="57"/>
        <v>11.112795258352513</v>
      </c>
      <c r="AK157" s="157">
        <f t="shared" si="57"/>
        <v>11.248586321708745</v>
      </c>
      <c r="AL157" s="157">
        <f t="shared" si="57"/>
        <v>11.390205313762191</v>
      </c>
      <c r="AM157" s="157">
        <f t="shared" si="57"/>
        <v>11.549351898100014</v>
      </c>
      <c r="AN157" s="157">
        <f t="shared" si="57"/>
        <v>11.705790070168915</v>
      </c>
      <c r="AO157" s="157">
        <f t="shared" si="57"/>
        <v>11.859644879391753</v>
      </c>
      <c r="AP157" s="157">
        <f t="shared" si="57"/>
        <v>12.011032166076641</v>
      </c>
      <c r="AQ157" s="157">
        <f t="shared" si="57"/>
        <v>12.160059478447263</v>
      </c>
      <c r="AR157" s="157">
        <f t="shared" si="57"/>
        <v>12.326631050568276</v>
      </c>
      <c r="AS157" s="157">
        <f t="shared" si="57"/>
        <v>12.49042176920552</v>
      </c>
      <c r="AT157" s="157">
        <f t="shared" si="57"/>
        <v>12.651557657371113</v>
      </c>
      <c r="AU157" s="157">
        <f t="shared" si="57"/>
        <v>12.810155623806043</v>
      </c>
      <c r="AV157" s="157">
        <f t="shared" si="57"/>
        <v>12.975416320532121</v>
      </c>
    </row>
    <row r="158" spans="1:48">
      <c r="A158" s="185" t="s">
        <v>16</v>
      </c>
      <c r="B158" s="87" t="str">
        <f t="shared" si="56"/>
        <v>CET</v>
      </c>
      <c r="C158" s="87" t="str">
        <f t="shared" si="56"/>
        <v>Commercial - Public Water</v>
      </c>
      <c r="D158" s="159"/>
      <c r="E158" s="159"/>
      <c r="F158" s="159"/>
      <c r="G158" s="159"/>
      <c r="H158" s="159"/>
      <c r="I158" s="158"/>
      <c r="J158" s="157">
        <f t="shared" ref="J158:J159" si="58">J99*J$34/1000</f>
        <v>3.5593512487513528</v>
      </c>
      <c r="K158" s="157">
        <f t="shared" si="57"/>
        <v>3.4631533057862538</v>
      </c>
      <c r="L158" s="157">
        <f t="shared" si="57"/>
        <v>3.3745943607275568</v>
      </c>
      <c r="M158" s="157">
        <f t="shared" si="57"/>
        <v>3.2783114583792798</v>
      </c>
      <c r="N158" s="157">
        <f t="shared" si="57"/>
        <v>3.1779504170630659</v>
      </c>
      <c r="O158" s="157">
        <f t="shared" si="57"/>
        <v>3.0654245097100388</v>
      </c>
      <c r="P158" s="157">
        <f t="shared" si="57"/>
        <v>3.087476322627404</v>
      </c>
      <c r="Q158" s="157">
        <f t="shared" si="57"/>
        <v>3.1056585208287628</v>
      </c>
      <c r="R158" s="157">
        <f t="shared" si="57"/>
        <v>3.1056585208287628</v>
      </c>
      <c r="S158" s="157">
        <f t="shared" si="57"/>
        <v>3.1363668927374868</v>
      </c>
      <c r="T158" s="157">
        <f t="shared" si="57"/>
        <v>3.1683429502218221</v>
      </c>
      <c r="U158" s="157">
        <f t="shared" si="57"/>
        <v>3.2026980794154261</v>
      </c>
      <c r="V158" s="157">
        <f t="shared" si="57"/>
        <v>3.2391966323166557</v>
      </c>
      <c r="W158" s="157">
        <f t="shared" si="57"/>
        <v>3.2754777207315735</v>
      </c>
      <c r="X158" s="157">
        <f t="shared" si="57"/>
        <v>3.3152061755064617</v>
      </c>
      <c r="Y158" s="157">
        <f t="shared" si="57"/>
        <v>3.3555448376895782</v>
      </c>
      <c r="Z158" s="157">
        <f t="shared" si="57"/>
        <v>3.3980085381153811</v>
      </c>
      <c r="AA158" s="157">
        <f t="shared" si="57"/>
        <v>3.4410163118971724</v>
      </c>
      <c r="AB158" s="157">
        <f t="shared" si="57"/>
        <v>3.4786776490651938</v>
      </c>
      <c r="AC158" s="157">
        <f t="shared" si="57"/>
        <v>3.5227425255912155</v>
      </c>
      <c r="AD158" s="157">
        <f t="shared" si="57"/>
        <v>3.5673676089736492</v>
      </c>
      <c r="AE158" s="157">
        <f t="shared" si="57"/>
        <v>3.6126166371867461</v>
      </c>
      <c r="AF158" s="157">
        <f t="shared" si="57"/>
        <v>3.6559598065815284</v>
      </c>
      <c r="AG158" s="157">
        <f t="shared" si="57"/>
        <v>3.7010951410143482</v>
      </c>
      <c r="AH158" s="157">
        <f t="shared" si="57"/>
        <v>3.7470030245322286</v>
      </c>
      <c r="AI158" s="157">
        <f t="shared" si="57"/>
        <v>3.7939824904310764</v>
      </c>
      <c r="AJ158" s="157">
        <f t="shared" si="57"/>
        <v>3.8400212264961593</v>
      </c>
      <c r="AK158" s="157">
        <f t="shared" si="57"/>
        <v>3.8869437652034651</v>
      </c>
      <c r="AL158" s="157">
        <f t="shared" si="57"/>
        <v>3.9358801419581333</v>
      </c>
      <c r="AM158" s="157">
        <f t="shared" si="57"/>
        <v>3.9908731700643849</v>
      </c>
      <c r="AN158" s="157">
        <f t="shared" si="57"/>
        <v>4.0449303075723684</v>
      </c>
      <c r="AO158" s="157">
        <f t="shared" si="57"/>
        <v>4.098094765251922</v>
      </c>
      <c r="AP158" s="157">
        <f t="shared" si="57"/>
        <v>4.150406571667566</v>
      </c>
      <c r="AQ158" s="157">
        <f t="shared" si="57"/>
        <v>4.2019028900579141</v>
      </c>
      <c r="AR158" s="157">
        <f t="shared" si="57"/>
        <v>4.2594616192349637</v>
      </c>
      <c r="AS158" s="157">
        <f t="shared" si="57"/>
        <v>4.3160594257856921</v>
      </c>
      <c r="AT158" s="157">
        <f t="shared" si="57"/>
        <v>4.3717398569032468</v>
      </c>
      <c r="AU158" s="157">
        <f t="shared" si="57"/>
        <v>4.4265433103486354</v>
      </c>
      <c r="AV158" s="157">
        <f t="shared" si="57"/>
        <v>4.4836490671434168</v>
      </c>
    </row>
    <row r="159" spans="1:48">
      <c r="A159" s="185" t="s">
        <v>16</v>
      </c>
      <c r="B159" s="87" t="str">
        <f t="shared" si="56"/>
        <v>CEO</v>
      </c>
      <c r="C159" s="87" t="str">
        <f t="shared" si="56"/>
        <v>Commercial - Other</v>
      </c>
      <c r="D159" s="159"/>
      <c r="E159" s="159"/>
      <c r="F159" s="159"/>
      <c r="G159" s="159"/>
      <c r="H159" s="159"/>
      <c r="I159" s="158"/>
      <c r="J159" s="157">
        <f t="shared" si="58"/>
        <v>3.7520368714157861</v>
      </c>
      <c r="K159" s="157">
        <f t="shared" si="57"/>
        <v>3.6830638388302628</v>
      </c>
      <c r="L159" s="157">
        <f t="shared" si="57"/>
        <v>3.6229134377267136</v>
      </c>
      <c r="M159" s="157">
        <f t="shared" si="57"/>
        <v>3.5552490133731456</v>
      </c>
      <c r="N159" s="157">
        <f t="shared" si="57"/>
        <v>3.4839017055174701</v>
      </c>
      <c r="O159" s="157">
        <f t="shared" si="57"/>
        <v>3.3998483491588085</v>
      </c>
      <c r="P159" s="157">
        <f t="shared" si="57"/>
        <v>3.4243059143363488</v>
      </c>
      <c r="Q159" s="157">
        <f t="shared" si="57"/>
        <v>3.4444717074730447</v>
      </c>
      <c r="R159" s="157">
        <f t="shared" si="57"/>
        <v>3.4444717074730447</v>
      </c>
      <c r="S159" s="157">
        <f t="shared" si="57"/>
        <v>3.4785302227646526</v>
      </c>
      <c r="T159" s="157">
        <f t="shared" si="57"/>
        <v>3.5139947223490862</v>
      </c>
      <c r="U159" s="157">
        <f t="shared" si="57"/>
        <v>3.5520978395206328</v>
      </c>
      <c r="V159" s="157">
        <f t="shared" si="57"/>
        <v>3.5925782181549346</v>
      </c>
      <c r="W159" s="157">
        <f t="shared" si="57"/>
        <v>3.6328174079188376</v>
      </c>
      <c r="X159" s="157">
        <f t="shared" si="57"/>
        <v>3.6768800559968393</v>
      </c>
      <c r="Y159" s="157">
        <f t="shared" si="57"/>
        <v>3.7216194823295132</v>
      </c>
      <c r="Z159" s="157">
        <f t="shared" si="57"/>
        <v>3.7687157788895931</v>
      </c>
      <c r="AA159" s="157">
        <f t="shared" si="57"/>
        <v>3.8164155047284938</v>
      </c>
      <c r="AB159" s="157">
        <f t="shared" si="57"/>
        <v>3.8581855220922301</v>
      </c>
      <c r="AC159" s="157">
        <f t="shared" si="57"/>
        <v>3.9070576757656714</v>
      </c>
      <c r="AD159" s="157">
        <f t="shared" si="57"/>
        <v>3.9565511523097059</v>
      </c>
      <c r="AE159" s="157">
        <f t="shared" si="57"/>
        <v>4.0067366432210081</v>
      </c>
      <c r="AF159" s="157">
        <f t="shared" si="57"/>
        <v>4.0548083548052878</v>
      </c>
      <c r="AG159" s="157">
        <f t="shared" si="57"/>
        <v>4.1048677484631888</v>
      </c>
      <c r="AH159" s="157">
        <f t="shared" si="57"/>
        <v>4.1557839727894583</v>
      </c>
      <c r="AI159" s="157">
        <f t="shared" si="57"/>
        <v>4.2078886842493617</v>
      </c>
      <c r="AJ159" s="157">
        <f t="shared" si="57"/>
        <v>4.2589500365392068</v>
      </c>
      <c r="AK159" s="157">
        <f t="shared" si="57"/>
        <v>4.3109916103104897</v>
      </c>
      <c r="AL159" s="157">
        <f t="shared" si="57"/>
        <v>4.3652667226794817</v>
      </c>
      <c r="AM159" s="157">
        <f t="shared" si="57"/>
        <v>4.4262592394516425</v>
      </c>
      <c r="AN159" s="157">
        <f t="shared" si="57"/>
        <v>4.4862137642277737</v>
      </c>
      <c r="AO159" s="157">
        <f t="shared" si="57"/>
        <v>4.5451782218757124</v>
      </c>
      <c r="AP159" s="157">
        <f t="shared" si="57"/>
        <v>4.6031970078938906</v>
      </c>
      <c r="AQ159" s="157">
        <f t="shared" si="57"/>
        <v>4.660311339860832</v>
      </c>
      <c r="AR159" s="157">
        <f t="shared" si="57"/>
        <v>4.7241494639941797</v>
      </c>
      <c r="AS159" s="157">
        <f t="shared" si="57"/>
        <v>4.7869218332232961</v>
      </c>
      <c r="AT159" s="157">
        <f t="shared" si="57"/>
        <v>4.8486767455415825</v>
      </c>
      <c r="AU159" s="157">
        <f t="shared" si="57"/>
        <v>4.9094590059216072</v>
      </c>
      <c r="AV159" s="157">
        <f t="shared" si="57"/>
        <v>4.9727947404507749</v>
      </c>
    </row>
    <row r="160" spans="1:48">
      <c r="A160" s="185" t="s">
        <v>16</v>
      </c>
      <c r="B160" s="159"/>
      <c r="C160" s="159"/>
      <c r="D160" s="159"/>
      <c r="E160" s="159"/>
      <c r="F160" s="159"/>
      <c r="G160" s="159"/>
      <c r="H160" s="159"/>
      <c r="I160" s="158"/>
      <c r="K160" s="87"/>
    </row>
    <row r="161" spans="1:48" ht="15.75" thickBot="1">
      <c r="A161" s="185" t="s">
        <v>16</v>
      </c>
      <c r="B161" s="85" t="s">
        <v>479</v>
      </c>
      <c r="C161" s="85"/>
      <c r="D161" s="85"/>
      <c r="E161" s="85"/>
      <c r="F161" s="85"/>
      <c r="G161" s="85"/>
      <c r="H161" s="85"/>
      <c r="I161" s="151"/>
      <c r="K161" s="87"/>
    </row>
    <row r="162" spans="1:48">
      <c r="A162" s="185" t="s">
        <v>16</v>
      </c>
      <c r="B162" s="87" t="str">
        <f t="shared" ref="B162:B170" si="59">B70</f>
        <v>CEC</v>
      </c>
      <c r="C162" s="87" t="str">
        <f t="shared" ref="C162:C170" si="60">C138</f>
        <v>Commercial - Cooling</v>
      </c>
      <c r="E162" s="106"/>
      <c r="F162" s="106"/>
      <c r="I162" s="151"/>
      <c r="J162" s="157">
        <f t="shared" ref="J162:AV168" si="61">J$35*J70/1000</f>
        <v>111.73151548310749</v>
      </c>
      <c r="K162" s="157">
        <f t="shared" si="61"/>
        <v>108.71176800591805</v>
      </c>
      <c r="L162" s="157">
        <f t="shared" si="61"/>
        <v>105.93181614124477</v>
      </c>
      <c r="M162" s="157">
        <f t="shared" si="61"/>
        <v>102.90940170595718</v>
      </c>
      <c r="N162" s="157">
        <f t="shared" si="61"/>
        <v>99.758970501490609</v>
      </c>
      <c r="O162" s="157">
        <f t="shared" si="61"/>
        <v>96.226672259198224</v>
      </c>
      <c r="P162" s="157">
        <f t="shared" si="61"/>
        <v>95.264405536606233</v>
      </c>
      <c r="Q162" s="157">
        <f>Q$35*Q70/1000</f>
        <v>94.302138814014256</v>
      </c>
      <c r="R162" s="157">
        <f t="shared" si="61"/>
        <v>93.339872091422279</v>
      </c>
      <c r="S162" s="157">
        <f t="shared" si="61"/>
        <v>92.377605368830288</v>
      </c>
      <c r="T162" s="157">
        <f t="shared" si="61"/>
        <v>91.415338646238311</v>
      </c>
      <c r="U162" s="157">
        <f t="shared" si="61"/>
        <v>90.453071923646334</v>
      </c>
      <c r="V162" s="157">
        <f t="shared" si="61"/>
        <v>89.490805201054343</v>
      </c>
      <c r="W162" s="157">
        <f t="shared" si="61"/>
        <v>88.528538478462352</v>
      </c>
      <c r="X162" s="157">
        <f t="shared" si="61"/>
        <v>87.566271755870375</v>
      </c>
      <c r="Y162" s="157">
        <f t="shared" si="61"/>
        <v>86.604005033278398</v>
      </c>
      <c r="Z162" s="157">
        <f t="shared" si="61"/>
        <v>85.641738310686421</v>
      </c>
      <c r="AA162" s="157">
        <f t="shared" si="61"/>
        <v>84.67947158809443</v>
      </c>
      <c r="AB162" s="157">
        <f t="shared" si="61"/>
        <v>83.717204865502438</v>
      </c>
      <c r="AC162" s="157">
        <f t="shared" si="61"/>
        <v>82.754938142910476</v>
      </c>
      <c r="AD162" s="157">
        <f t="shared" si="61"/>
        <v>81.79267142031847</v>
      </c>
      <c r="AE162" s="157">
        <f t="shared" si="61"/>
        <v>80.830404697726493</v>
      </c>
      <c r="AF162" s="157">
        <f t="shared" si="61"/>
        <v>79.868137975134502</v>
      </c>
      <c r="AG162" s="157">
        <f t="shared" si="61"/>
        <v>78.905871252542539</v>
      </c>
      <c r="AH162" s="157">
        <f t="shared" si="61"/>
        <v>77.943604529950548</v>
      </c>
      <c r="AI162" s="157">
        <f t="shared" si="61"/>
        <v>76.981337807358557</v>
      </c>
      <c r="AJ162" s="157">
        <f t="shared" si="61"/>
        <v>76.01907108476658</v>
      </c>
      <c r="AK162" s="157">
        <f t="shared" si="61"/>
        <v>75.056804362174603</v>
      </c>
      <c r="AL162" s="157">
        <f t="shared" si="61"/>
        <v>74.094537639582612</v>
      </c>
      <c r="AM162" s="157">
        <f t="shared" si="61"/>
        <v>73.132270916990635</v>
      </c>
      <c r="AN162" s="157">
        <f t="shared" si="61"/>
        <v>72.170004194398643</v>
      </c>
      <c r="AO162" s="157">
        <f t="shared" si="61"/>
        <v>71.207737471806652</v>
      </c>
      <c r="AP162" s="157">
        <f t="shared" si="61"/>
        <v>70.245470749214689</v>
      </c>
      <c r="AQ162" s="157">
        <f t="shared" si="61"/>
        <v>69.283204026622698</v>
      </c>
      <c r="AR162" s="157">
        <f t="shared" si="61"/>
        <v>68.320937304030721</v>
      </c>
      <c r="AS162" s="157">
        <f t="shared" si="61"/>
        <v>67.35867058143873</v>
      </c>
      <c r="AT162" s="157">
        <f t="shared" si="61"/>
        <v>66.396403858846753</v>
      </c>
      <c r="AU162" s="157">
        <f t="shared" si="61"/>
        <v>65.434137136254762</v>
      </c>
      <c r="AV162" s="157">
        <f t="shared" si="61"/>
        <v>64.471870413662785</v>
      </c>
    </row>
    <row r="163" spans="1:48">
      <c r="A163" s="185" t="s">
        <v>16</v>
      </c>
      <c r="B163" s="87" t="str">
        <f t="shared" si="59"/>
        <v>CEH</v>
      </c>
      <c r="C163" s="87" t="str">
        <f t="shared" si="60"/>
        <v>Commercial - Space Heating</v>
      </c>
      <c r="E163" s="106"/>
      <c r="F163" s="106"/>
      <c r="I163" s="151"/>
      <c r="J163" s="157">
        <f t="shared" si="61"/>
        <v>6.2814039260015191</v>
      </c>
      <c r="K163" s="157">
        <f t="shared" si="61"/>
        <v>6.8368108629134001</v>
      </c>
      <c r="L163" s="157">
        <f t="shared" si="61"/>
        <v>7.4229176931176992</v>
      </c>
      <c r="M163" s="157">
        <f t="shared" si="61"/>
        <v>8.0094368722891875</v>
      </c>
      <c r="N163" s="157">
        <f t="shared" si="61"/>
        <v>8.6025330769490349</v>
      </c>
      <c r="O163" s="157">
        <f t="shared" si="61"/>
        <v>9.1767853690947074</v>
      </c>
      <c r="P163" s="157">
        <f t="shared" si="61"/>
        <v>9.0850175154037593</v>
      </c>
      <c r="Q163" s="157">
        <f t="shared" si="61"/>
        <v>8.9932496617128113</v>
      </c>
      <c r="R163" s="157">
        <f t="shared" si="61"/>
        <v>8.9014818080218649</v>
      </c>
      <c r="S163" s="157">
        <f t="shared" si="61"/>
        <v>8.8097139543309169</v>
      </c>
      <c r="T163" s="157">
        <f t="shared" si="61"/>
        <v>8.7179461006399706</v>
      </c>
      <c r="U163" s="157">
        <f t="shared" si="61"/>
        <v>8.6261782469490242</v>
      </c>
      <c r="V163" s="157">
        <f t="shared" si="61"/>
        <v>8.5344103932580762</v>
      </c>
      <c r="W163" s="157">
        <f t="shared" si="61"/>
        <v>8.4426425395671281</v>
      </c>
      <c r="X163" s="157">
        <f t="shared" si="61"/>
        <v>8.3508746858761818</v>
      </c>
      <c r="Y163" s="157">
        <f t="shared" si="61"/>
        <v>8.2591068321852337</v>
      </c>
      <c r="Z163" s="157">
        <f t="shared" si="61"/>
        <v>8.1673389784942874</v>
      </c>
      <c r="AA163" s="157">
        <f t="shared" si="61"/>
        <v>8.075571124803341</v>
      </c>
      <c r="AB163" s="157">
        <f t="shared" si="61"/>
        <v>7.983803271112393</v>
      </c>
      <c r="AC163" s="157">
        <f t="shared" si="61"/>
        <v>7.8920354174214475</v>
      </c>
      <c r="AD163" s="157">
        <f t="shared" si="61"/>
        <v>7.8002675637304986</v>
      </c>
      <c r="AE163" s="157">
        <f t="shared" si="61"/>
        <v>7.7084997100395514</v>
      </c>
      <c r="AF163" s="157">
        <f t="shared" si="61"/>
        <v>7.6167318563486042</v>
      </c>
      <c r="AG163" s="157">
        <f t="shared" si="61"/>
        <v>7.5249640026576579</v>
      </c>
      <c r="AH163" s="157">
        <f t="shared" si="61"/>
        <v>7.4331961489667107</v>
      </c>
      <c r="AI163" s="157">
        <f t="shared" si="61"/>
        <v>7.3414282952757643</v>
      </c>
      <c r="AJ163" s="157">
        <f t="shared" si="61"/>
        <v>7.2496604415848163</v>
      </c>
      <c r="AK163" s="157">
        <f t="shared" si="61"/>
        <v>7.1578925878938691</v>
      </c>
      <c r="AL163" s="157">
        <f t="shared" si="61"/>
        <v>7.0661247342029219</v>
      </c>
      <c r="AM163" s="157">
        <f t="shared" si="61"/>
        <v>6.9743568805119747</v>
      </c>
      <c r="AN163" s="157">
        <f t="shared" si="61"/>
        <v>6.8825890268210266</v>
      </c>
      <c r="AO163" s="157">
        <f t="shared" si="61"/>
        <v>6.7908211731300803</v>
      </c>
      <c r="AP163" s="157">
        <f t="shared" si="61"/>
        <v>6.699053319439134</v>
      </c>
      <c r="AQ163" s="157">
        <f t="shared" si="61"/>
        <v>6.6072854657481859</v>
      </c>
      <c r="AR163" s="157">
        <f t="shared" si="61"/>
        <v>6.5155176120572396</v>
      </c>
      <c r="AS163" s="157">
        <f t="shared" si="61"/>
        <v>6.4237497583662906</v>
      </c>
      <c r="AT163" s="157">
        <f t="shared" si="61"/>
        <v>6.3319819046753443</v>
      </c>
      <c r="AU163" s="157">
        <f t="shared" si="61"/>
        <v>6.240214050984398</v>
      </c>
      <c r="AV163" s="157">
        <f t="shared" si="61"/>
        <v>6.1484461972934508</v>
      </c>
    </row>
    <row r="164" spans="1:48">
      <c r="A164" s="185" t="s">
        <v>16</v>
      </c>
      <c r="B164" s="87" t="str">
        <f t="shared" si="59"/>
        <v>CEK</v>
      </c>
      <c r="C164" s="87" t="str">
        <f t="shared" si="60"/>
        <v>Commercial - Cooking</v>
      </c>
      <c r="E164" s="106"/>
      <c r="F164" s="106"/>
      <c r="I164" s="151"/>
      <c r="J164" s="157">
        <f t="shared" si="61"/>
        <v>7.9155998052238097</v>
      </c>
      <c r="K164" s="157">
        <f t="shared" si="61"/>
        <v>7.6602960607868127</v>
      </c>
      <c r="L164" s="157">
        <f t="shared" si="61"/>
        <v>7.4209982781273993</v>
      </c>
      <c r="M164" s="157">
        <f t="shared" si="61"/>
        <v>7.1637221242638089</v>
      </c>
      <c r="N164" s="157">
        <f t="shared" si="61"/>
        <v>6.8965908565615113</v>
      </c>
      <c r="O164" s="157">
        <f t="shared" si="61"/>
        <v>6.6022565793232646</v>
      </c>
      <c r="P164" s="157">
        <f t="shared" si="61"/>
        <v>6.5362340135300316</v>
      </c>
      <c r="Q164" s="157">
        <f t="shared" si="61"/>
        <v>6.4702114477367987</v>
      </c>
      <c r="R164" s="157">
        <f t="shared" si="61"/>
        <v>6.4041888819435666</v>
      </c>
      <c r="S164" s="157">
        <f t="shared" si="61"/>
        <v>6.3381663161503328</v>
      </c>
      <c r="T164" s="157">
        <f t="shared" si="61"/>
        <v>6.2721437503571007</v>
      </c>
      <c r="U164" s="157">
        <f t="shared" si="61"/>
        <v>6.2061211845638686</v>
      </c>
      <c r="V164" s="157">
        <f t="shared" si="61"/>
        <v>6.1400986187706357</v>
      </c>
      <c r="W164" s="157">
        <f t="shared" si="61"/>
        <v>6.0740760529774027</v>
      </c>
      <c r="X164" s="157">
        <f t="shared" si="61"/>
        <v>6.0080534871841698</v>
      </c>
      <c r="Y164" s="157">
        <f t="shared" si="61"/>
        <v>5.9420309213909377</v>
      </c>
      <c r="Z164" s="157">
        <f t="shared" si="61"/>
        <v>5.8760083555977047</v>
      </c>
      <c r="AA164" s="157">
        <f t="shared" si="61"/>
        <v>5.8099857898044718</v>
      </c>
      <c r="AB164" s="157">
        <f t="shared" si="61"/>
        <v>5.7439632240112397</v>
      </c>
      <c r="AC164" s="157">
        <f t="shared" si="61"/>
        <v>5.6779406582180076</v>
      </c>
      <c r="AD164" s="157">
        <f t="shared" si="61"/>
        <v>5.6119180924247738</v>
      </c>
      <c r="AE164" s="157">
        <f t="shared" si="61"/>
        <v>5.5458955266315408</v>
      </c>
      <c r="AF164" s="157">
        <f t="shared" si="61"/>
        <v>5.4798729608383079</v>
      </c>
      <c r="AG164" s="157">
        <f t="shared" si="61"/>
        <v>5.4138503950450758</v>
      </c>
      <c r="AH164" s="157">
        <f t="shared" si="61"/>
        <v>5.3478278292518437</v>
      </c>
      <c r="AI164" s="157">
        <f t="shared" si="61"/>
        <v>5.2818052634586099</v>
      </c>
      <c r="AJ164" s="157">
        <f t="shared" si="61"/>
        <v>5.2157826976653778</v>
      </c>
      <c r="AK164" s="157">
        <f t="shared" si="61"/>
        <v>5.1497601318721458</v>
      </c>
      <c r="AL164" s="157">
        <f t="shared" si="61"/>
        <v>5.0837375660789119</v>
      </c>
      <c r="AM164" s="157">
        <f t="shared" si="61"/>
        <v>5.0177150002856798</v>
      </c>
      <c r="AN164" s="157">
        <f t="shared" si="61"/>
        <v>4.951692434492446</v>
      </c>
      <c r="AO164" s="157">
        <f t="shared" si="61"/>
        <v>4.8856698686992139</v>
      </c>
      <c r="AP164" s="157">
        <f t="shared" si="61"/>
        <v>4.8196473029059819</v>
      </c>
      <c r="AQ164" s="157">
        <f t="shared" si="61"/>
        <v>4.753624737112748</v>
      </c>
      <c r="AR164" s="157">
        <f t="shared" si="61"/>
        <v>4.687602171319516</v>
      </c>
      <c r="AS164" s="157">
        <f t="shared" si="61"/>
        <v>4.621579605526283</v>
      </c>
      <c r="AT164" s="157">
        <f t="shared" si="61"/>
        <v>4.5555570397330509</v>
      </c>
      <c r="AU164" s="157">
        <f t="shared" si="61"/>
        <v>4.489534473939818</v>
      </c>
      <c r="AV164" s="157">
        <f t="shared" si="61"/>
        <v>4.4235119081465859</v>
      </c>
    </row>
    <row r="165" spans="1:48">
      <c r="A165" s="185" t="s">
        <v>16</v>
      </c>
      <c r="B165" s="87" t="str">
        <f t="shared" si="59"/>
        <v>CEL</v>
      </c>
      <c r="C165" s="87" t="str">
        <f t="shared" si="60"/>
        <v>Commercial - Lighting</v>
      </c>
      <c r="E165" s="106"/>
      <c r="F165" s="106"/>
      <c r="I165" s="151"/>
      <c r="J165" s="157">
        <f t="shared" si="61"/>
        <v>97.232217524551132</v>
      </c>
      <c r="K165" s="157">
        <f t="shared" si="61"/>
        <v>94.604339953019476</v>
      </c>
      <c r="L165" s="157">
        <f t="shared" si="61"/>
        <v>92.185139933714609</v>
      </c>
      <c r="M165" s="157">
        <f t="shared" si="61"/>
        <v>89.554941492831063</v>
      </c>
      <c r="N165" s="157">
        <f t="shared" si="61"/>
        <v>86.813338903406418</v>
      </c>
      <c r="O165" s="157">
        <f t="shared" si="61"/>
        <v>83.739423817129037</v>
      </c>
      <c r="P165" s="157">
        <f t="shared" si="61"/>
        <v>82.902029578957737</v>
      </c>
      <c r="Q165" s="157">
        <f t="shared" si="61"/>
        <v>82.064635340786452</v>
      </c>
      <c r="R165" s="157">
        <f t="shared" si="61"/>
        <v>81.227241102615153</v>
      </c>
      <c r="S165" s="157">
        <f t="shared" si="61"/>
        <v>80.389846864443854</v>
      </c>
      <c r="T165" s="157">
        <f t="shared" si="61"/>
        <v>79.552452626272569</v>
      </c>
      <c r="U165" s="157">
        <f t="shared" si="61"/>
        <v>78.715058388101284</v>
      </c>
      <c r="V165" s="157">
        <f t="shared" si="61"/>
        <v>77.877664149929998</v>
      </c>
      <c r="W165" s="157">
        <f t="shared" si="61"/>
        <v>77.040269911758685</v>
      </c>
      <c r="X165" s="157">
        <f t="shared" si="61"/>
        <v>76.2028756735874</v>
      </c>
      <c r="Y165" s="157">
        <f t="shared" si="61"/>
        <v>75.365481435416115</v>
      </c>
      <c r="Z165" s="157">
        <f t="shared" si="61"/>
        <v>74.528087197244815</v>
      </c>
      <c r="AA165" s="157">
        <f t="shared" si="61"/>
        <v>73.690692959073544</v>
      </c>
      <c r="AB165" s="157">
        <f t="shared" si="61"/>
        <v>72.853298720902245</v>
      </c>
      <c r="AC165" s="157">
        <f t="shared" si="61"/>
        <v>72.01590448273096</v>
      </c>
      <c r="AD165" s="157">
        <f t="shared" si="61"/>
        <v>71.178510244559661</v>
      </c>
      <c r="AE165" s="157">
        <f t="shared" si="61"/>
        <v>70.341116006388376</v>
      </c>
      <c r="AF165" s="157">
        <f t="shared" si="61"/>
        <v>69.503721768217076</v>
      </c>
      <c r="AG165" s="157">
        <f t="shared" si="61"/>
        <v>68.666327530045791</v>
      </c>
      <c r="AH165" s="157">
        <f t="shared" si="61"/>
        <v>67.828933291874506</v>
      </c>
      <c r="AI165" s="157">
        <f t="shared" si="61"/>
        <v>66.991539053703207</v>
      </c>
      <c r="AJ165" s="157">
        <f t="shared" si="61"/>
        <v>66.154144815531922</v>
      </c>
      <c r="AK165" s="157">
        <f t="shared" si="61"/>
        <v>65.316750577360622</v>
      </c>
      <c r="AL165" s="157">
        <f t="shared" si="61"/>
        <v>64.479356339189337</v>
      </c>
      <c r="AM165" s="157">
        <f t="shared" si="61"/>
        <v>63.641962101018045</v>
      </c>
      <c r="AN165" s="157">
        <f t="shared" si="61"/>
        <v>62.804567862846753</v>
      </c>
      <c r="AO165" s="157">
        <f t="shared" si="61"/>
        <v>61.967173624675461</v>
      </c>
      <c r="AP165" s="157">
        <f t="shared" si="61"/>
        <v>61.129779386504175</v>
      </c>
      <c r="AQ165" s="157">
        <f t="shared" si="61"/>
        <v>60.292385148332876</v>
      </c>
      <c r="AR165" s="157">
        <f t="shared" si="61"/>
        <v>59.454990910161591</v>
      </c>
      <c r="AS165" s="157">
        <f t="shared" si="61"/>
        <v>58.617596671990292</v>
      </c>
      <c r="AT165" s="157">
        <f t="shared" si="61"/>
        <v>57.780202433819007</v>
      </c>
      <c r="AU165" s="157">
        <f t="shared" si="61"/>
        <v>56.942808195647721</v>
      </c>
      <c r="AV165" s="157">
        <f t="shared" si="61"/>
        <v>56.105413957476429</v>
      </c>
    </row>
    <row r="166" spans="1:48">
      <c r="A166" s="185" t="s">
        <v>16</v>
      </c>
      <c r="B166" s="87" t="str">
        <f t="shared" si="59"/>
        <v>CER</v>
      </c>
      <c r="C166" s="87" t="str">
        <f t="shared" si="60"/>
        <v>Commercial - Refrigeration</v>
      </c>
      <c r="E166" s="106"/>
      <c r="F166" s="106"/>
      <c r="I166" s="151"/>
      <c r="J166" s="157">
        <f t="shared" si="61"/>
        <v>23.653112298997645</v>
      </c>
      <c r="K166" s="157">
        <f t="shared" si="61"/>
        <v>23.013843907409626</v>
      </c>
      <c r="L166" s="157">
        <f t="shared" si="61"/>
        <v>22.425339282222957</v>
      </c>
      <c r="M166" s="157">
        <f t="shared" si="61"/>
        <v>21.785506306335531</v>
      </c>
      <c r="N166" s="157">
        <f t="shared" si="61"/>
        <v>21.118572695462056</v>
      </c>
      <c r="O166" s="157">
        <f t="shared" si="61"/>
        <v>20.370799369044367</v>
      </c>
      <c r="P166" s="157">
        <f t="shared" si="61"/>
        <v>20.16709137535392</v>
      </c>
      <c r="Q166" s="157">
        <f t="shared" si="61"/>
        <v>19.963383381663476</v>
      </c>
      <c r="R166" s="157">
        <f t="shared" si="61"/>
        <v>19.759675387973033</v>
      </c>
      <c r="S166" s="157">
        <f t="shared" si="61"/>
        <v>19.55596739428259</v>
      </c>
      <c r="T166" s="157">
        <f t="shared" si="61"/>
        <v>19.352259400592146</v>
      </c>
      <c r="U166" s="157">
        <f t="shared" si="61"/>
        <v>19.148551406901703</v>
      </c>
      <c r="V166" s="157">
        <f t="shared" si="61"/>
        <v>18.94484341321126</v>
      </c>
      <c r="W166" s="157">
        <f t="shared" si="61"/>
        <v>18.741135419520813</v>
      </c>
      <c r="X166" s="157">
        <f t="shared" si="61"/>
        <v>18.537427425830369</v>
      </c>
      <c r="Y166" s="157">
        <f t="shared" si="61"/>
        <v>18.333719432139926</v>
      </c>
      <c r="Z166" s="157">
        <f t="shared" si="61"/>
        <v>18.130011438449486</v>
      </c>
      <c r="AA166" s="157">
        <f t="shared" si="61"/>
        <v>17.926303444759039</v>
      </c>
      <c r="AB166" s="157">
        <f t="shared" si="61"/>
        <v>17.722595451068596</v>
      </c>
      <c r="AC166" s="157">
        <f t="shared" si="61"/>
        <v>17.518887457378153</v>
      </c>
      <c r="AD166" s="157">
        <f t="shared" si="61"/>
        <v>17.315179463687706</v>
      </c>
      <c r="AE166" s="157">
        <f t="shared" si="61"/>
        <v>17.111471469997262</v>
      </c>
      <c r="AF166" s="157">
        <f t="shared" si="61"/>
        <v>16.907763476306819</v>
      </c>
      <c r="AG166" s="157">
        <f t="shared" si="61"/>
        <v>16.704055482616376</v>
      </c>
      <c r="AH166" s="157">
        <f t="shared" si="61"/>
        <v>16.500347488925936</v>
      </c>
      <c r="AI166" s="157">
        <f t="shared" si="61"/>
        <v>16.296639495235489</v>
      </c>
      <c r="AJ166" s="157">
        <f t="shared" si="61"/>
        <v>16.092931501545046</v>
      </c>
      <c r="AK166" s="157">
        <f t="shared" si="61"/>
        <v>15.8892235078546</v>
      </c>
      <c r="AL166" s="157">
        <f t="shared" si="61"/>
        <v>15.685515514164157</v>
      </c>
      <c r="AM166" s="157">
        <f t="shared" si="61"/>
        <v>15.481807520473712</v>
      </c>
      <c r="AN166" s="157">
        <f t="shared" si="61"/>
        <v>15.278099526783267</v>
      </c>
      <c r="AO166" s="157">
        <f t="shared" si="61"/>
        <v>15.074391533092825</v>
      </c>
      <c r="AP166" s="157">
        <f t="shared" si="61"/>
        <v>14.870683539402384</v>
      </c>
      <c r="AQ166" s="157">
        <f t="shared" si="61"/>
        <v>14.666975545711935</v>
      </c>
      <c r="AR166" s="157">
        <f t="shared" si="61"/>
        <v>14.463267552021494</v>
      </c>
      <c r="AS166" s="157">
        <f t="shared" si="61"/>
        <v>14.259559558331048</v>
      </c>
      <c r="AT166" s="157">
        <f t="shared" si="61"/>
        <v>14.055851564640607</v>
      </c>
      <c r="AU166" s="157">
        <f t="shared" si="61"/>
        <v>13.852143570950162</v>
      </c>
      <c r="AV166" s="157">
        <f t="shared" si="61"/>
        <v>13.648435577259718</v>
      </c>
    </row>
    <row r="167" spans="1:48">
      <c r="A167" s="185" t="s">
        <v>16</v>
      </c>
      <c r="B167" s="87" t="str">
        <f t="shared" si="59"/>
        <v>CEW</v>
      </c>
      <c r="C167" s="87" t="str">
        <f t="shared" si="60"/>
        <v>Commercial - Water Heating</v>
      </c>
      <c r="E167" s="106"/>
      <c r="F167" s="106"/>
      <c r="I167" s="151"/>
      <c r="J167" s="157">
        <f t="shared" si="61"/>
        <v>7.7464872184600253</v>
      </c>
      <c r="K167" s="157">
        <f t="shared" si="61"/>
        <v>7.7389004031141262</v>
      </c>
      <c r="L167" s="157">
        <f t="shared" si="61"/>
        <v>7.7527299962437377</v>
      </c>
      <c r="M167" s="157">
        <f t="shared" si="61"/>
        <v>7.7536568319822834</v>
      </c>
      <c r="N167" s="157">
        <f t="shared" si="61"/>
        <v>7.7495406450789259</v>
      </c>
      <c r="O167" s="157">
        <f t="shared" si="61"/>
        <v>7.7196792960651583</v>
      </c>
      <c r="P167" s="157">
        <f t="shared" si="61"/>
        <v>7.6424825031045067</v>
      </c>
      <c r="Q167" s="157">
        <f t="shared" si="61"/>
        <v>7.5652857101438551</v>
      </c>
      <c r="R167" s="157">
        <f t="shared" si="61"/>
        <v>7.4880889171832035</v>
      </c>
      <c r="S167" s="157">
        <f t="shared" si="61"/>
        <v>7.4108921242225518</v>
      </c>
      <c r="T167" s="157">
        <f t="shared" si="61"/>
        <v>7.3336953312619002</v>
      </c>
      <c r="U167" s="157">
        <f t="shared" si="61"/>
        <v>7.2564985383012495</v>
      </c>
      <c r="V167" s="157">
        <f t="shared" si="61"/>
        <v>7.179301745340597</v>
      </c>
      <c r="W167" s="157">
        <f t="shared" si="61"/>
        <v>7.1021049523799435</v>
      </c>
      <c r="X167" s="157">
        <f t="shared" si="61"/>
        <v>7.0249081594192937</v>
      </c>
      <c r="Y167" s="157">
        <f t="shared" si="61"/>
        <v>6.9477113664586412</v>
      </c>
      <c r="Z167" s="157">
        <f t="shared" si="61"/>
        <v>6.8705145734979896</v>
      </c>
      <c r="AA167" s="157">
        <f t="shared" si="61"/>
        <v>6.7933177805373379</v>
      </c>
      <c r="AB167" s="157">
        <f t="shared" si="61"/>
        <v>6.7161209875766863</v>
      </c>
      <c r="AC167" s="157">
        <f t="shared" si="61"/>
        <v>6.6389241946160356</v>
      </c>
      <c r="AD167" s="157">
        <f t="shared" si="61"/>
        <v>6.561727401655383</v>
      </c>
      <c r="AE167" s="157">
        <f t="shared" si="61"/>
        <v>6.4845306086947314</v>
      </c>
      <c r="AF167" s="157">
        <f t="shared" si="61"/>
        <v>6.4073338157340798</v>
      </c>
      <c r="AG167" s="157">
        <f t="shared" si="61"/>
        <v>6.330137022773429</v>
      </c>
      <c r="AH167" s="157">
        <f t="shared" si="61"/>
        <v>6.2529402298127774</v>
      </c>
      <c r="AI167" s="157">
        <f t="shared" si="61"/>
        <v>6.1757434368521249</v>
      </c>
      <c r="AJ167" s="157">
        <f t="shared" si="61"/>
        <v>6.0985466438914733</v>
      </c>
      <c r="AK167" s="157">
        <f t="shared" si="61"/>
        <v>6.0213498509308216</v>
      </c>
      <c r="AL167" s="157">
        <f t="shared" si="61"/>
        <v>5.94415305797017</v>
      </c>
      <c r="AM167" s="157">
        <f t="shared" si="61"/>
        <v>5.8669562650095184</v>
      </c>
      <c r="AN167" s="157">
        <f t="shared" si="61"/>
        <v>5.7897594720488668</v>
      </c>
      <c r="AO167" s="157">
        <f t="shared" si="61"/>
        <v>5.7125626790882151</v>
      </c>
      <c r="AP167" s="157">
        <f t="shared" si="61"/>
        <v>5.6353658861275644</v>
      </c>
      <c r="AQ167" s="157">
        <f t="shared" si="61"/>
        <v>5.5581690931669119</v>
      </c>
      <c r="AR167" s="157">
        <f t="shared" si="61"/>
        <v>5.4809723002062611</v>
      </c>
      <c r="AS167" s="157">
        <f t="shared" si="61"/>
        <v>5.4037755072456086</v>
      </c>
      <c r="AT167" s="157">
        <f t="shared" si="61"/>
        <v>5.3265787142849579</v>
      </c>
      <c r="AU167" s="157">
        <f t="shared" si="61"/>
        <v>5.2493819213243054</v>
      </c>
      <c r="AV167" s="157">
        <f t="shared" si="61"/>
        <v>5.1721851283636537</v>
      </c>
    </row>
    <row r="168" spans="1:48">
      <c r="A168" s="185" t="s">
        <v>16</v>
      </c>
      <c r="B168" s="87" t="str">
        <f t="shared" si="59"/>
        <v>CEG</v>
      </c>
      <c r="C168" s="87" t="str">
        <f t="shared" si="60"/>
        <v>Commercial - Public lights</v>
      </c>
      <c r="E168" s="106"/>
      <c r="F168" s="106"/>
      <c r="I168" s="151"/>
      <c r="J168" s="157">
        <f t="shared" si="61"/>
        <v>0</v>
      </c>
      <c r="K168" s="157">
        <f t="shared" si="61"/>
        <v>0</v>
      </c>
      <c r="L168" s="157">
        <f t="shared" si="61"/>
        <v>0</v>
      </c>
      <c r="M168" s="157">
        <f t="shared" si="61"/>
        <v>0</v>
      </c>
      <c r="N168" s="157">
        <f t="shared" si="61"/>
        <v>0</v>
      </c>
      <c r="O168" s="157">
        <f t="shared" si="61"/>
        <v>0</v>
      </c>
      <c r="P168" s="157">
        <f t="shared" si="61"/>
        <v>0</v>
      </c>
      <c r="Q168" s="157">
        <f t="shared" si="61"/>
        <v>0</v>
      </c>
      <c r="R168" s="157">
        <f t="shared" si="61"/>
        <v>0</v>
      </c>
      <c r="S168" s="157">
        <f t="shared" si="61"/>
        <v>0</v>
      </c>
      <c r="T168" s="157">
        <f t="shared" si="61"/>
        <v>0</v>
      </c>
      <c r="U168" s="157">
        <f t="shared" si="61"/>
        <v>0</v>
      </c>
      <c r="V168" s="157">
        <f t="shared" si="61"/>
        <v>0</v>
      </c>
      <c r="W168" s="157">
        <f t="shared" si="61"/>
        <v>0</v>
      </c>
      <c r="X168" s="157">
        <f t="shared" si="61"/>
        <v>0</v>
      </c>
      <c r="Y168" s="157">
        <f t="shared" si="61"/>
        <v>0</v>
      </c>
      <c r="Z168" s="157">
        <f t="shared" si="61"/>
        <v>0</v>
      </c>
      <c r="AA168" s="157">
        <f t="shared" si="61"/>
        <v>0</v>
      </c>
      <c r="AB168" s="157">
        <f t="shared" si="61"/>
        <v>0</v>
      </c>
      <c r="AC168" s="157">
        <f t="shared" si="61"/>
        <v>0</v>
      </c>
      <c r="AD168" s="157">
        <f t="shared" si="61"/>
        <v>0</v>
      </c>
      <c r="AE168" s="157">
        <f t="shared" si="61"/>
        <v>0</v>
      </c>
      <c r="AF168" s="157">
        <f t="shared" ref="AF168:AV168" si="62">AF$35*AF76/1000</f>
        <v>0</v>
      </c>
      <c r="AG168" s="157">
        <f t="shared" si="62"/>
        <v>0</v>
      </c>
      <c r="AH168" s="157">
        <f t="shared" si="62"/>
        <v>0</v>
      </c>
      <c r="AI168" s="157">
        <f t="shared" si="62"/>
        <v>0</v>
      </c>
      <c r="AJ168" s="157">
        <f t="shared" si="62"/>
        <v>0</v>
      </c>
      <c r="AK168" s="157">
        <f t="shared" si="62"/>
        <v>0</v>
      </c>
      <c r="AL168" s="157">
        <f t="shared" si="62"/>
        <v>0</v>
      </c>
      <c r="AM168" s="157">
        <f t="shared" si="62"/>
        <v>0</v>
      </c>
      <c r="AN168" s="157">
        <f t="shared" si="62"/>
        <v>0</v>
      </c>
      <c r="AO168" s="157">
        <f t="shared" si="62"/>
        <v>0</v>
      </c>
      <c r="AP168" s="157">
        <f t="shared" si="62"/>
        <v>0</v>
      </c>
      <c r="AQ168" s="157">
        <f t="shared" si="62"/>
        <v>0</v>
      </c>
      <c r="AR168" s="157">
        <f t="shared" si="62"/>
        <v>0</v>
      </c>
      <c r="AS168" s="157">
        <f t="shared" si="62"/>
        <v>0</v>
      </c>
      <c r="AT168" s="157">
        <f t="shared" si="62"/>
        <v>0</v>
      </c>
      <c r="AU168" s="157">
        <f t="shared" si="62"/>
        <v>0</v>
      </c>
      <c r="AV168" s="157">
        <f t="shared" si="62"/>
        <v>0</v>
      </c>
    </row>
    <row r="169" spans="1:48">
      <c r="A169" s="185" t="s">
        <v>16</v>
      </c>
      <c r="B169" s="87" t="str">
        <f t="shared" si="59"/>
        <v>CET</v>
      </c>
      <c r="C169" s="87" t="str">
        <f t="shared" si="60"/>
        <v>Commercial - Public Water</v>
      </c>
      <c r="E169" s="106"/>
      <c r="F169" s="106"/>
      <c r="I169" s="151"/>
      <c r="J169" s="157">
        <f t="shared" ref="J169:AV170" si="63">J$35*J77/1000</f>
        <v>0</v>
      </c>
      <c r="K169" s="157">
        <f t="shared" si="63"/>
        <v>0</v>
      </c>
      <c r="L169" s="157">
        <f t="shared" si="63"/>
        <v>0</v>
      </c>
      <c r="M169" s="157">
        <f t="shared" si="63"/>
        <v>0</v>
      </c>
      <c r="N169" s="157">
        <f t="shared" si="63"/>
        <v>0</v>
      </c>
      <c r="O169" s="157">
        <f t="shared" si="63"/>
        <v>0</v>
      </c>
      <c r="P169" s="157">
        <f t="shared" si="63"/>
        <v>0</v>
      </c>
      <c r="Q169" s="157">
        <f t="shared" si="63"/>
        <v>0</v>
      </c>
      <c r="R169" s="157">
        <f t="shared" si="63"/>
        <v>0</v>
      </c>
      <c r="S169" s="157">
        <f t="shared" si="63"/>
        <v>0</v>
      </c>
      <c r="T169" s="157">
        <f t="shared" si="63"/>
        <v>0</v>
      </c>
      <c r="U169" s="157">
        <f t="shared" si="63"/>
        <v>0</v>
      </c>
      <c r="V169" s="157">
        <f t="shared" si="63"/>
        <v>0</v>
      </c>
      <c r="W169" s="157">
        <f t="shared" si="63"/>
        <v>0</v>
      </c>
      <c r="X169" s="157">
        <f t="shared" si="63"/>
        <v>0</v>
      </c>
      <c r="Y169" s="157">
        <f t="shared" si="63"/>
        <v>0</v>
      </c>
      <c r="Z169" s="157">
        <f t="shared" si="63"/>
        <v>0</v>
      </c>
      <c r="AA169" s="157">
        <f t="shared" si="63"/>
        <v>0</v>
      </c>
      <c r="AB169" s="157">
        <f t="shared" si="63"/>
        <v>0</v>
      </c>
      <c r="AC169" s="157">
        <f t="shared" si="63"/>
        <v>0</v>
      </c>
      <c r="AD169" s="157">
        <f t="shared" si="63"/>
        <v>0</v>
      </c>
      <c r="AE169" s="157">
        <f t="shared" si="63"/>
        <v>0</v>
      </c>
      <c r="AF169" s="157">
        <f t="shared" si="63"/>
        <v>0</v>
      </c>
      <c r="AG169" s="157">
        <f t="shared" si="63"/>
        <v>0</v>
      </c>
      <c r="AH169" s="157">
        <f t="shared" si="63"/>
        <v>0</v>
      </c>
      <c r="AI169" s="157">
        <f t="shared" si="63"/>
        <v>0</v>
      </c>
      <c r="AJ169" s="157">
        <f t="shared" si="63"/>
        <v>0</v>
      </c>
      <c r="AK169" s="157">
        <f t="shared" si="63"/>
        <v>0</v>
      </c>
      <c r="AL169" s="157">
        <f t="shared" si="63"/>
        <v>0</v>
      </c>
      <c r="AM169" s="157">
        <f t="shared" si="63"/>
        <v>0</v>
      </c>
      <c r="AN169" s="157">
        <f t="shared" si="63"/>
        <v>0</v>
      </c>
      <c r="AO169" s="157">
        <f t="shared" si="63"/>
        <v>0</v>
      </c>
      <c r="AP169" s="157">
        <f t="shared" si="63"/>
        <v>0</v>
      </c>
      <c r="AQ169" s="157">
        <f t="shared" si="63"/>
        <v>0</v>
      </c>
      <c r="AR169" s="157">
        <f t="shared" si="63"/>
        <v>0</v>
      </c>
      <c r="AS169" s="157">
        <f t="shared" si="63"/>
        <v>0</v>
      </c>
      <c r="AT169" s="157">
        <f t="shared" si="63"/>
        <v>0</v>
      </c>
      <c r="AU169" s="157">
        <f t="shared" si="63"/>
        <v>0</v>
      </c>
      <c r="AV169" s="157">
        <f t="shared" si="63"/>
        <v>0</v>
      </c>
    </row>
    <row r="170" spans="1:48">
      <c r="A170" s="185" t="s">
        <v>16</v>
      </c>
      <c r="B170" s="87" t="str">
        <f t="shared" si="59"/>
        <v>CEO</v>
      </c>
      <c r="C170" s="87" t="str">
        <f t="shared" si="60"/>
        <v>Commercial - Other</v>
      </c>
      <c r="E170" s="106"/>
      <c r="F170" s="106"/>
      <c r="I170" s="151"/>
      <c r="J170" s="157">
        <f t="shared" si="63"/>
        <v>15.008147485663144</v>
      </c>
      <c r="K170" s="157">
        <f t="shared" si="63"/>
        <v>14.732255355321049</v>
      </c>
      <c r="L170" s="157">
        <f t="shared" si="63"/>
        <v>14.491653750906853</v>
      </c>
      <c r="M170" s="157">
        <f t="shared" si="63"/>
        <v>14.220996053492581</v>
      </c>
      <c r="N170" s="157">
        <f t="shared" si="63"/>
        <v>13.935606822069881</v>
      </c>
      <c r="O170" s="157">
        <f t="shared" si="63"/>
        <v>13.599393396635234</v>
      </c>
      <c r="P170" s="157">
        <f t="shared" si="63"/>
        <v>13.463399462668882</v>
      </c>
      <c r="Q170" s="157">
        <f t="shared" si="63"/>
        <v>13.327405528702529</v>
      </c>
      <c r="R170" s="157">
        <f t="shared" si="63"/>
        <v>13.191411594736177</v>
      </c>
      <c r="S170" s="157">
        <f t="shared" si="63"/>
        <v>13.055417660769825</v>
      </c>
      <c r="T170" s="157">
        <f t="shared" si="63"/>
        <v>12.919423726803473</v>
      </c>
      <c r="U170" s="157">
        <f t="shared" si="63"/>
        <v>12.783429792837122</v>
      </c>
      <c r="V170" s="157">
        <f t="shared" si="63"/>
        <v>12.647435858870768</v>
      </c>
      <c r="W170" s="157">
        <f t="shared" si="63"/>
        <v>12.511441924904414</v>
      </c>
      <c r="X170" s="157">
        <f t="shared" si="63"/>
        <v>12.375447990938062</v>
      </c>
      <c r="Y170" s="157">
        <f t="shared" si="63"/>
        <v>12.239454056971709</v>
      </c>
      <c r="Z170" s="157">
        <f t="shared" si="63"/>
        <v>12.103460123005357</v>
      </c>
      <c r="AA170" s="157">
        <f t="shared" si="63"/>
        <v>11.967466189039005</v>
      </c>
      <c r="AB170" s="157">
        <f t="shared" si="63"/>
        <v>11.831472255072653</v>
      </c>
      <c r="AC170" s="157">
        <f t="shared" si="63"/>
        <v>11.695478321106302</v>
      </c>
      <c r="AD170" s="157">
        <f t="shared" si="63"/>
        <v>11.559484387139948</v>
      </c>
      <c r="AE170" s="157">
        <f t="shared" si="63"/>
        <v>11.423490453173594</v>
      </c>
      <c r="AF170" s="157">
        <f t="shared" si="63"/>
        <v>11.287496519207242</v>
      </c>
      <c r="AG170" s="157">
        <f t="shared" si="63"/>
        <v>11.151502585240891</v>
      </c>
      <c r="AH170" s="157">
        <f t="shared" si="63"/>
        <v>11.015508651274539</v>
      </c>
      <c r="AI170" s="157">
        <f t="shared" si="63"/>
        <v>10.879514717308187</v>
      </c>
      <c r="AJ170" s="157">
        <f t="shared" si="63"/>
        <v>10.743520783341834</v>
      </c>
      <c r="AK170" s="157">
        <f t="shared" si="63"/>
        <v>10.607526849375482</v>
      </c>
      <c r="AL170" s="157">
        <f t="shared" si="63"/>
        <v>10.471532915409128</v>
      </c>
      <c r="AM170" s="157">
        <f t="shared" si="63"/>
        <v>10.335538981442774</v>
      </c>
      <c r="AN170" s="157">
        <f t="shared" si="63"/>
        <v>10.199545047476422</v>
      </c>
      <c r="AO170" s="157">
        <f t="shared" si="63"/>
        <v>10.063551113510069</v>
      </c>
      <c r="AP170" s="157">
        <f t="shared" si="63"/>
        <v>9.9275571795437187</v>
      </c>
      <c r="AQ170" s="157">
        <f t="shared" si="63"/>
        <v>9.7915632455773647</v>
      </c>
      <c r="AR170" s="157">
        <f t="shared" si="63"/>
        <v>9.6555693116110142</v>
      </c>
      <c r="AS170" s="157">
        <f t="shared" si="63"/>
        <v>9.5195753776446601</v>
      </c>
      <c r="AT170" s="157">
        <f t="shared" si="63"/>
        <v>9.3835814436783096</v>
      </c>
      <c r="AU170" s="157">
        <f t="shared" si="63"/>
        <v>9.2475875097119555</v>
      </c>
      <c r="AV170" s="157">
        <f t="shared" si="63"/>
        <v>9.1115935757456032</v>
      </c>
    </row>
    <row r="171" spans="1:48">
      <c r="A171" s="185" t="s">
        <v>16</v>
      </c>
      <c r="E171" s="106"/>
      <c r="F171" s="106"/>
      <c r="I171" s="151"/>
      <c r="J171" s="94"/>
      <c r="K171" s="94"/>
      <c r="L171" s="94"/>
      <c r="M171" s="94"/>
      <c r="N171" s="94"/>
      <c r="O171" s="94"/>
      <c r="P171" s="94"/>
      <c r="Q171" s="94"/>
      <c r="R171" s="94"/>
      <c r="S171" s="94"/>
      <c r="T171" s="94"/>
      <c r="U171" s="94"/>
      <c r="V171" s="94"/>
      <c r="W171" s="94"/>
      <c r="X171" s="94"/>
      <c r="Y171" s="94"/>
      <c r="Z171" s="94"/>
      <c r="AA171" s="94"/>
      <c r="AB171" s="94"/>
      <c r="AC171" s="94"/>
      <c r="AD171" s="94"/>
      <c r="AE171" s="94"/>
      <c r="AF171" s="94"/>
      <c r="AG171" s="94"/>
      <c r="AH171" s="94"/>
      <c r="AI171" s="94"/>
      <c r="AJ171" s="94"/>
      <c r="AK171" s="94"/>
      <c r="AL171" s="94"/>
      <c r="AM171" s="94"/>
      <c r="AN171" s="94"/>
      <c r="AO171" s="94"/>
      <c r="AP171" s="94"/>
      <c r="AQ171" s="94"/>
      <c r="AR171" s="94"/>
      <c r="AS171" s="94"/>
      <c r="AT171" s="94"/>
      <c r="AU171" s="94"/>
      <c r="AV171" s="94"/>
    </row>
    <row r="172" spans="1:48">
      <c r="A172" s="185" t="s">
        <v>16</v>
      </c>
      <c r="E172" s="106"/>
      <c r="F172" s="106"/>
      <c r="I172" s="155"/>
      <c r="J172" s="94"/>
      <c r="K172" s="94"/>
      <c r="L172" s="94"/>
      <c r="M172" s="94"/>
      <c r="N172" s="94"/>
      <c r="O172" s="94"/>
      <c r="P172" s="94"/>
      <c r="Q172" s="94"/>
      <c r="R172" s="94"/>
      <c r="S172" s="94"/>
      <c r="T172" s="94"/>
      <c r="U172" s="94"/>
      <c r="V172" s="94"/>
      <c r="W172" s="94"/>
      <c r="X172" s="94"/>
      <c r="Y172" s="94"/>
      <c r="Z172" s="94"/>
      <c r="AA172" s="94"/>
      <c r="AB172" s="94"/>
      <c r="AC172" s="94"/>
      <c r="AD172" s="94"/>
      <c r="AE172" s="94"/>
      <c r="AF172" s="94"/>
      <c r="AG172" s="94"/>
      <c r="AH172" s="94"/>
      <c r="AI172" s="94"/>
      <c r="AJ172" s="94"/>
      <c r="AK172" s="94"/>
      <c r="AL172" s="94"/>
      <c r="AM172" s="94"/>
      <c r="AN172" s="94"/>
      <c r="AO172" s="94"/>
      <c r="AP172" s="94"/>
      <c r="AQ172" s="94"/>
      <c r="AR172" s="94"/>
      <c r="AS172" s="94"/>
      <c r="AT172" s="94"/>
      <c r="AU172" s="94"/>
      <c r="AV172" s="94"/>
    </row>
    <row r="173" spans="1:48" ht="15.75" thickBot="1">
      <c r="A173" s="185" t="s">
        <v>16</v>
      </c>
      <c r="B173" s="156" t="s">
        <v>483</v>
      </c>
      <c r="C173" s="85"/>
      <c r="D173" s="85"/>
      <c r="I173" s="155" t="s">
        <v>109</v>
      </c>
      <c r="J173" s="94"/>
      <c r="K173" s="94"/>
      <c r="L173" s="94"/>
      <c r="M173" s="94"/>
      <c r="N173" s="94"/>
      <c r="O173" s="94"/>
      <c r="P173" s="94"/>
      <c r="Q173" s="94"/>
      <c r="R173" s="94"/>
      <c r="S173" s="94"/>
      <c r="T173" s="94"/>
      <c r="U173" s="94"/>
      <c r="V173" s="94"/>
      <c r="W173" s="94"/>
      <c r="X173" s="94"/>
      <c r="Y173" s="94"/>
      <c r="Z173" s="94"/>
      <c r="AA173" s="94"/>
      <c r="AB173" s="94"/>
      <c r="AC173" s="94"/>
      <c r="AD173" s="94"/>
      <c r="AE173" s="94"/>
      <c r="AF173" s="94"/>
      <c r="AG173" s="94"/>
      <c r="AH173" s="94"/>
      <c r="AI173" s="94"/>
      <c r="AJ173" s="94"/>
      <c r="AK173" s="94"/>
      <c r="AL173" s="94"/>
      <c r="AM173" s="94"/>
      <c r="AN173" s="94"/>
      <c r="AO173" s="94"/>
      <c r="AP173" s="94"/>
      <c r="AQ173" s="94"/>
      <c r="AR173" s="94"/>
      <c r="AS173" s="94"/>
      <c r="AT173" s="94"/>
      <c r="AU173" s="94"/>
      <c r="AV173" s="94"/>
    </row>
    <row r="174" spans="1:48">
      <c r="A174" s="185" t="s">
        <v>16</v>
      </c>
      <c r="B174" s="87" t="str">
        <f t="shared" ref="B174:B182" si="64">B105</f>
        <v>CNC</v>
      </c>
      <c r="C174" s="87" t="str">
        <f t="shared" ref="C174:C182" si="65">C162</f>
        <v>Commercial - Cooling</v>
      </c>
      <c r="E174" s="106"/>
      <c r="F174" s="106"/>
      <c r="I174" s="155"/>
      <c r="J174" s="157">
        <f t="shared" ref="J174:Y182" si="66">INDEX(J$49:J$52,MATCH($I$173,$B$49:$B$52,0),1)*INDEX(J$81:J$89,MATCH($B174,$B$81:$B$89,0))*INDEX(J$105:J$113,MATCH($B174,$B$105:$B$113,0))/1000</f>
        <v>0</v>
      </c>
      <c r="K174" s="157">
        <f t="shared" si="66"/>
        <v>0</v>
      </c>
      <c r="L174" s="157">
        <f t="shared" si="66"/>
        <v>0</v>
      </c>
      <c r="M174" s="157">
        <f t="shared" si="66"/>
        <v>0</v>
      </c>
      <c r="N174" s="157">
        <f t="shared" si="66"/>
        <v>0</v>
      </c>
      <c r="O174" s="157">
        <f t="shared" si="66"/>
        <v>0</v>
      </c>
      <c r="P174" s="157">
        <f t="shared" si="66"/>
        <v>0</v>
      </c>
      <c r="Q174" s="157">
        <f t="shared" si="66"/>
        <v>0</v>
      </c>
      <c r="R174" s="157">
        <f t="shared" si="66"/>
        <v>0</v>
      </c>
      <c r="S174" s="157">
        <f t="shared" si="66"/>
        <v>0</v>
      </c>
      <c r="T174" s="157">
        <f t="shared" si="66"/>
        <v>0</v>
      </c>
      <c r="U174" s="157">
        <f t="shared" si="66"/>
        <v>0</v>
      </c>
      <c r="V174" s="157">
        <f t="shared" si="66"/>
        <v>0</v>
      </c>
      <c r="W174" s="157">
        <f t="shared" si="66"/>
        <v>0</v>
      </c>
      <c r="X174" s="157">
        <f t="shared" si="66"/>
        <v>0</v>
      </c>
      <c r="Y174" s="157">
        <f t="shared" si="66"/>
        <v>0</v>
      </c>
      <c r="Z174" s="157">
        <f t="shared" ref="Z174:AO182" si="67">INDEX(Z$49:Z$52,MATCH($I$173,$B$49:$B$52,0),1)*INDEX(Z$81:Z$89,MATCH($B174,$B$81:$B$89,0))*INDEX(Z$105:Z$113,MATCH($B174,$B$105:$B$113,0))/1000</f>
        <v>0</v>
      </c>
      <c r="AA174" s="157">
        <f t="shared" si="67"/>
        <v>0</v>
      </c>
      <c r="AB174" s="157">
        <f t="shared" si="67"/>
        <v>0</v>
      </c>
      <c r="AC174" s="157">
        <f t="shared" si="67"/>
        <v>0</v>
      </c>
      <c r="AD174" s="157">
        <f t="shared" si="67"/>
        <v>0</v>
      </c>
      <c r="AE174" s="157">
        <f t="shared" si="67"/>
        <v>0</v>
      </c>
      <c r="AF174" s="157">
        <f t="shared" si="67"/>
        <v>0</v>
      </c>
      <c r="AG174" s="157">
        <f t="shared" si="67"/>
        <v>0</v>
      </c>
      <c r="AH174" s="157">
        <f t="shared" si="67"/>
        <v>0</v>
      </c>
      <c r="AI174" s="157">
        <f t="shared" si="67"/>
        <v>0</v>
      </c>
      <c r="AJ174" s="157">
        <f t="shared" si="67"/>
        <v>0</v>
      </c>
      <c r="AK174" s="157">
        <f t="shared" si="67"/>
        <v>0</v>
      </c>
      <c r="AL174" s="157">
        <f t="shared" si="67"/>
        <v>0</v>
      </c>
      <c r="AM174" s="157">
        <f t="shared" si="67"/>
        <v>0</v>
      </c>
      <c r="AN174" s="157">
        <f t="shared" si="67"/>
        <v>0</v>
      </c>
      <c r="AO174" s="157">
        <f t="shared" si="67"/>
        <v>0</v>
      </c>
      <c r="AP174" s="157">
        <f t="shared" ref="AN174:AV182" si="68">INDEX(AP$49:AP$52,MATCH($I$173,$B$49:$B$52,0),1)*INDEX(AP$81:AP$89,MATCH($B174,$B$81:$B$89,0))*INDEX(AP$105:AP$113,MATCH($B174,$B$105:$B$113,0))/1000</f>
        <v>0</v>
      </c>
      <c r="AQ174" s="157">
        <f t="shared" si="68"/>
        <v>0</v>
      </c>
      <c r="AR174" s="157">
        <f t="shared" si="68"/>
        <v>0</v>
      </c>
      <c r="AS174" s="157">
        <f t="shared" si="68"/>
        <v>0</v>
      </c>
      <c r="AT174" s="157">
        <f t="shared" si="68"/>
        <v>0</v>
      </c>
      <c r="AU174" s="157">
        <f t="shared" si="68"/>
        <v>0</v>
      </c>
      <c r="AV174" s="157">
        <f t="shared" si="68"/>
        <v>0</v>
      </c>
    </row>
    <row r="175" spans="1:48">
      <c r="A175" s="185" t="s">
        <v>16</v>
      </c>
      <c r="B175" s="87" t="str">
        <f t="shared" si="64"/>
        <v>CNH</v>
      </c>
      <c r="C175" s="87" t="str">
        <f t="shared" si="65"/>
        <v>Commercial - Space Heating</v>
      </c>
      <c r="E175" s="106"/>
      <c r="F175" s="106"/>
      <c r="I175" s="155"/>
      <c r="J175" s="157">
        <f t="shared" si="66"/>
        <v>0</v>
      </c>
      <c r="K175" s="157">
        <f t="shared" si="66"/>
        <v>0</v>
      </c>
      <c r="L175" s="157">
        <f t="shared" si="66"/>
        <v>0</v>
      </c>
      <c r="M175" s="157">
        <f t="shared" si="66"/>
        <v>0</v>
      </c>
      <c r="N175" s="157">
        <f t="shared" si="66"/>
        <v>0</v>
      </c>
      <c r="O175" s="157">
        <f t="shared" si="66"/>
        <v>0</v>
      </c>
      <c r="P175" s="157">
        <f t="shared" si="66"/>
        <v>0</v>
      </c>
      <c r="Q175" s="157">
        <f t="shared" si="66"/>
        <v>0</v>
      </c>
      <c r="R175" s="157">
        <f t="shared" si="66"/>
        <v>0</v>
      </c>
      <c r="S175" s="157">
        <f t="shared" si="66"/>
        <v>0</v>
      </c>
      <c r="T175" s="157">
        <f t="shared" si="66"/>
        <v>0</v>
      </c>
      <c r="U175" s="157">
        <f t="shared" si="66"/>
        <v>0</v>
      </c>
      <c r="V175" s="157">
        <f t="shared" si="66"/>
        <v>0</v>
      </c>
      <c r="W175" s="157">
        <f t="shared" si="66"/>
        <v>0</v>
      </c>
      <c r="X175" s="157">
        <f t="shared" si="66"/>
        <v>0</v>
      </c>
      <c r="Y175" s="157">
        <f t="shared" si="66"/>
        <v>0</v>
      </c>
      <c r="Z175" s="157">
        <f t="shared" si="67"/>
        <v>0</v>
      </c>
      <c r="AA175" s="157">
        <f t="shared" si="67"/>
        <v>0</v>
      </c>
      <c r="AB175" s="157">
        <f t="shared" si="67"/>
        <v>0</v>
      </c>
      <c r="AC175" s="157">
        <f t="shared" si="67"/>
        <v>0</v>
      </c>
      <c r="AD175" s="157">
        <f t="shared" si="67"/>
        <v>0</v>
      </c>
      <c r="AE175" s="157">
        <f t="shared" si="67"/>
        <v>0</v>
      </c>
      <c r="AF175" s="157">
        <f t="shared" si="67"/>
        <v>0</v>
      </c>
      <c r="AG175" s="157">
        <f t="shared" si="67"/>
        <v>0</v>
      </c>
      <c r="AH175" s="157">
        <f t="shared" si="67"/>
        <v>0</v>
      </c>
      <c r="AI175" s="157">
        <f t="shared" si="67"/>
        <v>0</v>
      </c>
      <c r="AJ175" s="157">
        <f t="shared" si="67"/>
        <v>0</v>
      </c>
      <c r="AK175" s="157">
        <f t="shared" si="67"/>
        <v>0</v>
      </c>
      <c r="AL175" s="157">
        <f t="shared" si="67"/>
        <v>0</v>
      </c>
      <c r="AM175" s="157">
        <f t="shared" si="67"/>
        <v>0</v>
      </c>
      <c r="AN175" s="157">
        <f t="shared" si="68"/>
        <v>0</v>
      </c>
      <c r="AO175" s="157">
        <f t="shared" si="68"/>
        <v>0</v>
      </c>
      <c r="AP175" s="157">
        <f t="shared" si="68"/>
        <v>0</v>
      </c>
      <c r="AQ175" s="157">
        <f t="shared" si="68"/>
        <v>0</v>
      </c>
      <c r="AR175" s="157">
        <f t="shared" si="68"/>
        <v>0</v>
      </c>
      <c r="AS175" s="157">
        <f t="shared" si="68"/>
        <v>0</v>
      </c>
      <c r="AT175" s="157">
        <f t="shared" si="68"/>
        <v>0</v>
      </c>
      <c r="AU175" s="157">
        <f t="shared" si="68"/>
        <v>0</v>
      </c>
      <c r="AV175" s="157">
        <f t="shared" si="68"/>
        <v>0</v>
      </c>
    </row>
    <row r="176" spans="1:48">
      <c r="A176" s="185" t="s">
        <v>16</v>
      </c>
      <c r="B176" s="87" t="str">
        <f t="shared" si="64"/>
        <v>CNK</v>
      </c>
      <c r="C176" s="87" t="str">
        <f t="shared" si="65"/>
        <v>Commercial - Cooking</v>
      </c>
      <c r="E176" s="106"/>
      <c r="F176" s="106"/>
      <c r="I176" s="155"/>
      <c r="J176" s="157">
        <f t="shared" si="66"/>
        <v>0</v>
      </c>
      <c r="K176" s="157">
        <f t="shared" si="66"/>
        <v>0</v>
      </c>
      <c r="L176" s="157">
        <f t="shared" si="66"/>
        <v>0</v>
      </c>
      <c r="M176" s="157">
        <f t="shared" si="66"/>
        <v>0</v>
      </c>
      <c r="N176" s="157">
        <f t="shared" si="66"/>
        <v>0</v>
      </c>
      <c r="O176" s="157">
        <f t="shared" si="66"/>
        <v>0</v>
      </c>
      <c r="P176" s="157">
        <f t="shared" si="66"/>
        <v>0</v>
      </c>
      <c r="Q176" s="157">
        <f t="shared" si="66"/>
        <v>0</v>
      </c>
      <c r="R176" s="157">
        <f t="shared" si="66"/>
        <v>0</v>
      </c>
      <c r="S176" s="157">
        <f t="shared" si="66"/>
        <v>0</v>
      </c>
      <c r="T176" s="157">
        <f t="shared" si="66"/>
        <v>0</v>
      </c>
      <c r="U176" s="157">
        <f t="shared" si="66"/>
        <v>0</v>
      </c>
      <c r="V176" s="157">
        <f t="shared" si="66"/>
        <v>0</v>
      </c>
      <c r="W176" s="157">
        <f t="shared" si="66"/>
        <v>0</v>
      </c>
      <c r="X176" s="157">
        <f t="shared" si="66"/>
        <v>0</v>
      </c>
      <c r="Y176" s="157">
        <f t="shared" si="66"/>
        <v>0</v>
      </c>
      <c r="Z176" s="157">
        <f t="shared" si="67"/>
        <v>0</v>
      </c>
      <c r="AA176" s="157">
        <f t="shared" si="67"/>
        <v>0</v>
      </c>
      <c r="AB176" s="157">
        <f t="shared" si="67"/>
        <v>0</v>
      </c>
      <c r="AC176" s="157">
        <f t="shared" si="67"/>
        <v>0</v>
      </c>
      <c r="AD176" s="157">
        <f t="shared" si="67"/>
        <v>0</v>
      </c>
      <c r="AE176" s="157">
        <f t="shared" si="67"/>
        <v>0</v>
      </c>
      <c r="AF176" s="157">
        <f t="shared" si="67"/>
        <v>0</v>
      </c>
      <c r="AG176" s="157">
        <f t="shared" si="67"/>
        <v>0</v>
      </c>
      <c r="AH176" s="157">
        <f t="shared" si="67"/>
        <v>0</v>
      </c>
      <c r="AI176" s="157">
        <f t="shared" si="67"/>
        <v>0</v>
      </c>
      <c r="AJ176" s="157">
        <f t="shared" si="67"/>
        <v>0</v>
      </c>
      <c r="AK176" s="157">
        <f t="shared" si="67"/>
        <v>0</v>
      </c>
      <c r="AL176" s="157">
        <f t="shared" si="67"/>
        <v>0</v>
      </c>
      <c r="AM176" s="157">
        <f t="shared" si="67"/>
        <v>0</v>
      </c>
      <c r="AN176" s="157">
        <f t="shared" si="68"/>
        <v>0</v>
      </c>
      <c r="AO176" s="157">
        <f t="shared" si="68"/>
        <v>0</v>
      </c>
      <c r="AP176" s="157">
        <f t="shared" si="68"/>
        <v>0</v>
      </c>
      <c r="AQ176" s="157">
        <f t="shared" si="68"/>
        <v>0</v>
      </c>
      <c r="AR176" s="157">
        <f t="shared" si="68"/>
        <v>0</v>
      </c>
      <c r="AS176" s="157">
        <f t="shared" si="68"/>
        <v>0</v>
      </c>
      <c r="AT176" s="157">
        <f t="shared" si="68"/>
        <v>0</v>
      </c>
      <c r="AU176" s="157">
        <f t="shared" si="68"/>
        <v>0</v>
      </c>
      <c r="AV176" s="157">
        <f t="shared" si="68"/>
        <v>0</v>
      </c>
    </row>
    <row r="177" spans="1:48">
      <c r="A177" s="185" t="s">
        <v>16</v>
      </c>
      <c r="B177" s="87" t="str">
        <f t="shared" si="64"/>
        <v>CNL</v>
      </c>
      <c r="C177" s="87" t="str">
        <f t="shared" si="65"/>
        <v>Commercial - Lighting</v>
      </c>
      <c r="E177" s="106"/>
      <c r="F177" s="106"/>
      <c r="I177" s="155"/>
      <c r="J177" s="157">
        <f t="shared" si="66"/>
        <v>0</v>
      </c>
      <c r="K177" s="157">
        <f t="shared" si="66"/>
        <v>0</v>
      </c>
      <c r="L177" s="157">
        <f t="shared" si="66"/>
        <v>0</v>
      </c>
      <c r="M177" s="157">
        <f t="shared" si="66"/>
        <v>0</v>
      </c>
      <c r="N177" s="157">
        <f t="shared" si="66"/>
        <v>0</v>
      </c>
      <c r="O177" s="157">
        <f t="shared" si="66"/>
        <v>0</v>
      </c>
      <c r="P177" s="157">
        <f t="shared" si="66"/>
        <v>0</v>
      </c>
      <c r="Q177" s="157">
        <f t="shared" si="66"/>
        <v>0</v>
      </c>
      <c r="R177" s="157">
        <f t="shared" si="66"/>
        <v>0</v>
      </c>
      <c r="S177" s="157">
        <f t="shared" si="66"/>
        <v>0</v>
      </c>
      <c r="T177" s="157">
        <f t="shared" si="66"/>
        <v>0</v>
      </c>
      <c r="U177" s="157">
        <f t="shared" si="66"/>
        <v>0</v>
      </c>
      <c r="V177" s="157">
        <f t="shared" si="66"/>
        <v>0</v>
      </c>
      <c r="W177" s="157">
        <f t="shared" si="66"/>
        <v>0</v>
      </c>
      <c r="X177" s="157">
        <f t="shared" si="66"/>
        <v>0</v>
      </c>
      <c r="Y177" s="157">
        <f t="shared" si="66"/>
        <v>0</v>
      </c>
      <c r="Z177" s="157">
        <f t="shared" si="67"/>
        <v>0</v>
      </c>
      <c r="AA177" s="157">
        <f t="shared" si="67"/>
        <v>0</v>
      </c>
      <c r="AB177" s="157">
        <f t="shared" si="67"/>
        <v>0</v>
      </c>
      <c r="AC177" s="157">
        <f t="shared" si="67"/>
        <v>0</v>
      </c>
      <c r="AD177" s="157">
        <f t="shared" si="67"/>
        <v>0</v>
      </c>
      <c r="AE177" s="157">
        <f t="shared" si="67"/>
        <v>0</v>
      </c>
      <c r="AF177" s="157">
        <f t="shared" si="67"/>
        <v>0</v>
      </c>
      <c r="AG177" s="157">
        <f t="shared" si="67"/>
        <v>0</v>
      </c>
      <c r="AH177" s="157">
        <f t="shared" si="67"/>
        <v>0</v>
      </c>
      <c r="AI177" s="157">
        <f t="shared" si="67"/>
        <v>0</v>
      </c>
      <c r="AJ177" s="157">
        <f t="shared" si="67"/>
        <v>0</v>
      </c>
      <c r="AK177" s="157">
        <f t="shared" si="67"/>
        <v>0</v>
      </c>
      <c r="AL177" s="157">
        <f t="shared" si="67"/>
        <v>0</v>
      </c>
      <c r="AM177" s="157">
        <f t="shared" si="67"/>
        <v>0</v>
      </c>
      <c r="AN177" s="157">
        <f t="shared" si="68"/>
        <v>0</v>
      </c>
      <c r="AO177" s="157">
        <f t="shared" si="68"/>
        <v>0</v>
      </c>
      <c r="AP177" s="157">
        <f t="shared" si="68"/>
        <v>0</v>
      </c>
      <c r="AQ177" s="157">
        <f t="shared" si="68"/>
        <v>0</v>
      </c>
      <c r="AR177" s="157">
        <f t="shared" si="68"/>
        <v>0</v>
      </c>
      <c r="AS177" s="157">
        <f t="shared" si="68"/>
        <v>0</v>
      </c>
      <c r="AT177" s="157">
        <f t="shared" si="68"/>
        <v>0</v>
      </c>
      <c r="AU177" s="157">
        <f t="shared" si="68"/>
        <v>0</v>
      </c>
      <c r="AV177" s="157">
        <f t="shared" si="68"/>
        <v>0</v>
      </c>
    </row>
    <row r="178" spans="1:48">
      <c r="A178" s="185" t="s">
        <v>16</v>
      </c>
      <c r="B178" s="87" t="str">
        <f t="shared" si="64"/>
        <v>CNR</v>
      </c>
      <c r="C178" s="87" t="str">
        <f t="shared" si="65"/>
        <v>Commercial - Refrigeration</v>
      </c>
      <c r="E178" s="106"/>
      <c r="F178" s="106"/>
      <c r="I178" s="155"/>
      <c r="J178" s="157">
        <f t="shared" si="66"/>
        <v>0</v>
      </c>
      <c r="K178" s="157">
        <f t="shared" si="66"/>
        <v>0</v>
      </c>
      <c r="L178" s="157">
        <f t="shared" si="66"/>
        <v>0</v>
      </c>
      <c r="M178" s="157">
        <f t="shared" si="66"/>
        <v>0</v>
      </c>
      <c r="N178" s="157">
        <f t="shared" si="66"/>
        <v>0</v>
      </c>
      <c r="O178" s="157">
        <f t="shared" si="66"/>
        <v>0</v>
      </c>
      <c r="P178" s="157">
        <f t="shared" si="66"/>
        <v>0</v>
      </c>
      <c r="Q178" s="157">
        <f t="shared" si="66"/>
        <v>0</v>
      </c>
      <c r="R178" s="157">
        <f t="shared" si="66"/>
        <v>0</v>
      </c>
      <c r="S178" s="157">
        <f t="shared" si="66"/>
        <v>0</v>
      </c>
      <c r="T178" s="157">
        <f t="shared" si="66"/>
        <v>0</v>
      </c>
      <c r="U178" s="157">
        <f t="shared" si="66"/>
        <v>0</v>
      </c>
      <c r="V178" s="157">
        <f t="shared" si="66"/>
        <v>0</v>
      </c>
      <c r="W178" s="157">
        <f t="shared" si="66"/>
        <v>0</v>
      </c>
      <c r="X178" s="157">
        <f t="shared" si="66"/>
        <v>0</v>
      </c>
      <c r="Y178" s="157">
        <f t="shared" si="66"/>
        <v>0</v>
      </c>
      <c r="Z178" s="157">
        <f t="shared" si="67"/>
        <v>0</v>
      </c>
      <c r="AA178" s="157">
        <f t="shared" si="67"/>
        <v>0</v>
      </c>
      <c r="AB178" s="157">
        <f t="shared" si="67"/>
        <v>0</v>
      </c>
      <c r="AC178" s="157">
        <f t="shared" si="67"/>
        <v>0</v>
      </c>
      <c r="AD178" s="157">
        <f t="shared" si="67"/>
        <v>0</v>
      </c>
      <c r="AE178" s="157">
        <f t="shared" si="67"/>
        <v>0</v>
      </c>
      <c r="AF178" s="157">
        <f t="shared" si="67"/>
        <v>0</v>
      </c>
      <c r="AG178" s="157">
        <f t="shared" si="67"/>
        <v>0</v>
      </c>
      <c r="AH178" s="157">
        <f t="shared" si="67"/>
        <v>0</v>
      </c>
      <c r="AI178" s="157">
        <f t="shared" si="67"/>
        <v>0</v>
      </c>
      <c r="AJ178" s="157">
        <f t="shared" si="67"/>
        <v>0</v>
      </c>
      <c r="AK178" s="157">
        <f t="shared" si="67"/>
        <v>0</v>
      </c>
      <c r="AL178" s="157">
        <f t="shared" si="67"/>
        <v>0</v>
      </c>
      <c r="AM178" s="157">
        <f t="shared" si="67"/>
        <v>0</v>
      </c>
      <c r="AN178" s="157">
        <f t="shared" si="68"/>
        <v>0</v>
      </c>
      <c r="AO178" s="157">
        <f t="shared" si="68"/>
        <v>0</v>
      </c>
      <c r="AP178" s="157">
        <f t="shared" si="68"/>
        <v>0</v>
      </c>
      <c r="AQ178" s="157">
        <f t="shared" si="68"/>
        <v>0</v>
      </c>
      <c r="AR178" s="157">
        <f t="shared" si="68"/>
        <v>0</v>
      </c>
      <c r="AS178" s="157">
        <f t="shared" si="68"/>
        <v>0</v>
      </c>
      <c r="AT178" s="157">
        <f t="shared" si="68"/>
        <v>0</v>
      </c>
      <c r="AU178" s="157">
        <f t="shared" si="68"/>
        <v>0</v>
      </c>
      <c r="AV178" s="157">
        <f t="shared" si="68"/>
        <v>0</v>
      </c>
    </row>
    <row r="179" spans="1:48">
      <c r="A179" s="185" t="s">
        <v>16</v>
      </c>
      <c r="B179" s="87" t="str">
        <f t="shared" si="64"/>
        <v>CNW</v>
      </c>
      <c r="C179" s="87" t="str">
        <f t="shared" si="65"/>
        <v>Commercial - Water Heating</v>
      </c>
      <c r="E179" s="106"/>
      <c r="F179" s="106"/>
      <c r="I179" s="155"/>
      <c r="J179" s="157">
        <f t="shared" si="66"/>
        <v>0</v>
      </c>
      <c r="K179" s="157">
        <f t="shared" si="66"/>
        <v>0</v>
      </c>
      <c r="L179" s="157">
        <f t="shared" si="66"/>
        <v>0</v>
      </c>
      <c r="M179" s="157">
        <f t="shared" si="66"/>
        <v>0</v>
      </c>
      <c r="N179" s="157">
        <f t="shared" si="66"/>
        <v>0</v>
      </c>
      <c r="O179" s="157">
        <f t="shared" si="66"/>
        <v>0</v>
      </c>
      <c r="P179" s="157">
        <f t="shared" si="66"/>
        <v>0</v>
      </c>
      <c r="Q179" s="157">
        <f t="shared" si="66"/>
        <v>0</v>
      </c>
      <c r="R179" s="157">
        <f t="shared" si="66"/>
        <v>0</v>
      </c>
      <c r="S179" s="157">
        <f t="shared" si="66"/>
        <v>0</v>
      </c>
      <c r="T179" s="157">
        <f t="shared" si="66"/>
        <v>0</v>
      </c>
      <c r="U179" s="157">
        <f t="shared" si="66"/>
        <v>0</v>
      </c>
      <c r="V179" s="157">
        <f t="shared" si="66"/>
        <v>0</v>
      </c>
      <c r="W179" s="157">
        <f t="shared" si="66"/>
        <v>0</v>
      </c>
      <c r="X179" s="157">
        <f t="shared" si="66"/>
        <v>0</v>
      </c>
      <c r="Y179" s="157">
        <f t="shared" si="66"/>
        <v>0</v>
      </c>
      <c r="Z179" s="157">
        <f t="shared" si="67"/>
        <v>0</v>
      </c>
      <c r="AA179" s="157">
        <f t="shared" si="67"/>
        <v>0</v>
      </c>
      <c r="AB179" s="157">
        <f t="shared" si="67"/>
        <v>0</v>
      </c>
      <c r="AC179" s="157">
        <f t="shared" si="67"/>
        <v>0</v>
      </c>
      <c r="AD179" s="157">
        <f t="shared" si="67"/>
        <v>0</v>
      </c>
      <c r="AE179" s="157">
        <f t="shared" si="67"/>
        <v>0</v>
      </c>
      <c r="AF179" s="157">
        <f t="shared" si="67"/>
        <v>0</v>
      </c>
      <c r="AG179" s="157">
        <f t="shared" si="67"/>
        <v>0</v>
      </c>
      <c r="AH179" s="157">
        <f t="shared" si="67"/>
        <v>0</v>
      </c>
      <c r="AI179" s="157">
        <f t="shared" si="67"/>
        <v>0</v>
      </c>
      <c r="AJ179" s="157">
        <f t="shared" si="67"/>
        <v>0</v>
      </c>
      <c r="AK179" s="157">
        <f t="shared" si="67"/>
        <v>0</v>
      </c>
      <c r="AL179" s="157">
        <f t="shared" si="67"/>
        <v>0</v>
      </c>
      <c r="AM179" s="157">
        <f t="shared" si="67"/>
        <v>0</v>
      </c>
      <c r="AN179" s="157">
        <f t="shared" si="68"/>
        <v>0</v>
      </c>
      <c r="AO179" s="157">
        <f t="shared" si="68"/>
        <v>0</v>
      </c>
      <c r="AP179" s="157">
        <f t="shared" si="68"/>
        <v>0</v>
      </c>
      <c r="AQ179" s="157">
        <f t="shared" si="68"/>
        <v>0</v>
      </c>
      <c r="AR179" s="157">
        <f t="shared" si="68"/>
        <v>0</v>
      </c>
      <c r="AS179" s="157">
        <f t="shared" si="68"/>
        <v>0</v>
      </c>
      <c r="AT179" s="157">
        <f t="shared" si="68"/>
        <v>0</v>
      </c>
      <c r="AU179" s="157">
        <f t="shared" si="68"/>
        <v>0</v>
      </c>
      <c r="AV179" s="157">
        <f t="shared" si="68"/>
        <v>0</v>
      </c>
    </row>
    <row r="180" spans="1:48">
      <c r="A180" s="185" t="s">
        <v>16</v>
      </c>
      <c r="B180" s="87" t="str">
        <f t="shared" si="64"/>
        <v>CNG</v>
      </c>
      <c r="C180" s="87" t="str">
        <f t="shared" si="65"/>
        <v>Commercial - Public lights</v>
      </c>
      <c r="E180" s="106"/>
      <c r="F180" s="106"/>
      <c r="I180" s="155"/>
      <c r="J180" s="157">
        <f t="shared" si="66"/>
        <v>0</v>
      </c>
      <c r="K180" s="157">
        <f t="shared" si="66"/>
        <v>0</v>
      </c>
      <c r="L180" s="157">
        <f t="shared" si="66"/>
        <v>0</v>
      </c>
      <c r="M180" s="157">
        <f t="shared" si="66"/>
        <v>0</v>
      </c>
      <c r="N180" s="157">
        <f t="shared" si="66"/>
        <v>0</v>
      </c>
      <c r="O180" s="157">
        <f t="shared" si="66"/>
        <v>0</v>
      </c>
      <c r="P180" s="157">
        <f t="shared" si="66"/>
        <v>0</v>
      </c>
      <c r="Q180" s="157">
        <f t="shared" si="66"/>
        <v>0</v>
      </c>
      <c r="R180" s="157">
        <f t="shared" si="66"/>
        <v>0</v>
      </c>
      <c r="S180" s="157">
        <f t="shared" si="66"/>
        <v>0</v>
      </c>
      <c r="T180" s="157">
        <f t="shared" si="66"/>
        <v>0</v>
      </c>
      <c r="U180" s="157">
        <f t="shared" si="66"/>
        <v>0</v>
      </c>
      <c r="V180" s="157">
        <f t="shared" si="66"/>
        <v>0</v>
      </c>
      <c r="W180" s="157">
        <f t="shared" si="66"/>
        <v>0</v>
      </c>
      <c r="X180" s="157">
        <f t="shared" si="66"/>
        <v>0</v>
      </c>
      <c r="Y180" s="157">
        <f t="shared" si="66"/>
        <v>0</v>
      </c>
      <c r="Z180" s="157">
        <f t="shared" si="67"/>
        <v>0</v>
      </c>
      <c r="AA180" s="157">
        <f t="shared" si="67"/>
        <v>0</v>
      </c>
      <c r="AB180" s="157">
        <f t="shared" si="67"/>
        <v>0</v>
      </c>
      <c r="AC180" s="157">
        <f t="shared" si="67"/>
        <v>0</v>
      </c>
      <c r="AD180" s="157">
        <f t="shared" si="67"/>
        <v>0</v>
      </c>
      <c r="AE180" s="157">
        <f t="shared" si="67"/>
        <v>0</v>
      </c>
      <c r="AF180" s="157">
        <f t="shared" si="67"/>
        <v>0</v>
      </c>
      <c r="AG180" s="157">
        <f t="shared" si="67"/>
        <v>0</v>
      </c>
      <c r="AH180" s="157">
        <f t="shared" si="67"/>
        <v>0</v>
      </c>
      <c r="AI180" s="157">
        <f t="shared" si="67"/>
        <v>0</v>
      </c>
      <c r="AJ180" s="157">
        <f t="shared" si="67"/>
        <v>0</v>
      </c>
      <c r="AK180" s="157">
        <f t="shared" si="67"/>
        <v>0</v>
      </c>
      <c r="AL180" s="157">
        <f t="shared" si="67"/>
        <v>0</v>
      </c>
      <c r="AM180" s="157">
        <f t="shared" si="67"/>
        <v>0</v>
      </c>
      <c r="AN180" s="157">
        <f t="shared" si="68"/>
        <v>0</v>
      </c>
      <c r="AO180" s="157">
        <f t="shared" si="68"/>
        <v>0</v>
      </c>
      <c r="AP180" s="157">
        <f t="shared" si="68"/>
        <v>0</v>
      </c>
      <c r="AQ180" s="157">
        <f t="shared" si="68"/>
        <v>0</v>
      </c>
      <c r="AR180" s="157">
        <f t="shared" si="68"/>
        <v>0</v>
      </c>
      <c r="AS180" s="157">
        <f t="shared" si="68"/>
        <v>0</v>
      </c>
      <c r="AT180" s="157">
        <f t="shared" si="68"/>
        <v>0</v>
      </c>
      <c r="AU180" s="157">
        <f t="shared" si="68"/>
        <v>0</v>
      </c>
      <c r="AV180" s="157">
        <f t="shared" si="68"/>
        <v>0</v>
      </c>
    </row>
    <row r="181" spans="1:48">
      <c r="A181" s="185" t="s">
        <v>16</v>
      </c>
      <c r="B181" s="87" t="str">
        <f t="shared" si="64"/>
        <v>CNT</v>
      </c>
      <c r="C181" s="87" t="str">
        <f t="shared" si="65"/>
        <v>Commercial - Public Water</v>
      </c>
      <c r="E181" s="106"/>
      <c r="F181" s="106"/>
      <c r="I181" s="155"/>
      <c r="J181" s="157">
        <f t="shared" si="66"/>
        <v>0</v>
      </c>
      <c r="K181" s="157">
        <f t="shared" si="66"/>
        <v>0</v>
      </c>
      <c r="L181" s="157">
        <f t="shared" si="66"/>
        <v>0</v>
      </c>
      <c r="M181" s="157">
        <f t="shared" si="66"/>
        <v>0</v>
      </c>
      <c r="N181" s="157">
        <f t="shared" si="66"/>
        <v>0</v>
      </c>
      <c r="O181" s="157">
        <f t="shared" si="66"/>
        <v>0</v>
      </c>
      <c r="P181" s="157">
        <f t="shared" si="66"/>
        <v>0</v>
      </c>
      <c r="Q181" s="157">
        <f t="shared" si="66"/>
        <v>0</v>
      </c>
      <c r="R181" s="157">
        <f t="shared" si="66"/>
        <v>0</v>
      </c>
      <c r="S181" s="157">
        <f t="shared" si="66"/>
        <v>0</v>
      </c>
      <c r="T181" s="157">
        <f t="shared" si="66"/>
        <v>0</v>
      </c>
      <c r="U181" s="157">
        <f t="shared" si="66"/>
        <v>0</v>
      </c>
      <c r="V181" s="157">
        <f t="shared" si="66"/>
        <v>0</v>
      </c>
      <c r="W181" s="157">
        <f t="shared" si="66"/>
        <v>0</v>
      </c>
      <c r="X181" s="157">
        <f t="shared" si="66"/>
        <v>0</v>
      </c>
      <c r="Y181" s="157">
        <f t="shared" si="66"/>
        <v>0</v>
      </c>
      <c r="Z181" s="157">
        <f t="shared" si="67"/>
        <v>0</v>
      </c>
      <c r="AA181" s="157">
        <f t="shared" si="67"/>
        <v>0</v>
      </c>
      <c r="AB181" s="157">
        <f t="shared" si="67"/>
        <v>0</v>
      </c>
      <c r="AC181" s="157">
        <f t="shared" si="67"/>
        <v>0</v>
      </c>
      <c r="AD181" s="157">
        <f t="shared" si="67"/>
        <v>0</v>
      </c>
      <c r="AE181" s="157">
        <f t="shared" si="67"/>
        <v>0</v>
      </c>
      <c r="AF181" s="157">
        <f t="shared" si="67"/>
        <v>0</v>
      </c>
      <c r="AG181" s="157">
        <f t="shared" si="67"/>
        <v>0</v>
      </c>
      <c r="AH181" s="157">
        <f t="shared" si="67"/>
        <v>0</v>
      </c>
      <c r="AI181" s="157">
        <f t="shared" si="67"/>
        <v>0</v>
      </c>
      <c r="AJ181" s="157">
        <f t="shared" si="67"/>
        <v>0</v>
      </c>
      <c r="AK181" s="157">
        <f t="shared" si="67"/>
        <v>0</v>
      </c>
      <c r="AL181" s="157">
        <f t="shared" si="67"/>
        <v>0</v>
      </c>
      <c r="AM181" s="157">
        <f t="shared" si="67"/>
        <v>0</v>
      </c>
      <c r="AN181" s="157">
        <f t="shared" si="68"/>
        <v>0</v>
      </c>
      <c r="AO181" s="157">
        <f t="shared" si="68"/>
        <v>0</v>
      </c>
      <c r="AP181" s="157">
        <f t="shared" si="68"/>
        <v>0</v>
      </c>
      <c r="AQ181" s="157">
        <f t="shared" si="68"/>
        <v>0</v>
      </c>
      <c r="AR181" s="157">
        <f t="shared" si="68"/>
        <v>0</v>
      </c>
      <c r="AS181" s="157">
        <f t="shared" si="68"/>
        <v>0</v>
      </c>
      <c r="AT181" s="157">
        <f t="shared" si="68"/>
        <v>0</v>
      </c>
      <c r="AU181" s="157">
        <f t="shared" si="68"/>
        <v>0</v>
      </c>
      <c r="AV181" s="157">
        <f t="shared" si="68"/>
        <v>0</v>
      </c>
    </row>
    <row r="182" spans="1:48">
      <c r="A182" s="185" t="s">
        <v>16</v>
      </c>
      <c r="B182" s="87" t="str">
        <f t="shared" si="64"/>
        <v>CNO</v>
      </c>
      <c r="C182" s="87" t="str">
        <f t="shared" si="65"/>
        <v>Commercial - Other</v>
      </c>
      <c r="E182" s="106"/>
      <c r="F182" s="106"/>
      <c r="I182" s="155"/>
      <c r="J182" s="157">
        <f t="shared" si="66"/>
        <v>0</v>
      </c>
      <c r="K182" s="157">
        <f t="shared" si="66"/>
        <v>0</v>
      </c>
      <c r="L182" s="157">
        <f t="shared" si="66"/>
        <v>0</v>
      </c>
      <c r="M182" s="157">
        <f t="shared" si="66"/>
        <v>0</v>
      </c>
      <c r="N182" s="157">
        <f t="shared" si="66"/>
        <v>0</v>
      </c>
      <c r="O182" s="157">
        <f t="shared" si="66"/>
        <v>0</v>
      </c>
      <c r="P182" s="157">
        <f t="shared" si="66"/>
        <v>0</v>
      </c>
      <c r="Q182" s="157">
        <f t="shared" si="66"/>
        <v>0</v>
      </c>
      <c r="R182" s="157">
        <f t="shared" si="66"/>
        <v>0</v>
      </c>
      <c r="S182" s="157">
        <f t="shared" si="66"/>
        <v>0</v>
      </c>
      <c r="T182" s="157">
        <f t="shared" si="66"/>
        <v>0</v>
      </c>
      <c r="U182" s="157">
        <f t="shared" si="66"/>
        <v>0</v>
      </c>
      <c r="V182" s="157">
        <f t="shared" si="66"/>
        <v>0</v>
      </c>
      <c r="W182" s="157">
        <f t="shared" si="66"/>
        <v>0</v>
      </c>
      <c r="X182" s="157">
        <f t="shared" si="66"/>
        <v>0</v>
      </c>
      <c r="Y182" s="157">
        <f t="shared" si="66"/>
        <v>0</v>
      </c>
      <c r="Z182" s="157">
        <f t="shared" si="67"/>
        <v>0</v>
      </c>
      <c r="AA182" s="157">
        <f t="shared" si="67"/>
        <v>0</v>
      </c>
      <c r="AB182" s="157">
        <f t="shared" si="67"/>
        <v>0</v>
      </c>
      <c r="AC182" s="157">
        <f t="shared" si="67"/>
        <v>0</v>
      </c>
      <c r="AD182" s="157">
        <f t="shared" si="67"/>
        <v>0</v>
      </c>
      <c r="AE182" s="157">
        <f t="shared" si="67"/>
        <v>0</v>
      </c>
      <c r="AF182" s="157">
        <f t="shared" si="67"/>
        <v>0</v>
      </c>
      <c r="AG182" s="157">
        <f t="shared" si="67"/>
        <v>0</v>
      </c>
      <c r="AH182" s="157">
        <f t="shared" si="67"/>
        <v>0</v>
      </c>
      <c r="AI182" s="157">
        <f t="shared" si="67"/>
        <v>0</v>
      </c>
      <c r="AJ182" s="157">
        <f t="shared" si="67"/>
        <v>0</v>
      </c>
      <c r="AK182" s="157">
        <f t="shared" si="67"/>
        <v>0</v>
      </c>
      <c r="AL182" s="157">
        <f t="shared" si="67"/>
        <v>0</v>
      </c>
      <c r="AM182" s="157">
        <f t="shared" si="67"/>
        <v>0</v>
      </c>
      <c r="AN182" s="157">
        <f t="shared" si="68"/>
        <v>0</v>
      </c>
      <c r="AO182" s="157">
        <f t="shared" si="68"/>
        <v>0</v>
      </c>
      <c r="AP182" s="157">
        <f t="shared" si="68"/>
        <v>0</v>
      </c>
      <c r="AQ182" s="157">
        <f t="shared" si="68"/>
        <v>0</v>
      </c>
      <c r="AR182" s="157">
        <f t="shared" si="68"/>
        <v>0</v>
      </c>
      <c r="AS182" s="157">
        <f t="shared" si="68"/>
        <v>0</v>
      </c>
      <c r="AT182" s="157">
        <f t="shared" si="68"/>
        <v>0</v>
      </c>
      <c r="AU182" s="157">
        <f t="shared" si="68"/>
        <v>0</v>
      </c>
      <c r="AV182" s="157">
        <f t="shared" si="68"/>
        <v>0</v>
      </c>
    </row>
    <row r="183" spans="1:48">
      <c r="A183" s="185" t="s">
        <v>16</v>
      </c>
      <c r="E183" s="106"/>
      <c r="F183" s="106"/>
      <c r="I183" s="155"/>
      <c r="J183" s="157"/>
      <c r="K183" s="157"/>
      <c r="L183" s="157"/>
      <c r="M183" s="157"/>
      <c r="N183" s="157"/>
      <c r="O183" s="157"/>
      <c r="P183" s="157"/>
      <c r="Q183" s="157"/>
      <c r="R183" s="157"/>
      <c r="S183" s="157"/>
      <c r="T183" s="157"/>
      <c r="U183" s="157"/>
      <c r="V183" s="157"/>
      <c r="W183" s="157"/>
      <c r="X183" s="157"/>
      <c r="Y183" s="157"/>
      <c r="Z183" s="157"/>
      <c r="AA183" s="157"/>
      <c r="AB183" s="157"/>
      <c r="AC183" s="157"/>
      <c r="AD183" s="157"/>
      <c r="AE183" s="157"/>
      <c r="AF183" s="157"/>
      <c r="AG183" s="157"/>
      <c r="AH183" s="157"/>
      <c r="AI183" s="157"/>
      <c r="AJ183" s="157"/>
      <c r="AK183" s="157"/>
      <c r="AL183" s="157"/>
      <c r="AM183" s="157"/>
      <c r="AN183" s="157"/>
      <c r="AO183" s="157"/>
      <c r="AP183" s="157"/>
      <c r="AQ183" s="157"/>
      <c r="AR183" s="157"/>
      <c r="AS183" s="157"/>
      <c r="AT183" s="157"/>
      <c r="AU183" s="157"/>
      <c r="AV183" s="157"/>
    </row>
    <row r="184" spans="1:48">
      <c r="A184" s="185" t="s">
        <v>16</v>
      </c>
      <c r="E184" s="106"/>
      <c r="F184" s="106"/>
      <c r="I184" s="155"/>
      <c r="J184" s="157"/>
      <c r="K184" s="157"/>
      <c r="L184" s="157"/>
      <c r="M184" s="157"/>
      <c r="N184" s="157"/>
      <c r="O184" s="157"/>
      <c r="P184" s="157"/>
      <c r="Q184" s="157"/>
      <c r="R184" s="157"/>
      <c r="S184" s="157"/>
      <c r="T184" s="157"/>
      <c r="U184" s="157"/>
      <c r="V184" s="157"/>
      <c r="W184" s="157"/>
      <c r="X184" s="157"/>
      <c r="Y184" s="157"/>
      <c r="Z184" s="157"/>
      <c r="AA184" s="157"/>
      <c r="AB184" s="157"/>
      <c r="AC184" s="157"/>
      <c r="AD184" s="157"/>
      <c r="AE184" s="157"/>
      <c r="AF184" s="157"/>
      <c r="AG184" s="157"/>
      <c r="AH184" s="157"/>
      <c r="AI184" s="157"/>
      <c r="AJ184" s="157"/>
      <c r="AK184" s="157"/>
      <c r="AL184" s="157"/>
      <c r="AM184" s="157"/>
      <c r="AN184" s="157"/>
      <c r="AO184" s="157"/>
      <c r="AP184" s="157"/>
      <c r="AQ184" s="157"/>
      <c r="AR184" s="157"/>
      <c r="AS184" s="157"/>
      <c r="AT184" s="157"/>
      <c r="AU184" s="157"/>
      <c r="AV184" s="157"/>
    </row>
    <row r="185" spans="1:48" ht="15.75" thickBot="1">
      <c r="A185" s="185" t="s">
        <v>16</v>
      </c>
      <c r="B185" s="85" t="s">
        <v>484</v>
      </c>
      <c r="C185" s="85"/>
      <c r="D185" s="85"/>
      <c r="E185" s="85"/>
      <c r="F185" s="85"/>
      <c r="G185" s="85"/>
      <c r="H185" s="85"/>
      <c r="I185" s="155" t="s">
        <v>231</v>
      </c>
      <c r="J185" s="157"/>
      <c r="K185" s="157"/>
      <c r="L185" s="157"/>
      <c r="M185" s="157"/>
      <c r="N185" s="157"/>
      <c r="O185" s="157"/>
      <c r="P185" s="157"/>
      <c r="Q185" s="157"/>
      <c r="R185" s="157"/>
      <c r="S185" s="157"/>
      <c r="T185" s="157"/>
      <c r="U185" s="157"/>
      <c r="V185" s="157"/>
      <c r="W185" s="157"/>
      <c r="X185" s="157"/>
      <c r="Y185" s="157"/>
      <c r="Z185" s="157"/>
      <c r="AA185" s="157"/>
      <c r="AB185" s="157"/>
      <c r="AC185" s="157"/>
      <c r="AD185" s="157"/>
      <c r="AE185" s="157"/>
      <c r="AF185" s="157"/>
      <c r="AG185" s="157"/>
      <c r="AH185" s="157"/>
      <c r="AI185" s="157"/>
      <c r="AJ185" s="157"/>
      <c r="AK185" s="157"/>
      <c r="AL185" s="157"/>
      <c r="AM185" s="157"/>
      <c r="AN185" s="157"/>
      <c r="AO185" s="157"/>
      <c r="AP185" s="157"/>
      <c r="AQ185" s="157"/>
      <c r="AR185" s="157"/>
      <c r="AS185" s="157"/>
      <c r="AT185" s="157"/>
      <c r="AU185" s="157"/>
      <c r="AV185" s="157"/>
    </row>
    <row r="186" spans="1:48">
      <c r="A186" s="185" t="s">
        <v>16</v>
      </c>
      <c r="B186" s="87" t="str">
        <f t="shared" ref="B186:C194" si="69">B174</f>
        <v>CNC</v>
      </c>
      <c r="C186" s="87" t="str">
        <f t="shared" si="69"/>
        <v>Commercial - Cooling</v>
      </c>
      <c r="E186" s="106"/>
      <c r="F186" s="106"/>
      <c r="I186" s="155"/>
      <c r="J186" s="157">
        <f t="shared" ref="J186:Y194" si="70">INDEX(J$49:J$52,MATCH($I$185,$B$49:$B$52,0),1)*INDEX(J$81:J$89,MATCH($B186,$B$81:$B$89,0))*INDEX(J$116:J$124,MATCH($B186,$B$116:$B$124,0))/1000</f>
        <v>0</v>
      </c>
      <c r="K186" s="157">
        <f t="shared" si="70"/>
        <v>0</v>
      </c>
      <c r="L186" s="157">
        <f t="shared" si="70"/>
        <v>0</v>
      </c>
      <c r="M186" s="157">
        <f t="shared" si="70"/>
        <v>0</v>
      </c>
      <c r="N186" s="157">
        <f t="shared" si="70"/>
        <v>0</v>
      </c>
      <c r="O186" s="157">
        <f t="shared" si="70"/>
        <v>0</v>
      </c>
      <c r="P186" s="157">
        <f>INDEX(P$49:P$52,MATCH($I$185,$B$49:$B$52,0),1)*INDEX(P$81:P$89,MATCH($B186,$B$81:$B$89,0))*INDEX(P$116:P$124,MATCH($B186,$B$116:$B$124,0))/1000</f>
        <v>1.6544946889303713</v>
      </c>
      <c r="Q186" s="157">
        <f t="shared" si="70"/>
        <v>3.1875183888127405</v>
      </c>
      <c r="R186" s="157">
        <f t="shared" si="70"/>
        <v>4.1497851114047242</v>
      </c>
      <c r="S186" s="157">
        <f t="shared" si="70"/>
        <v>6.0760176501224006</v>
      </c>
      <c r="T186" s="157">
        <f t="shared" si="70"/>
        <v>8.042044078406013</v>
      </c>
      <c r="U186" s="157">
        <f t="shared" si="70"/>
        <v>10.082751893533009</v>
      </c>
      <c r="V186" s="157">
        <f>INDEX(V$49:V$52,MATCH($I$185,$B$49:$B$52,0),1)*INDEX(V$81:V$89,MATCH($B186,$B$81:$B$89,0))*INDEX(V$116:V$124,MATCH($B186,$B$116:$B$124,0))/1000</f>
        <v>12.190743874351574</v>
      </c>
      <c r="W186" s="157">
        <f t="shared" si="70"/>
        <v>14.291909432341567</v>
      </c>
      <c r="X186" s="157">
        <f t="shared" si="70"/>
        <v>16.501291190674277</v>
      </c>
      <c r="Y186" s="157">
        <f t="shared" si="70"/>
        <v>18.729827956118001</v>
      </c>
      <c r="Z186" s="157">
        <f t="shared" ref="Z186:AO194" si="71">INDEX(Z$49:Z$52,MATCH($I$185,$B$49:$B$52,0),1)*INDEX(Z$81:Z$89,MATCH($B186,$B$81:$B$89,0))*INDEX(Z$116:Z$124,MATCH($B186,$B$116:$B$124,0))/1000</f>
        <v>21.025071749534352</v>
      </c>
      <c r="AA186" s="157">
        <f t="shared" si="71"/>
        <v>23.337394537506206</v>
      </c>
      <c r="AB186" s="157">
        <f t="shared" si="71"/>
        <v>25.481887453250529</v>
      </c>
      <c r="AC186" s="157">
        <f t="shared" si="71"/>
        <v>25.481887453250529</v>
      </c>
      <c r="AD186" s="157">
        <f t="shared" si="71"/>
        <v>25.481887453250529</v>
      </c>
      <c r="AE186" s="157">
        <f t="shared" si="71"/>
        <v>25.481887453250529</v>
      </c>
      <c r="AF186" s="157">
        <f t="shared" si="71"/>
        <v>25.481887453250529</v>
      </c>
      <c r="AG186" s="157">
        <f t="shared" si="71"/>
        <v>25.481887453250529</v>
      </c>
      <c r="AH186" s="157">
        <f t="shared" si="71"/>
        <v>25.481887453250529</v>
      </c>
      <c r="AI186" s="157">
        <f t="shared" si="71"/>
        <v>25.481887453250529</v>
      </c>
      <c r="AJ186" s="157">
        <f t="shared" si="71"/>
        <v>25.481887453250529</v>
      </c>
      <c r="AK186" s="157">
        <f t="shared" si="71"/>
        <v>25.481887453250529</v>
      </c>
      <c r="AL186" s="157">
        <f t="shared" si="71"/>
        <v>25.481887453250529</v>
      </c>
      <c r="AM186" s="157">
        <f t="shared" si="71"/>
        <v>25.481887453250529</v>
      </c>
      <c r="AN186" s="157">
        <f t="shared" si="71"/>
        <v>25.481887453250529</v>
      </c>
      <c r="AO186" s="157">
        <f t="shared" si="71"/>
        <v>25.481887453250529</v>
      </c>
      <c r="AP186" s="157">
        <f t="shared" ref="AN186:AV194" si="72">INDEX(AP$49:AP$52,MATCH($I$185,$B$49:$B$52,0),1)*INDEX(AP$81:AP$89,MATCH($B186,$B$81:$B$89,0))*INDEX(AP$116:AP$124,MATCH($B186,$B$116:$B$124,0))/1000</f>
        <v>25.481887453250529</v>
      </c>
      <c r="AQ186" s="157">
        <f t="shared" si="72"/>
        <v>25.481887453250529</v>
      </c>
      <c r="AR186" s="157">
        <f t="shared" si="72"/>
        <v>25.481887453250529</v>
      </c>
      <c r="AS186" s="157">
        <f t="shared" si="72"/>
        <v>25.481887453250529</v>
      </c>
      <c r="AT186" s="157">
        <f t="shared" si="72"/>
        <v>25.481887453250529</v>
      </c>
      <c r="AU186" s="157">
        <f t="shared" si="72"/>
        <v>25.481887453250529</v>
      </c>
      <c r="AV186" s="157">
        <f t="shared" si="72"/>
        <v>25.481887453250529</v>
      </c>
    </row>
    <row r="187" spans="1:48">
      <c r="A187" s="185" t="s">
        <v>16</v>
      </c>
      <c r="B187" s="87" t="str">
        <f t="shared" si="69"/>
        <v>CNH</v>
      </c>
      <c r="C187" s="87" t="str">
        <f t="shared" si="69"/>
        <v>Commercial - Space Heating</v>
      </c>
      <c r="E187" s="106"/>
      <c r="F187" s="106"/>
      <c r="I187" s="155"/>
      <c r="J187" s="157">
        <f t="shared" si="70"/>
        <v>0</v>
      </c>
      <c r="K187" s="157">
        <f t="shared" si="70"/>
        <v>0</v>
      </c>
      <c r="L187" s="157">
        <f t="shared" si="70"/>
        <v>0</v>
      </c>
      <c r="M187" s="157">
        <f t="shared" si="70"/>
        <v>0</v>
      </c>
      <c r="N187" s="157">
        <f t="shared" si="70"/>
        <v>0</v>
      </c>
      <c r="O187" s="157">
        <f t="shared" si="70"/>
        <v>0</v>
      </c>
      <c r="P187" s="157">
        <f t="shared" si="70"/>
        <v>0.15778310002993795</v>
      </c>
      <c r="Q187" s="157">
        <f t="shared" si="70"/>
        <v>0.30398195663864902</v>
      </c>
      <c r="R187" s="157">
        <f t="shared" si="70"/>
        <v>0.39574981032959627</v>
      </c>
      <c r="S187" s="157">
        <f t="shared" si="70"/>
        <v>0.57944755404003445</v>
      </c>
      <c r="T187" s="157">
        <f t="shared" si="70"/>
        <v>0.76694029528051699</v>
      </c>
      <c r="U187" s="157">
        <f t="shared" si="70"/>
        <v>0.96155512691483591</v>
      </c>
      <c r="V187" s="157">
        <f t="shared" si="70"/>
        <v>1.1625866030489971</v>
      </c>
      <c r="W187" s="157">
        <f t="shared" si="70"/>
        <v>1.3629670682350945</v>
      </c>
      <c r="X187" s="157">
        <f t="shared" si="70"/>
        <v>1.5736677161801793</v>
      </c>
      <c r="Y187" s="157">
        <f t="shared" si="70"/>
        <v>1.78619510701135</v>
      </c>
      <c r="Z187" s="157">
        <f t="shared" si="71"/>
        <v>2.005084102831479</v>
      </c>
      <c r="AA187" s="157">
        <f t="shared" si="71"/>
        <v>2.22560185982225</v>
      </c>
      <c r="AB187" s="157">
        <f t="shared" si="71"/>
        <v>2.4301142964606126</v>
      </c>
      <c r="AC187" s="157">
        <f t="shared" si="71"/>
        <v>2.4301142964606126</v>
      </c>
      <c r="AD187" s="157">
        <f t="shared" si="71"/>
        <v>2.4301142964606126</v>
      </c>
      <c r="AE187" s="157">
        <f t="shared" si="71"/>
        <v>2.4301142964606126</v>
      </c>
      <c r="AF187" s="157">
        <f t="shared" si="71"/>
        <v>2.4301142964606126</v>
      </c>
      <c r="AG187" s="157">
        <f t="shared" si="71"/>
        <v>2.4301142964606126</v>
      </c>
      <c r="AH187" s="157">
        <f t="shared" si="71"/>
        <v>2.4301142964606126</v>
      </c>
      <c r="AI187" s="157">
        <f t="shared" si="71"/>
        <v>2.4301142964606126</v>
      </c>
      <c r="AJ187" s="157">
        <f t="shared" si="71"/>
        <v>2.4301142964606126</v>
      </c>
      <c r="AK187" s="157">
        <f t="shared" si="71"/>
        <v>2.4301142964606126</v>
      </c>
      <c r="AL187" s="157">
        <f t="shared" si="71"/>
        <v>2.4301142964606126</v>
      </c>
      <c r="AM187" s="157">
        <f t="shared" si="71"/>
        <v>2.4301142964606126</v>
      </c>
      <c r="AN187" s="157">
        <f t="shared" si="72"/>
        <v>2.4301142964606126</v>
      </c>
      <c r="AO187" s="157">
        <f t="shared" si="72"/>
        <v>2.4301142964606126</v>
      </c>
      <c r="AP187" s="157">
        <f t="shared" si="72"/>
        <v>2.4301142964606126</v>
      </c>
      <c r="AQ187" s="157">
        <f t="shared" si="72"/>
        <v>2.4301142964606126</v>
      </c>
      <c r="AR187" s="157">
        <f t="shared" si="72"/>
        <v>2.4301142964606126</v>
      </c>
      <c r="AS187" s="157">
        <f t="shared" si="72"/>
        <v>2.4301142964606126</v>
      </c>
      <c r="AT187" s="157">
        <f t="shared" si="72"/>
        <v>2.4301142964606126</v>
      </c>
      <c r="AU187" s="157">
        <f t="shared" si="72"/>
        <v>2.4301142964606126</v>
      </c>
      <c r="AV187" s="157">
        <f t="shared" si="72"/>
        <v>2.4301142964606126</v>
      </c>
    </row>
    <row r="188" spans="1:48">
      <c r="A188" s="185" t="s">
        <v>16</v>
      </c>
      <c r="B188" s="87" t="str">
        <f t="shared" si="69"/>
        <v>CNK</v>
      </c>
      <c r="C188" s="87" t="str">
        <f t="shared" si="69"/>
        <v>Commercial - Cooking</v>
      </c>
      <c r="E188" s="106"/>
      <c r="F188" s="106"/>
      <c r="I188" s="155"/>
      <c r="J188" s="157">
        <f t="shared" si="70"/>
        <v>0</v>
      </c>
      <c r="K188" s="157">
        <f t="shared" si="70"/>
        <v>0</v>
      </c>
      <c r="L188" s="157">
        <f t="shared" si="70"/>
        <v>0</v>
      </c>
      <c r="M188" s="157">
        <f t="shared" si="70"/>
        <v>0</v>
      </c>
      <c r="N188" s="157">
        <f t="shared" si="70"/>
        <v>0</v>
      </c>
      <c r="O188" s="157">
        <f t="shared" si="70"/>
        <v>0</v>
      </c>
      <c r="P188" s="157">
        <f t="shared" si="70"/>
        <v>0.11351736674445566</v>
      </c>
      <c r="Q188" s="157">
        <f t="shared" si="70"/>
        <v>0.2187004264011754</v>
      </c>
      <c r="R188" s="157">
        <f t="shared" si="70"/>
        <v>0.28472299219440816</v>
      </c>
      <c r="S188" s="157">
        <f t="shared" si="70"/>
        <v>0.4168847011413751</v>
      </c>
      <c r="T188" s="157">
        <f t="shared" si="70"/>
        <v>0.55177672864800165</v>
      </c>
      <c r="U188" s="157">
        <f t="shared" si="70"/>
        <v>0.69179275832641252</v>
      </c>
      <c r="V188" s="157">
        <f t="shared" si="70"/>
        <v>0.83642525571790027</v>
      </c>
      <c r="W188" s="157">
        <f t="shared" si="70"/>
        <v>0.98058938198135226</v>
      </c>
      <c r="X188" s="157">
        <f t="shared" si="70"/>
        <v>1.1321783843620785</v>
      </c>
      <c r="Y188" s="157">
        <f t="shared" si="70"/>
        <v>1.2850816405640841</v>
      </c>
      <c r="Z188" s="157">
        <f t="shared" si="71"/>
        <v>1.4425617661930303</v>
      </c>
      <c r="AA188" s="157">
        <f t="shared" si="71"/>
        <v>1.6012137073022896</v>
      </c>
      <c r="AB188" s="157">
        <f t="shared" si="71"/>
        <v>1.7483505886873951</v>
      </c>
      <c r="AC188" s="157">
        <f t="shared" si="71"/>
        <v>1.7483505886873951</v>
      </c>
      <c r="AD188" s="157">
        <f t="shared" si="71"/>
        <v>1.7483505886873951</v>
      </c>
      <c r="AE188" s="157">
        <f t="shared" si="71"/>
        <v>1.7483505886873951</v>
      </c>
      <c r="AF188" s="157">
        <f t="shared" si="71"/>
        <v>1.7483505886873951</v>
      </c>
      <c r="AG188" s="157">
        <f t="shared" si="71"/>
        <v>1.7483505886873951</v>
      </c>
      <c r="AH188" s="157">
        <f t="shared" si="71"/>
        <v>1.7483505886873951</v>
      </c>
      <c r="AI188" s="157">
        <f t="shared" si="71"/>
        <v>1.7483505886873951</v>
      </c>
      <c r="AJ188" s="157">
        <f t="shared" si="71"/>
        <v>1.7483505886873951</v>
      </c>
      <c r="AK188" s="157">
        <f t="shared" si="71"/>
        <v>1.7483505886873951</v>
      </c>
      <c r="AL188" s="157">
        <f t="shared" si="71"/>
        <v>1.7483505886873951</v>
      </c>
      <c r="AM188" s="157">
        <f t="shared" si="71"/>
        <v>1.7483505886873951</v>
      </c>
      <c r="AN188" s="157">
        <f t="shared" si="72"/>
        <v>1.7483505886873951</v>
      </c>
      <c r="AO188" s="157">
        <f t="shared" si="72"/>
        <v>1.7483505886873951</v>
      </c>
      <c r="AP188" s="157">
        <f t="shared" si="72"/>
        <v>1.7483505886873951</v>
      </c>
      <c r="AQ188" s="157">
        <f t="shared" si="72"/>
        <v>1.7483505886873951</v>
      </c>
      <c r="AR188" s="157">
        <f t="shared" si="72"/>
        <v>1.7483505886873951</v>
      </c>
      <c r="AS188" s="157">
        <f t="shared" si="72"/>
        <v>1.7483505886873951</v>
      </c>
      <c r="AT188" s="157">
        <f t="shared" si="72"/>
        <v>1.7483505886873951</v>
      </c>
      <c r="AU188" s="157">
        <f t="shared" si="72"/>
        <v>1.7483505886873951</v>
      </c>
      <c r="AV188" s="157">
        <f t="shared" si="72"/>
        <v>1.7483505886873951</v>
      </c>
    </row>
    <row r="189" spans="1:48">
      <c r="A189" s="185" t="s">
        <v>16</v>
      </c>
      <c r="B189" s="87" t="str">
        <f t="shared" si="69"/>
        <v>CNL</v>
      </c>
      <c r="C189" s="87" t="str">
        <f t="shared" si="69"/>
        <v>Commercial - Lighting</v>
      </c>
      <c r="E189" s="106"/>
      <c r="F189" s="106"/>
      <c r="I189" s="155"/>
      <c r="J189" s="157">
        <f t="shared" si="70"/>
        <v>0</v>
      </c>
      <c r="K189" s="157">
        <f t="shared" si="70"/>
        <v>0</v>
      </c>
      <c r="L189" s="157">
        <f t="shared" si="70"/>
        <v>0</v>
      </c>
      <c r="M189" s="157">
        <f t="shared" si="70"/>
        <v>0</v>
      </c>
      <c r="N189" s="157">
        <f t="shared" si="70"/>
        <v>0</v>
      </c>
      <c r="O189" s="157">
        <f t="shared" si="70"/>
        <v>0</v>
      </c>
      <c r="P189" s="157">
        <f t="shared" si="70"/>
        <v>1.439792405855393</v>
      </c>
      <c r="Q189" s="157">
        <f t="shared" si="70"/>
        <v>2.7738770033187716</v>
      </c>
      <c r="R189" s="157">
        <f t="shared" si="70"/>
        <v>3.6112712414900638</v>
      </c>
      <c r="S189" s="157">
        <f t="shared" si="70"/>
        <v>5.2875383215314313</v>
      </c>
      <c r="T189" s="157">
        <f t="shared" si="70"/>
        <v>6.9984352739923503</v>
      </c>
      <c r="U189" s="157">
        <f t="shared" si="70"/>
        <v>8.7743222771045453</v>
      </c>
      <c r="V189" s="157">
        <f t="shared" si="70"/>
        <v>10.608762040431198</v>
      </c>
      <c r="W189" s="157">
        <f t="shared" si="70"/>
        <v>12.437261239660852</v>
      </c>
      <c r="X189" s="157">
        <f t="shared" si="70"/>
        <v>14.359933520548875</v>
      </c>
      <c r="Y189" s="157">
        <f t="shared" si="70"/>
        <v>16.29927508055702</v>
      </c>
      <c r="Z189" s="157">
        <f t="shared" si="71"/>
        <v>18.296667157701762</v>
      </c>
      <c r="AA189" s="157">
        <f t="shared" si="71"/>
        <v>20.308921903687448</v>
      </c>
      <c r="AB189" s="157">
        <f t="shared" si="71"/>
        <v>22.175125908546182</v>
      </c>
      <c r="AC189" s="157">
        <f t="shared" si="71"/>
        <v>22.175125908546182</v>
      </c>
      <c r="AD189" s="157">
        <f t="shared" si="71"/>
        <v>22.175125908546182</v>
      </c>
      <c r="AE189" s="157">
        <f t="shared" si="71"/>
        <v>22.175125908546182</v>
      </c>
      <c r="AF189" s="157">
        <f t="shared" si="71"/>
        <v>22.175125908546182</v>
      </c>
      <c r="AG189" s="157">
        <f t="shared" si="71"/>
        <v>22.175125908546182</v>
      </c>
      <c r="AH189" s="157">
        <f t="shared" si="71"/>
        <v>22.175125908546182</v>
      </c>
      <c r="AI189" s="157">
        <f t="shared" si="71"/>
        <v>22.175125908546182</v>
      </c>
      <c r="AJ189" s="157">
        <f t="shared" si="71"/>
        <v>22.175125908546182</v>
      </c>
      <c r="AK189" s="157">
        <f t="shared" si="71"/>
        <v>22.175125908546182</v>
      </c>
      <c r="AL189" s="157">
        <f t="shared" si="71"/>
        <v>22.175125908546182</v>
      </c>
      <c r="AM189" s="157">
        <f t="shared" si="71"/>
        <v>22.175125908546182</v>
      </c>
      <c r="AN189" s="157">
        <f t="shared" si="72"/>
        <v>22.175125908546182</v>
      </c>
      <c r="AO189" s="157">
        <f t="shared" si="72"/>
        <v>22.175125908546182</v>
      </c>
      <c r="AP189" s="157">
        <f t="shared" si="72"/>
        <v>22.175125908546182</v>
      </c>
      <c r="AQ189" s="157">
        <f t="shared" si="72"/>
        <v>22.175125908546182</v>
      </c>
      <c r="AR189" s="157">
        <f t="shared" si="72"/>
        <v>22.175125908546182</v>
      </c>
      <c r="AS189" s="157">
        <f t="shared" si="72"/>
        <v>22.175125908546182</v>
      </c>
      <c r="AT189" s="157">
        <f t="shared" si="72"/>
        <v>22.175125908546182</v>
      </c>
      <c r="AU189" s="157">
        <f t="shared" si="72"/>
        <v>22.175125908546182</v>
      </c>
      <c r="AV189" s="157">
        <f t="shared" si="72"/>
        <v>22.175125908546182</v>
      </c>
    </row>
    <row r="190" spans="1:48">
      <c r="A190" s="185" t="s">
        <v>16</v>
      </c>
      <c r="B190" s="87" t="str">
        <f t="shared" si="69"/>
        <v>CNR</v>
      </c>
      <c r="C190" s="87" t="str">
        <f t="shared" si="69"/>
        <v>Commercial - Refrigeration</v>
      </c>
      <c r="E190" s="106"/>
      <c r="F190" s="106"/>
      <c r="I190" s="155"/>
      <c r="J190" s="157">
        <f t="shared" si="70"/>
        <v>0</v>
      </c>
      <c r="K190" s="157">
        <f t="shared" si="70"/>
        <v>0</v>
      </c>
      <c r="L190" s="157">
        <f t="shared" si="70"/>
        <v>0</v>
      </c>
      <c r="M190" s="157">
        <f t="shared" si="70"/>
        <v>0</v>
      </c>
      <c r="N190" s="157">
        <f t="shared" si="70"/>
        <v>0</v>
      </c>
      <c r="O190" s="157">
        <f t="shared" si="70"/>
        <v>0</v>
      </c>
      <c r="P190" s="157">
        <f t="shared" si="70"/>
        <v>0.35024986912740697</v>
      </c>
      <c r="Q190" s="157">
        <f t="shared" si="70"/>
        <v>0.67478481858689709</v>
      </c>
      <c r="R190" s="157">
        <f t="shared" si="70"/>
        <v>0.87849281227734122</v>
      </c>
      <c r="S190" s="157">
        <f t="shared" si="70"/>
        <v>1.2862684909233619</v>
      </c>
      <c r="T190" s="157">
        <f t="shared" si="70"/>
        <v>1.7024683758879597</v>
      </c>
      <c r="U190" s="157">
        <f t="shared" si="70"/>
        <v>2.1344780099820997</v>
      </c>
      <c r="V190" s="157">
        <f t="shared" si="70"/>
        <v>2.5807314312491396</v>
      </c>
      <c r="W190" s="157">
        <f t="shared" si="70"/>
        <v>3.0255397262680797</v>
      </c>
      <c r="X190" s="157">
        <f t="shared" si="70"/>
        <v>3.4932569555139446</v>
      </c>
      <c r="Y190" s="157">
        <f t="shared" si="70"/>
        <v>3.9650292226989787</v>
      </c>
      <c r="Z190" s="157">
        <f t="shared" si="71"/>
        <v>4.4509230993238083</v>
      </c>
      <c r="AA190" s="157">
        <f t="shared" si="71"/>
        <v>4.940432530382215</v>
      </c>
      <c r="AB190" s="157">
        <f t="shared" si="71"/>
        <v>5.3944130527190337</v>
      </c>
      <c r="AC190" s="157">
        <f t="shared" si="71"/>
        <v>5.3944130527190337</v>
      </c>
      <c r="AD190" s="157">
        <f t="shared" si="71"/>
        <v>5.3944130527190337</v>
      </c>
      <c r="AE190" s="157">
        <f t="shared" si="71"/>
        <v>5.3944130527190337</v>
      </c>
      <c r="AF190" s="157">
        <f t="shared" si="71"/>
        <v>5.3944130527190337</v>
      </c>
      <c r="AG190" s="157">
        <f t="shared" si="71"/>
        <v>5.3944130527190337</v>
      </c>
      <c r="AH190" s="157">
        <f t="shared" si="71"/>
        <v>5.3944130527190337</v>
      </c>
      <c r="AI190" s="157">
        <f t="shared" si="71"/>
        <v>5.3944130527190337</v>
      </c>
      <c r="AJ190" s="157">
        <f t="shared" si="71"/>
        <v>5.3944130527190337</v>
      </c>
      <c r="AK190" s="157">
        <f t="shared" si="71"/>
        <v>5.3944130527190337</v>
      </c>
      <c r="AL190" s="157">
        <f t="shared" si="71"/>
        <v>5.3944130527190337</v>
      </c>
      <c r="AM190" s="157">
        <f t="shared" si="71"/>
        <v>5.3944130527190337</v>
      </c>
      <c r="AN190" s="157">
        <f t="shared" si="72"/>
        <v>5.3944130527190337</v>
      </c>
      <c r="AO190" s="157">
        <f t="shared" si="72"/>
        <v>5.3944130527190337</v>
      </c>
      <c r="AP190" s="157">
        <f t="shared" si="72"/>
        <v>5.3944130527190337</v>
      </c>
      <c r="AQ190" s="157">
        <f t="shared" si="72"/>
        <v>5.3944130527190337</v>
      </c>
      <c r="AR190" s="157">
        <f t="shared" si="72"/>
        <v>5.3944130527190337</v>
      </c>
      <c r="AS190" s="157">
        <f t="shared" si="72"/>
        <v>5.3944130527190337</v>
      </c>
      <c r="AT190" s="157">
        <f t="shared" si="72"/>
        <v>5.3944130527190337</v>
      </c>
      <c r="AU190" s="157">
        <f t="shared" si="72"/>
        <v>5.3944130527190337</v>
      </c>
      <c r="AV190" s="157">
        <f t="shared" si="72"/>
        <v>5.3944130527190337</v>
      </c>
    </row>
    <row r="191" spans="1:48">
      <c r="A191" s="185" t="s">
        <v>16</v>
      </c>
      <c r="B191" s="87" t="str">
        <f t="shared" si="69"/>
        <v>CNW</v>
      </c>
      <c r="C191" s="87" t="str">
        <f t="shared" si="69"/>
        <v>Commercial - Water Heating</v>
      </c>
      <c r="E191" s="106"/>
      <c r="F191" s="106"/>
      <c r="I191" s="155"/>
      <c r="J191" s="157">
        <f t="shared" si="70"/>
        <v>0</v>
      </c>
      <c r="K191" s="157">
        <f t="shared" si="70"/>
        <v>0</v>
      </c>
      <c r="L191" s="157">
        <f t="shared" si="70"/>
        <v>0</v>
      </c>
      <c r="M191" s="157">
        <f t="shared" si="70"/>
        <v>0</v>
      </c>
      <c r="N191" s="157">
        <f t="shared" si="70"/>
        <v>0</v>
      </c>
      <c r="O191" s="157">
        <f t="shared" si="70"/>
        <v>0</v>
      </c>
      <c r="P191" s="157">
        <f t="shared" si="70"/>
        <v>0.13273002272365989</v>
      </c>
      <c r="Q191" s="157">
        <f t="shared" si="70"/>
        <v>0.25571516851028336</v>
      </c>
      <c r="R191" s="157">
        <f t="shared" si="70"/>
        <v>0.3329119614709351</v>
      </c>
      <c r="S191" s="157">
        <f t="shared" si="70"/>
        <v>0.48744185530839423</v>
      </c>
      <c r="T191" s="157">
        <f t="shared" si="70"/>
        <v>0.64516417031328799</v>
      </c>
      <c r="U191" s="157">
        <f t="shared" si="70"/>
        <v>0.808877717710209</v>
      </c>
      <c r="V191" s="157">
        <f t="shared" si="70"/>
        <v>0.97798906354125981</v>
      </c>
      <c r="W191" s="157">
        <f t="shared" si="70"/>
        <v>1.1465527670841726</v>
      </c>
      <c r="X191" s="157">
        <f t="shared" si="70"/>
        <v>1.3237979966704505</v>
      </c>
      <c r="Y191" s="157">
        <f t="shared" si="70"/>
        <v>1.5025799157040418</v>
      </c>
      <c r="Z191" s="157">
        <f t="shared" si="71"/>
        <v>1.686713332930933</v>
      </c>
      <c r="AA191" s="157">
        <f t="shared" si="71"/>
        <v>1.8722168937736461</v>
      </c>
      <c r="AB191" s="157">
        <f t="shared" si="71"/>
        <v>2.0442564870959372</v>
      </c>
      <c r="AC191" s="157">
        <f t="shared" si="71"/>
        <v>2.0442564870959372</v>
      </c>
      <c r="AD191" s="157">
        <f t="shared" si="71"/>
        <v>2.0442564870959372</v>
      </c>
      <c r="AE191" s="157">
        <f t="shared" si="71"/>
        <v>2.0442564870959372</v>
      </c>
      <c r="AF191" s="157">
        <f t="shared" si="71"/>
        <v>2.0442564870959372</v>
      </c>
      <c r="AG191" s="157">
        <f t="shared" si="71"/>
        <v>2.0442564870959372</v>
      </c>
      <c r="AH191" s="157">
        <f t="shared" si="71"/>
        <v>2.0442564870959372</v>
      </c>
      <c r="AI191" s="157">
        <f t="shared" si="71"/>
        <v>2.0442564870959372</v>
      </c>
      <c r="AJ191" s="157">
        <f t="shared" si="71"/>
        <v>2.0442564870959372</v>
      </c>
      <c r="AK191" s="157">
        <f t="shared" si="71"/>
        <v>2.0442564870959372</v>
      </c>
      <c r="AL191" s="157">
        <f t="shared" si="71"/>
        <v>2.0442564870959372</v>
      </c>
      <c r="AM191" s="157">
        <f t="shared" si="71"/>
        <v>2.0442564870959372</v>
      </c>
      <c r="AN191" s="157">
        <f t="shared" si="72"/>
        <v>2.0442564870959372</v>
      </c>
      <c r="AO191" s="157">
        <f t="shared" si="72"/>
        <v>2.0442564870959372</v>
      </c>
      <c r="AP191" s="157">
        <f t="shared" si="72"/>
        <v>2.0442564870959372</v>
      </c>
      <c r="AQ191" s="157">
        <f t="shared" si="72"/>
        <v>2.0442564870959372</v>
      </c>
      <c r="AR191" s="157">
        <f t="shared" si="72"/>
        <v>2.0442564870959372</v>
      </c>
      <c r="AS191" s="157">
        <f t="shared" si="72"/>
        <v>2.0442564870959372</v>
      </c>
      <c r="AT191" s="157">
        <f t="shared" si="72"/>
        <v>2.0442564870959372</v>
      </c>
      <c r="AU191" s="157">
        <f t="shared" si="72"/>
        <v>2.0442564870959372</v>
      </c>
      <c r="AV191" s="157">
        <f t="shared" si="72"/>
        <v>2.0442564870959372</v>
      </c>
    </row>
    <row r="192" spans="1:48">
      <c r="A192" s="185" t="s">
        <v>16</v>
      </c>
      <c r="B192" s="87" t="str">
        <f t="shared" si="69"/>
        <v>CNG</v>
      </c>
      <c r="C192" s="87" t="str">
        <f t="shared" si="69"/>
        <v>Commercial - Public lights</v>
      </c>
      <c r="E192" s="106"/>
      <c r="F192" s="106"/>
      <c r="I192" s="155"/>
      <c r="J192" s="157">
        <f t="shared" si="70"/>
        <v>0</v>
      </c>
      <c r="K192" s="157">
        <f t="shared" si="70"/>
        <v>0</v>
      </c>
      <c r="L192" s="157">
        <f t="shared" si="70"/>
        <v>0</v>
      </c>
      <c r="M192" s="157">
        <f t="shared" si="70"/>
        <v>0</v>
      </c>
      <c r="N192" s="157">
        <f t="shared" si="70"/>
        <v>0</v>
      </c>
      <c r="O192" s="157">
        <f t="shared" si="70"/>
        <v>0</v>
      </c>
      <c r="P192" s="157">
        <f t="shared" si="70"/>
        <v>0</v>
      </c>
      <c r="Q192" s="157">
        <f t="shared" si="70"/>
        <v>0</v>
      </c>
      <c r="R192" s="157">
        <f t="shared" si="70"/>
        <v>0</v>
      </c>
      <c r="S192" s="157">
        <f t="shared" si="70"/>
        <v>0</v>
      </c>
      <c r="T192" s="157">
        <f t="shared" si="70"/>
        <v>0</v>
      </c>
      <c r="U192" s="157">
        <f t="shared" si="70"/>
        <v>0</v>
      </c>
      <c r="V192" s="157">
        <f t="shared" si="70"/>
        <v>0</v>
      </c>
      <c r="W192" s="157">
        <f t="shared" si="70"/>
        <v>0</v>
      </c>
      <c r="X192" s="157">
        <f t="shared" si="70"/>
        <v>0</v>
      </c>
      <c r="Y192" s="157">
        <f t="shared" si="70"/>
        <v>0</v>
      </c>
      <c r="Z192" s="157">
        <f t="shared" si="71"/>
        <v>0</v>
      </c>
      <c r="AA192" s="157">
        <f t="shared" si="71"/>
        <v>0</v>
      </c>
      <c r="AB192" s="157">
        <f t="shared" si="71"/>
        <v>0</v>
      </c>
      <c r="AC192" s="157">
        <f t="shared" si="71"/>
        <v>0</v>
      </c>
      <c r="AD192" s="157">
        <f t="shared" si="71"/>
        <v>0</v>
      </c>
      <c r="AE192" s="157">
        <f t="shared" si="71"/>
        <v>0</v>
      </c>
      <c r="AF192" s="157">
        <f t="shared" si="71"/>
        <v>0</v>
      </c>
      <c r="AG192" s="157">
        <f t="shared" si="71"/>
        <v>0</v>
      </c>
      <c r="AH192" s="157">
        <f t="shared" si="71"/>
        <v>0</v>
      </c>
      <c r="AI192" s="157">
        <f t="shared" si="71"/>
        <v>0</v>
      </c>
      <c r="AJ192" s="157">
        <f t="shared" si="71"/>
        <v>0</v>
      </c>
      <c r="AK192" s="157">
        <f t="shared" si="71"/>
        <v>0</v>
      </c>
      <c r="AL192" s="157">
        <f t="shared" si="71"/>
        <v>0</v>
      </c>
      <c r="AM192" s="157">
        <f t="shared" si="71"/>
        <v>0</v>
      </c>
      <c r="AN192" s="157">
        <f t="shared" si="72"/>
        <v>0</v>
      </c>
      <c r="AO192" s="157">
        <f t="shared" si="72"/>
        <v>0</v>
      </c>
      <c r="AP192" s="157">
        <f t="shared" si="72"/>
        <v>0</v>
      </c>
      <c r="AQ192" s="157">
        <f t="shared" si="72"/>
        <v>0</v>
      </c>
      <c r="AR192" s="157">
        <f t="shared" si="72"/>
        <v>0</v>
      </c>
      <c r="AS192" s="157">
        <f t="shared" si="72"/>
        <v>0</v>
      </c>
      <c r="AT192" s="157">
        <f t="shared" si="72"/>
        <v>0</v>
      </c>
      <c r="AU192" s="157">
        <f t="shared" si="72"/>
        <v>0</v>
      </c>
      <c r="AV192" s="157">
        <f t="shared" si="72"/>
        <v>0</v>
      </c>
    </row>
    <row r="193" spans="1:48">
      <c r="A193" s="185" t="s">
        <v>16</v>
      </c>
      <c r="B193" s="87" t="str">
        <f t="shared" si="69"/>
        <v>CNT</v>
      </c>
      <c r="C193" s="87" t="str">
        <f t="shared" si="69"/>
        <v>Commercial - Public Water</v>
      </c>
      <c r="E193" s="106"/>
      <c r="F193" s="106"/>
      <c r="I193" s="155"/>
      <c r="J193" s="157">
        <f t="shared" si="70"/>
        <v>0</v>
      </c>
      <c r="K193" s="157">
        <f t="shared" si="70"/>
        <v>0</v>
      </c>
      <c r="L193" s="157">
        <f t="shared" si="70"/>
        <v>0</v>
      </c>
      <c r="M193" s="157">
        <f t="shared" si="70"/>
        <v>0</v>
      </c>
      <c r="N193" s="157">
        <f t="shared" si="70"/>
        <v>0</v>
      </c>
      <c r="O193" s="157">
        <f t="shared" si="70"/>
        <v>0</v>
      </c>
      <c r="P193" s="157">
        <f t="shared" si="70"/>
        <v>0</v>
      </c>
      <c r="Q193" s="157">
        <f t="shared" si="70"/>
        <v>0</v>
      </c>
      <c r="R193" s="157">
        <f t="shared" si="70"/>
        <v>0</v>
      </c>
      <c r="S193" s="157">
        <f t="shared" si="70"/>
        <v>0</v>
      </c>
      <c r="T193" s="157">
        <f t="shared" si="70"/>
        <v>0</v>
      </c>
      <c r="U193" s="157">
        <f t="shared" si="70"/>
        <v>0</v>
      </c>
      <c r="V193" s="157">
        <f t="shared" si="70"/>
        <v>0</v>
      </c>
      <c r="W193" s="157">
        <f t="shared" si="70"/>
        <v>0</v>
      </c>
      <c r="X193" s="157">
        <f t="shared" si="70"/>
        <v>0</v>
      </c>
      <c r="Y193" s="157">
        <f t="shared" si="70"/>
        <v>0</v>
      </c>
      <c r="Z193" s="157">
        <f t="shared" si="71"/>
        <v>0</v>
      </c>
      <c r="AA193" s="157">
        <f t="shared" si="71"/>
        <v>0</v>
      </c>
      <c r="AB193" s="157">
        <f t="shared" si="71"/>
        <v>0</v>
      </c>
      <c r="AC193" s="157">
        <f t="shared" si="71"/>
        <v>0</v>
      </c>
      <c r="AD193" s="157">
        <f t="shared" si="71"/>
        <v>0</v>
      </c>
      <c r="AE193" s="157">
        <f t="shared" si="71"/>
        <v>0</v>
      </c>
      <c r="AF193" s="157">
        <f t="shared" si="71"/>
        <v>0</v>
      </c>
      <c r="AG193" s="157">
        <f t="shared" si="71"/>
        <v>0</v>
      </c>
      <c r="AH193" s="157">
        <f t="shared" si="71"/>
        <v>0</v>
      </c>
      <c r="AI193" s="157">
        <f t="shared" si="71"/>
        <v>0</v>
      </c>
      <c r="AJ193" s="157">
        <f t="shared" si="71"/>
        <v>0</v>
      </c>
      <c r="AK193" s="157">
        <f t="shared" si="71"/>
        <v>0</v>
      </c>
      <c r="AL193" s="157">
        <f t="shared" si="71"/>
        <v>0</v>
      </c>
      <c r="AM193" s="157">
        <f t="shared" si="71"/>
        <v>0</v>
      </c>
      <c r="AN193" s="157">
        <f t="shared" si="72"/>
        <v>0</v>
      </c>
      <c r="AO193" s="157">
        <f t="shared" si="72"/>
        <v>0</v>
      </c>
      <c r="AP193" s="157">
        <f t="shared" si="72"/>
        <v>0</v>
      </c>
      <c r="AQ193" s="157">
        <f t="shared" si="72"/>
        <v>0</v>
      </c>
      <c r="AR193" s="157">
        <f t="shared" si="72"/>
        <v>0</v>
      </c>
      <c r="AS193" s="157">
        <f t="shared" si="72"/>
        <v>0</v>
      </c>
      <c r="AT193" s="157">
        <f t="shared" si="72"/>
        <v>0</v>
      </c>
      <c r="AU193" s="157">
        <f t="shared" si="72"/>
        <v>0</v>
      </c>
      <c r="AV193" s="157">
        <f t="shared" si="72"/>
        <v>0</v>
      </c>
    </row>
    <row r="194" spans="1:48">
      <c r="A194" s="185" t="s">
        <v>16</v>
      </c>
      <c r="B194" s="87" t="str">
        <f t="shared" si="69"/>
        <v>CNO</v>
      </c>
      <c r="C194" s="87" t="str">
        <f t="shared" si="69"/>
        <v>Commercial - Other</v>
      </c>
      <c r="E194" s="106"/>
      <c r="F194" s="106"/>
      <c r="I194" s="155"/>
      <c r="J194" s="157">
        <f t="shared" si="70"/>
        <v>0</v>
      </c>
      <c r="K194" s="157">
        <f t="shared" si="70"/>
        <v>0</v>
      </c>
      <c r="L194" s="157">
        <f t="shared" si="70"/>
        <v>0</v>
      </c>
      <c r="M194" s="157">
        <f t="shared" si="70"/>
        <v>0</v>
      </c>
      <c r="N194" s="157">
        <f t="shared" si="70"/>
        <v>0</v>
      </c>
      <c r="O194" s="157">
        <f t="shared" si="70"/>
        <v>0</v>
      </c>
      <c r="P194" s="157">
        <f t="shared" si="70"/>
        <v>0.23382419467651278</v>
      </c>
      <c r="Q194" s="157">
        <f t="shared" si="70"/>
        <v>0.45048130118964741</v>
      </c>
      <c r="R194" s="157">
        <f t="shared" si="70"/>
        <v>0.58647523515600009</v>
      </c>
      <c r="S194" s="157">
        <f t="shared" si="70"/>
        <v>0.85870323028878481</v>
      </c>
      <c r="T194" s="157">
        <f t="shared" si="70"/>
        <v>1.136555162592874</v>
      </c>
      <c r="U194" s="157">
        <f t="shared" si="70"/>
        <v>1.4249615652454106</v>
      </c>
      <c r="V194" s="157">
        <f t="shared" si="70"/>
        <v>1.7228770137489693</v>
      </c>
      <c r="W194" s="157">
        <f t="shared" si="70"/>
        <v>2.0198277067709354</v>
      </c>
      <c r="X194" s="157">
        <f t="shared" si="70"/>
        <v>2.3320722330492942</v>
      </c>
      <c r="Y194" s="157">
        <f t="shared" si="70"/>
        <v>2.6470238723463417</v>
      </c>
      <c r="Z194" s="157">
        <f t="shared" si="71"/>
        <v>2.9714029925530117</v>
      </c>
      <c r="AA194" s="157">
        <f t="shared" si="71"/>
        <v>3.2981958298749707</v>
      </c>
      <c r="AB194" s="157">
        <f t="shared" si="71"/>
        <v>3.6012698332962692</v>
      </c>
      <c r="AC194" s="157">
        <f t="shared" si="71"/>
        <v>3.6012698332962692</v>
      </c>
      <c r="AD194" s="157">
        <f t="shared" si="71"/>
        <v>3.6012698332962692</v>
      </c>
      <c r="AE194" s="157">
        <f t="shared" si="71"/>
        <v>3.6012698332962692</v>
      </c>
      <c r="AF194" s="157">
        <f t="shared" si="71"/>
        <v>3.6012698332962692</v>
      </c>
      <c r="AG194" s="157">
        <f t="shared" si="71"/>
        <v>3.6012698332962692</v>
      </c>
      <c r="AH194" s="157">
        <f t="shared" si="71"/>
        <v>3.6012698332962692</v>
      </c>
      <c r="AI194" s="157">
        <f t="shared" si="71"/>
        <v>3.6012698332962692</v>
      </c>
      <c r="AJ194" s="157">
        <f t="shared" si="71"/>
        <v>3.6012698332962692</v>
      </c>
      <c r="AK194" s="157">
        <f t="shared" si="71"/>
        <v>3.6012698332962692</v>
      </c>
      <c r="AL194" s="157">
        <f t="shared" si="71"/>
        <v>3.6012698332962692</v>
      </c>
      <c r="AM194" s="157">
        <f t="shared" si="71"/>
        <v>3.6012698332962692</v>
      </c>
      <c r="AN194" s="157">
        <f t="shared" si="72"/>
        <v>3.6012698332962692</v>
      </c>
      <c r="AO194" s="157">
        <f t="shared" si="72"/>
        <v>3.6012698332962692</v>
      </c>
      <c r="AP194" s="157">
        <f t="shared" si="72"/>
        <v>3.6012698332962692</v>
      </c>
      <c r="AQ194" s="157">
        <f t="shared" si="72"/>
        <v>3.6012698332962692</v>
      </c>
      <c r="AR194" s="157">
        <f t="shared" si="72"/>
        <v>3.6012698332962692</v>
      </c>
      <c r="AS194" s="157">
        <f t="shared" si="72"/>
        <v>3.6012698332962692</v>
      </c>
      <c r="AT194" s="157">
        <f t="shared" si="72"/>
        <v>3.6012698332962692</v>
      </c>
      <c r="AU194" s="157">
        <f t="shared" si="72"/>
        <v>3.6012698332962692</v>
      </c>
      <c r="AV194" s="157">
        <f t="shared" si="72"/>
        <v>3.6012698332962692</v>
      </c>
    </row>
    <row r="195" spans="1:48">
      <c r="A195" s="185" t="s">
        <v>16</v>
      </c>
      <c r="E195" s="106"/>
      <c r="F195" s="106"/>
      <c r="I195" s="155"/>
      <c r="J195" s="157"/>
      <c r="K195" s="157"/>
      <c r="L195" s="157"/>
      <c r="M195" s="157"/>
      <c r="N195" s="157"/>
      <c r="O195" s="157"/>
      <c r="P195" s="157"/>
      <c r="Q195" s="157"/>
      <c r="R195" s="157"/>
      <c r="S195" s="157"/>
      <c r="T195" s="157"/>
      <c r="U195" s="157"/>
      <c r="V195" s="157"/>
      <c r="W195" s="157"/>
      <c r="X195" s="157"/>
      <c r="Y195" s="157"/>
      <c r="Z195" s="157"/>
      <c r="AA195" s="157"/>
      <c r="AB195" s="157"/>
      <c r="AC195" s="157"/>
      <c r="AD195" s="157"/>
      <c r="AE195" s="157"/>
      <c r="AF195" s="157"/>
      <c r="AG195" s="157"/>
      <c r="AH195" s="157"/>
      <c r="AI195" s="157"/>
      <c r="AJ195" s="157"/>
      <c r="AK195" s="157"/>
      <c r="AL195" s="157"/>
      <c r="AM195" s="157"/>
      <c r="AN195" s="157"/>
      <c r="AO195" s="157"/>
      <c r="AP195" s="157"/>
      <c r="AQ195" s="157"/>
      <c r="AR195" s="157"/>
      <c r="AS195" s="157"/>
      <c r="AT195" s="157"/>
      <c r="AU195" s="157"/>
      <c r="AV195" s="157"/>
    </row>
    <row r="196" spans="1:48">
      <c r="A196" s="185" t="s">
        <v>16</v>
      </c>
      <c r="E196" s="106"/>
      <c r="F196" s="106"/>
      <c r="I196" s="155" t="s">
        <v>112</v>
      </c>
      <c r="J196" s="157"/>
      <c r="K196" s="157"/>
      <c r="L196" s="157"/>
      <c r="M196" s="157"/>
      <c r="N196" s="157"/>
      <c r="O196" s="157"/>
      <c r="P196" s="157"/>
      <c r="Q196" s="157"/>
      <c r="R196" s="157"/>
      <c r="S196" s="157"/>
      <c r="T196" s="157"/>
      <c r="U196" s="157"/>
      <c r="V196" s="157"/>
      <c r="W196" s="157"/>
      <c r="X196" s="157"/>
      <c r="Y196" s="157"/>
      <c r="Z196" s="157"/>
      <c r="AA196" s="157"/>
      <c r="AB196" s="157"/>
      <c r="AC196" s="157"/>
      <c r="AD196" s="157"/>
      <c r="AE196" s="157"/>
      <c r="AF196" s="157"/>
      <c r="AG196" s="157"/>
      <c r="AH196" s="157"/>
      <c r="AI196" s="157"/>
      <c r="AJ196" s="157"/>
      <c r="AK196" s="157"/>
      <c r="AL196" s="157"/>
      <c r="AM196" s="157"/>
      <c r="AN196" s="157"/>
      <c r="AO196" s="157"/>
      <c r="AP196" s="157"/>
      <c r="AQ196" s="157"/>
      <c r="AR196" s="157"/>
      <c r="AS196" s="157"/>
      <c r="AT196" s="157"/>
      <c r="AU196" s="157"/>
      <c r="AV196" s="157"/>
    </row>
    <row r="197" spans="1:48">
      <c r="A197" s="185" t="s">
        <v>16</v>
      </c>
      <c r="B197" s="87" t="str">
        <f t="shared" ref="B197:C205" si="73">B186</f>
        <v>CNC</v>
      </c>
      <c r="C197" s="87" t="str">
        <f t="shared" si="73"/>
        <v>Commercial - Cooling</v>
      </c>
      <c r="E197" s="106"/>
      <c r="F197" s="106"/>
      <c r="I197" s="155"/>
      <c r="J197" s="157">
        <f t="shared" ref="J197:Y205" si="74">INDEX(J$49:J$52,MATCH($I$196,$B$49:$B$52,0),1)*INDEX(J$81:J$89,MATCH($B197,$B$81:$B$89,0))*INDEX(J$127:J$135,MATCH($B197,$B$127:$B$135,0))/1000</f>
        <v>0</v>
      </c>
      <c r="K197" s="157">
        <f t="shared" si="74"/>
        <v>0</v>
      </c>
      <c r="L197" s="157">
        <f t="shared" si="74"/>
        <v>0</v>
      </c>
      <c r="M197" s="157">
        <f t="shared" si="74"/>
        <v>0</v>
      </c>
      <c r="N197" s="157">
        <f t="shared" si="74"/>
        <v>0</v>
      </c>
      <c r="O197" s="157">
        <f t="shared" si="74"/>
        <v>0</v>
      </c>
      <c r="P197" s="157">
        <f t="shared" si="74"/>
        <v>0</v>
      </c>
      <c r="Q197" s="157">
        <f t="shared" si="74"/>
        <v>0</v>
      </c>
      <c r="R197" s="157">
        <f t="shared" si="74"/>
        <v>0</v>
      </c>
      <c r="S197" s="157">
        <f t="shared" si="74"/>
        <v>0</v>
      </c>
      <c r="T197" s="157">
        <f t="shared" si="74"/>
        <v>0</v>
      </c>
      <c r="U197" s="157">
        <f t="shared" si="74"/>
        <v>0</v>
      </c>
      <c r="V197" s="157">
        <f t="shared" si="74"/>
        <v>0</v>
      </c>
      <c r="W197" s="157">
        <f t="shared" si="74"/>
        <v>0</v>
      </c>
      <c r="X197" s="157">
        <f t="shared" si="74"/>
        <v>0</v>
      </c>
      <c r="Y197" s="157">
        <f t="shared" si="74"/>
        <v>0</v>
      </c>
      <c r="Z197" s="157">
        <f t="shared" ref="Z197:AO205" si="75">INDEX(Z$49:Z$52,MATCH($I$196,$B$49:$B$52,0),1)*INDEX(Z$81:Z$89,MATCH($B197,$B$81:$B$89,0))*INDEX(Z$127:Z$135,MATCH($B197,$B$127:$B$135,0))/1000</f>
        <v>0</v>
      </c>
      <c r="AA197" s="157">
        <f t="shared" si="75"/>
        <v>0</v>
      </c>
      <c r="AB197" s="157">
        <f t="shared" si="75"/>
        <v>0</v>
      </c>
      <c r="AC197" s="157">
        <f t="shared" si="75"/>
        <v>2.3220512138194302</v>
      </c>
      <c r="AD197" s="157">
        <f t="shared" si="75"/>
        <v>4.6615120141364965</v>
      </c>
      <c r="AE197" s="157">
        <f t="shared" si="75"/>
        <v>7.0203631903027794</v>
      </c>
      <c r="AF197" s="157">
        <f t="shared" si="75"/>
        <v>9.3199858626229251</v>
      </c>
      <c r="AG197" s="157">
        <f t="shared" si="75"/>
        <v>11.675303769463241</v>
      </c>
      <c r="AH197" s="157">
        <f t="shared" si="75"/>
        <v>14.054630236652351</v>
      </c>
      <c r="AI197" s="157">
        <f t="shared" si="75"/>
        <v>16.467258342222365</v>
      </c>
      <c r="AJ197" s="157">
        <f t="shared" si="75"/>
        <v>18.850651322901793</v>
      </c>
      <c r="AK197" s="157">
        <f t="shared" si="75"/>
        <v>21.261510298276662</v>
      </c>
      <c r="AL197" s="157">
        <f t="shared" si="75"/>
        <v>23.734953455327286</v>
      </c>
      <c r="AM197" s="157">
        <f t="shared" si="75"/>
        <v>23.734953455327286</v>
      </c>
      <c r="AN197" s="157">
        <f t="shared" si="75"/>
        <v>23.734953455327286</v>
      </c>
      <c r="AO197" s="157">
        <f t="shared" si="75"/>
        <v>23.734953455327286</v>
      </c>
      <c r="AP197" s="157">
        <f t="shared" ref="AN197:AV205" si="76">INDEX(AP$49:AP$52,MATCH($I$196,$B$49:$B$52,0),1)*INDEX(AP$81:AP$89,MATCH($B197,$B$81:$B$89,0))*INDEX(AP$127:AP$135,MATCH($B197,$B$127:$B$135,0))/1000</f>
        <v>23.734953455327286</v>
      </c>
      <c r="AQ197" s="157">
        <f t="shared" si="76"/>
        <v>23.734953455327286</v>
      </c>
      <c r="AR197" s="157">
        <f t="shared" si="76"/>
        <v>23.734953455327286</v>
      </c>
      <c r="AS197" s="157">
        <f t="shared" si="76"/>
        <v>23.734953455327286</v>
      </c>
      <c r="AT197" s="157">
        <f t="shared" si="76"/>
        <v>23.734953455327286</v>
      </c>
      <c r="AU197" s="157">
        <f t="shared" si="76"/>
        <v>23.734953455327286</v>
      </c>
      <c r="AV197" s="157">
        <f t="shared" si="76"/>
        <v>23.734953455327286</v>
      </c>
    </row>
    <row r="198" spans="1:48">
      <c r="A198" s="185" t="s">
        <v>16</v>
      </c>
      <c r="B198" s="87" t="str">
        <f t="shared" si="73"/>
        <v>CNH</v>
      </c>
      <c r="C198" s="87" t="str">
        <f t="shared" si="73"/>
        <v>Commercial - Space Heating</v>
      </c>
      <c r="E198" s="106"/>
      <c r="F198" s="106"/>
      <c r="I198" s="155"/>
      <c r="J198" s="157">
        <f t="shared" si="74"/>
        <v>0</v>
      </c>
      <c r="K198" s="157">
        <f t="shared" si="74"/>
        <v>0</v>
      </c>
      <c r="L198" s="157">
        <f t="shared" si="74"/>
        <v>0</v>
      </c>
      <c r="M198" s="157">
        <f t="shared" si="74"/>
        <v>0</v>
      </c>
      <c r="N198" s="157">
        <f t="shared" si="74"/>
        <v>0</v>
      </c>
      <c r="O198" s="157">
        <f t="shared" si="74"/>
        <v>0</v>
      </c>
      <c r="P198" s="157">
        <f t="shared" si="74"/>
        <v>0</v>
      </c>
      <c r="Q198" s="157">
        <f t="shared" si="74"/>
        <v>0</v>
      </c>
      <c r="R198" s="157">
        <f t="shared" si="74"/>
        <v>0</v>
      </c>
      <c r="S198" s="157">
        <f t="shared" si="74"/>
        <v>0</v>
      </c>
      <c r="T198" s="157">
        <f t="shared" si="74"/>
        <v>0</v>
      </c>
      <c r="U198" s="157">
        <f t="shared" si="74"/>
        <v>0</v>
      </c>
      <c r="V198" s="157">
        <f t="shared" si="74"/>
        <v>0</v>
      </c>
      <c r="W198" s="157">
        <f t="shared" si="74"/>
        <v>0</v>
      </c>
      <c r="X198" s="157">
        <f t="shared" si="74"/>
        <v>0</v>
      </c>
      <c r="Y198" s="157">
        <f t="shared" si="74"/>
        <v>0</v>
      </c>
      <c r="Z198" s="157">
        <f t="shared" si="75"/>
        <v>0</v>
      </c>
      <c r="AA198" s="157">
        <f t="shared" si="75"/>
        <v>0</v>
      </c>
      <c r="AB198" s="157">
        <f t="shared" si="75"/>
        <v>0</v>
      </c>
      <c r="AC198" s="157">
        <f t="shared" si="75"/>
        <v>0.22144552134015882</v>
      </c>
      <c r="AD198" s="157">
        <f t="shared" si="75"/>
        <v>0.44455133119391355</v>
      </c>
      <c r="AE198" s="157">
        <f t="shared" si="75"/>
        <v>0.66950633018844008</v>
      </c>
      <c r="AF198" s="157">
        <f t="shared" si="75"/>
        <v>0.88881292365498032</v>
      </c>
      <c r="AG198" s="157">
        <f t="shared" si="75"/>
        <v>1.1134309676920677</v>
      </c>
      <c r="AH198" s="157">
        <f t="shared" si="75"/>
        <v>1.3403386202147152</v>
      </c>
      <c r="AI198" s="157">
        <f t="shared" si="75"/>
        <v>1.570422128045313</v>
      </c>
      <c r="AJ198" s="157">
        <f t="shared" si="75"/>
        <v>1.7977175890687123</v>
      </c>
      <c r="AK198" s="157">
        <f t="shared" si="75"/>
        <v>2.0276323814308261</v>
      </c>
      <c r="AL198" s="157">
        <f t="shared" si="75"/>
        <v>2.2635155980276664</v>
      </c>
      <c r="AM198" s="157">
        <f t="shared" si="75"/>
        <v>2.2635155980276664</v>
      </c>
      <c r="AN198" s="157">
        <f t="shared" si="76"/>
        <v>2.2635155980276664</v>
      </c>
      <c r="AO198" s="157">
        <f t="shared" si="76"/>
        <v>2.2635155980276664</v>
      </c>
      <c r="AP198" s="157">
        <f t="shared" si="76"/>
        <v>2.2635155980276664</v>
      </c>
      <c r="AQ198" s="157">
        <f t="shared" si="76"/>
        <v>2.2635155980276664</v>
      </c>
      <c r="AR198" s="157">
        <f t="shared" si="76"/>
        <v>2.2635155980276664</v>
      </c>
      <c r="AS198" s="157">
        <f t="shared" si="76"/>
        <v>2.2635155980276664</v>
      </c>
      <c r="AT198" s="157">
        <f t="shared" si="76"/>
        <v>2.2635155980276664</v>
      </c>
      <c r="AU198" s="157">
        <f t="shared" si="76"/>
        <v>2.2635155980276664</v>
      </c>
      <c r="AV198" s="157">
        <f t="shared" si="76"/>
        <v>2.2635155980276664</v>
      </c>
    </row>
    <row r="199" spans="1:48">
      <c r="A199" s="185" t="s">
        <v>16</v>
      </c>
      <c r="B199" s="87" t="str">
        <f t="shared" si="73"/>
        <v>CNK</v>
      </c>
      <c r="C199" s="87" t="str">
        <f t="shared" si="73"/>
        <v>Commercial - Cooking</v>
      </c>
      <c r="E199" s="106"/>
      <c r="F199" s="106"/>
      <c r="I199" s="155"/>
      <c r="J199" s="157">
        <f t="shared" si="74"/>
        <v>0</v>
      </c>
      <c r="K199" s="157">
        <f t="shared" si="74"/>
        <v>0</v>
      </c>
      <c r="L199" s="157">
        <f t="shared" si="74"/>
        <v>0</v>
      </c>
      <c r="M199" s="157">
        <f t="shared" si="74"/>
        <v>0</v>
      </c>
      <c r="N199" s="157">
        <f t="shared" si="74"/>
        <v>0</v>
      </c>
      <c r="O199" s="157">
        <f t="shared" si="74"/>
        <v>0</v>
      </c>
      <c r="P199" s="157">
        <f t="shared" si="74"/>
        <v>0</v>
      </c>
      <c r="Q199" s="157">
        <f t="shared" si="74"/>
        <v>0</v>
      </c>
      <c r="R199" s="157">
        <f t="shared" si="74"/>
        <v>0</v>
      </c>
      <c r="S199" s="157">
        <f t="shared" si="74"/>
        <v>0</v>
      </c>
      <c r="T199" s="157">
        <f t="shared" si="74"/>
        <v>0</v>
      </c>
      <c r="U199" s="157">
        <f t="shared" si="74"/>
        <v>0</v>
      </c>
      <c r="V199" s="157">
        <f t="shared" si="74"/>
        <v>0</v>
      </c>
      <c r="W199" s="157">
        <f t="shared" si="74"/>
        <v>0</v>
      </c>
      <c r="X199" s="157">
        <f t="shared" si="74"/>
        <v>0</v>
      </c>
      <c r="Y199" s="157">
        <f t="shared" si="74"/>
        <v>0</v>
      </c>
      <c r="Z199" s="157">
        <f t="shared" si="75"/>
        <v>0</v>
      </c>
      <c r="AA199" s="157">
        <f t="shared" si="75"/>
        <v>0</v>
      </c>
      <c r="AB199" s="157">
        <f t="shared" si="75"/>
        <v>0</v>
      </c>
      <c r="AC199" s="157">
        <f t="shared" si="75"/>
        <v>0.15931942302514207</v>
      </c>
      <c r="AD199" s="157">
        <f t="shared" si="75"/>
        <v>0.3198333439405126</v>
      </c>
      <c r="AE199" s="157">
        <f t="shared" si="75"/>
        <v>0.48167766767996911</v>
      </c>
      <c r="AF199" s="157">
        <f t="shared" si="75"/>
        <v>0.63945823477045505</v>
      </c>
      <c r="AG199" s="157">
        <f t="shared" si="75"/>
        <v>0.80106013559216738</v>
      </c>
      <c r="AH199" s="157">
        <f t="shared" si="75"/>
        <v>0.9643092998160262</v>
      </c>
      <c r="AI199" s="157">
        <f t="shared" si="75"/>
        <v>1.1298433394901171</v>
      </c>
      <c r="AJ199" s="157">
        <f t="shared" si="75"/>
        <v>1.2933715133151189</v>
      </c>
      <c r="AK199" s="157">
        <f t="shared" si="75"/>
        <v>1.4587841703081261</v>
      </c>
      <c r="AL199" s="157">
        <f t="shared" si="75"/>
        <v>1.6284908220484244</v>
      </c>
      <c r="AM199" s="157">
        <f t="shared" si="75"/>
        <v>1.6284908220484244</v>
      </c>
      <c r="AN199" s="157">
        <f t="shared" si="76"/>
        <v>1.6284908220484244</v>
      </c>
      <c r="AO199" s="157">
        <f t="shared" si="76"/>
        <v>1.6284908220484244</v>
      </c>
      <c r="AP199" s="157">
        <f t="shared" si="76"/>
        <v>1.6284908220484244</v>
      </c>
      <c r="AQ199" s="157">
        <f t="shared" si="76"/>
        <v>1.6284908220484244</v>
      </c>
      <c r="AR199" s="157">
        <f t="shared" si="76"/>
        <v>1.6284908220484244</v>
      </c>
      <c r="AS199" s="157">
        <f t="shared" si="76"/>
        <v>1.6284908220484244</v>
      </c>
      <c r="AT199" s="157">
        <f t="shared" si="76"/>
        <v>1.6284908220484244</v>
      </c>
      <c r="AU199" s="157">
        <f t="shared" si="76"/>
        <v>1.6284908220484244</v>
      </c>
      <c r="AV199" s="157">
        <f t="shared" si="76"/>
        <v>1.6284908220484244</v>
      </c>
    </row>
    <row r="200" spans="1:48">
      <c r="A200" s="185" t="s">
        <v>16</v>
      </c>
      <c r="B200" s="87" t="str">
        <f t="shared" si="73"/>
        <v>CNL</v>
      </c>
      <c r="C200" s="87" t="str">
        <f t="shared" si="73"/>
        <v>Commercial - Lighting</v>
      </c>
      <c r="E200" s="106"/>
      <c r="F200" s="106"/>
      <c r="I200" s="155"/>
      <c r="J200" s="157">
        <f t="shared" si="74"/>
        <v>0</v>
      </c>
      <c r="K200" s="157">
        <f t="shared" si="74"/>
        <v>0</v>
      </c>
      <c r="L200" s="157">
        <f t="shared" si="74"/>
        <v>0</v>
      </c>
      <c r="M200" s="157">
        <f t="shared" si="74"/>
        <v>0</v>
      </c>
      <c r="N200" s="157">
        <f t="shared" si="74"/>
        <v>0</v>
      </c>
      <c r="O200" s="157">
        <f t="shared" si="74"/>
        <v>0</v>
      </c>
      <c r="P200" s="157">
        <f t="shared" si="74"/>
        <v>0</v>
      </c>
      <c r="Q200" s="157">
        <f t="shared" si="74"/>
        <v>0</v>
      </c>
      <c r="R200" s="157">
        <f t="shared" si="74"/>
        <v>0</v>
      </c>
      <c r="S200" s="157">
        <f t="shared" si="74"/>
        <v>0</v>
      </c>
      <c r="T200" s="157">
        <f t="shared" si="74"/>
        <v>0</v>
      </c>
      <c r="U200" s="157">
        <f t="shared" si="74"/>
        <v>0</v>
      </c>
      <c r="V200" s="157">
        <f t="shared" si="74"/>
        <v>0</v>
      </c>
      <c r="W200" s="157">
        <f t="shared" si="74"/>
        <v>0</v>
      </c>
      <c r="X200" s="157">
        <f t="shared" si="74"/>
        <v>0</v>
      </c>
      <c r="Y200" s="157">
        <f t="shared" si="74"/>
        <v>0</v>
      </c>
      <c r="Z200" s="157">
        <f t="shared" si="75"/>
        <v>0</v>
      </c>
      <c r="AA200" s="157">
        <f t="shared" si="75"/>
        <v>0</v>
      </c>
      <c r="AB200" s="157">
        <f t="shared" si="75"/>
        <v>0</v>
      </c>
      <c r="AC200" s="157">
        <f t="shared" si="75"/>
        <v>2.0207207227881367</v>
      </c>
      <c r="AD200" s="157">
        <f t="shared" si="75"/>
        <v>4.0565918057412755</v>
      </c>
      <c r="AE200" s="157">
        <f t="shared" si="75"/>
        <v>6.1093369929639376</v>
      </c>
      <c r="AF200" s="157">
        <f t="shared" si="75"/>
        <v>8.1105397058478186</v>
      </c>
      <c r="AG200" s="157">
        <f t="shared" si="75"/>
        <v>10.160210132917181</v>
      </c>
      <c r="AH200" s="157">
        <f t="shared" si="75"/>
        <v>12.230773551119723</v>
      </c>
      <c r="AI200" s="157">
        <f t="shared" si="75"/>
        <v>14.33031708413567</v>
      </c>
      <c r="AJ200" s="157">
        <f t="shared" si="75"/>
        <v>16.404419308041756</v>
      </c>
      <c r="AK200" s="157">
        <f t="shared" si="75"/>
        <v>18.502423289291844</v>
      </c>
      <c r="AL200" s="157">
        <f t="shared" si="75"/>
        <v>20.654889959425926</v>
      </c>
      <c r="AM200" s="157">
        <f t="shared" si="75"/>
        <v>20.654889959425926</v>
      </c>
      <c r="AN200" s="157">
        <f t="shared" si="76"/>
        <v>20.654889959425926</v>
      </c>
      <c r="AO200" s="157">
        <f t="shared" si="76"/>
        <v>20.654889959425926</v>
      </c>
      <c r="AP200" s="157">
        <f t="shared" si="76"/>
        <v>20.654889959425926</v>
      </c>
      <c r="AQ200" s="157">
        <f t="shared" si="76"/>
        <v>20.654889959425926</v>
      </c>
      <c r="AR200" s="157">
        <f t="shared" si="76"/>
        <v>20.654889959425926</v>
      </c>
      <c r="AS200" s="157">
        <f t="shared" si="76"/>
        <v>20.654889959425926</v>
      </c>
      <c r="AT200" s="157">
        <f t="shared" si="76"/>
        <v>20.654889959425926</v>
      </c>
      <c r="AU200" s="157">
        <f t="shared" si="76"/>
        <v>20.654889959425926</v>
      </c>
      <c r="AV200" s="157">
        <f t="shared" si="76"/>
        <v>20.654889959425926</v>
      </c>
    </row>
    <row r="201" spans="1:48">
      <c r="A201" s="185" t="s">
        <v>16</v>
      </c>
      <c r="B201" s="87" t="str">
        <f t="shared" si="73"/>
        <v>CNR</v>
      </c>
      <c r="C201" s="87" t="str">
        <f t="shared" si="73"/>
        <v>Commercial - Refrigeration</v>
      </c>
      <c r="E201" s="106"/>
      <c r="F201" s="106"/>
      <c r="I201" s="155"/>
      <c r="J201" s="157">
        <f t="shared" si="74"/>
        <v>0</v>
      </c>
      <c r="K201" s="157">
        <f t="shared" si="74"/>
        <v>0</v>
      </c>
      <c r="L201" s="157">
        <f t="shared" si="74"/>
        <v>0</v>
      </c>
      <c r="M201" s="157">
        <f t="shared" si="74"/>
        <v>0</v>
      </c>
      <c r="N201" s="157">
        <f t="shared" si="74"/>
        <v>0</v>
      </c>
      <c r="O201" s="157">
        <f t="shared" si="74"/>
        <v>0</v>
      </c>
      <c r="P201" s="157">
        <f t="shared" si="74"/>
        <v>0</v>
      </c>
      <c r="Q201" s="157">
        <f t="shared" si="74"/>
        <v>0</v>
      </c>
      <c r="R201" s="157">
        <f t="shared" si="74"/>
        <v>0</v>
      </c>
      <c r="S201" s="157">
        <f t="shared" si="74"/>
        <v>0</v>
      </c>
      <c r="T201" s="157">
        <f t="shared" si="74"/>
        <v>0</v>
      </c>
      <c r="U201" s="157">
        <f t="shared" si="74"/>
        <v>0</v>
      </c>
      <c r="V201" s="157">
        <f t="shared" si="74"/>
        <v>0</v>
      </c>
      <c r="W201" s="157">
        <f t="shared" si="74"/>
        <v>0</v>
      </c>
      <c r="X201" s="157">
        <f t="shared" si="74"/>
        <v>0</v>
      </c>
      <c r="Y201" s="157">
        <f t="shared" si="74"/>
        <v>0</v>
      </c>
      <c r="Z201" s="157">
        <f t="shared" si="75"/>
        <v>0</v>
      </c>
      <c r="AA201" s="157">
        <f t="shared" si="75"/>
        <v>0</v>
      </c>
      <c r="AB201" s="157">
        <f t="shared" si="75"/>
        <v>0</v>
      </c>
      <c r="AC201" s="157">
        <f t="shared" si="75"/>
        <v>0.49156889967001838</v>
      </c>
      <c r="AD201" s="157">
        <f t="shared" si="75"/>
        <v>0.98682333875769523</v>
      </c>
      <c r="AE201" s="157">
        <f t="shared" si="75"/>
        <v>1.4861826423994611</v>
      </c>
      <c r="AF201" s="157">
        <f t="shared" si="75"/>
        <v>1.9730035100707055</v>
      </c>
      <c r="AG201" s="157">
        <f t="shared" si="75"/>
        <v>2.4716148348115472</v>
      </c>
      <c r="AH201" s="157">
        <f t="shared" si="75"/>
        <v>2.9753086751847224</v>
      </c>
      <c r="AI201" s="157">
        <f t="shared" si="75"/>
        <v>3.4860523384208419</v>
      </c>
      <c r="AJ201" s="157">
        <f t="shared" si="75"/>
        <v>3.9906070433391374</v>
      </c>
      <c r="AK201" s="157">
        <f t="shared" si="75"/>
        <v>4.5009761888306752</v>
      </c>
      <c r="AL201" s="157">
        <f t="shared" si="75"/>
        <v>5.024594153788386</v>
      </c>
      <c r="AM201" s="157">
        <f t="shared" si="75"/>
        <v>5.024594153788386</v>
      </c>
      <c r="AN201" s="157">
        <f t="shared" si="76"/>
        <v>5.024594153788386</v>
      </c>
      <c r="AO201" s="157">
        <f t="shared" si="76"/>
        <v>5.024594153788386</v>
      </c>
      <c r="AP201" s="157">
        <f t="shared" si="76"/>
        <v>5.024594153788386</v>
      </c>
      <c r="AQ201" s="157">
        <f t="shared" si="76"/>
        <v>5.024594153788386</v>
      </c>
      <c r="AR201" s="157">
        <f t="shared" si="76"/>
        <v>5.024594153788386</v>
      </c>
      <c r="AS201" s="157">
        <f t="shared" si="76"/>
        <v>5.024594153788386</v>
      </c>
      <c r="AT201" s="157">
        <f t="shared" si="76"/>
        <v>5.024594153788386</v>
      </c>
      <c r="AU201" s="157">
        <f t="shared" si="76"/>
        <v>5.024594153788386</v>
      </c>
      <c r="AV201" s="157">
        <f t="shared" si="76"/>
        <v>5.024594153788386</v>
      </c>
    </row>
    <row r="202" spans="1:48">
      <c r="A202" s="185" t="s">
        <v>16</v>
      </c>
      <c r="B202" s="87" t="str">
        <f t="shared" si="73"/>
        <v>CNW</v>
      </c>
      <c r="C202" s="87" t="str">
        <f t="shared" si="73"/>
        <v>Commercial - Water Heating</v>
      </c>
      <c r="E202" s="106"/>
      <c r="F202" s="106"/>
      <c r="I202" s="155"/>
      <c r="J202" s="157">
        <f t="shared" si="74"/>
        <v>0</v>
      </c>
      <c r="K202" s="157">
        <f t="shared" si="74"/>
        <v>0</v>
      </c>
      <c r="L202" s="157">
        <f t="shared" si="74"/>
        <v>0</v>
      </c>
      <c r="M202" s="157">
        <f t="shared" si="74"/>
        <v>0</v>
      </c>
      <c r="N202" s="157">
        <f t="shared" si="74"/>
        <v>0</v>
      </c>
      <c r="O202" s="157">
        <f t="shared" si="74"/>
        <v>0</v>
      </c>
      <c r="P202" s="157">
        <f t="shared" si="74"/>
        <v>0</v>
      </c>
      <c r="Q202" s="157">
        <f t="shared" si="74"/>
        <v>0</v>
      </c>
      <c r="R202" s="157">
        <f t="shared" si="74"/>
        <v>0</v>
      </c>
      <c r="S202" s="157">
        <f t="shared" si="74"/>
        <v>0</v>
      </c>
      <c r="T202" s="157">
        <f t="shared" si="74"/>
        <v>0</v>
      </c>
      <c r="U202" s="157">
        <f t="shared" si="74"/>
        <v>0</v>
      </c>
      <c r="V202" s="157">
        <f t="shared" si="74"/>
        <v>0</v>
      </c>
      <c r="W202" s="157">
        <f t="shared" si="74"/>
        <v>0</v>
      </c>
      <c r="X202" s="157">
        <f t="shared" si="74"/>
        <v>0</v>
      </c>
      <c r="Y202" s="157">
        <f t="shared" si="74"/>
        <v>0</v>
      </c>
      <c r="Z202" s="157">
        <f t="shared" si="75"/>
        <v>0</v>
      </c>
      <c r="AA202" s="157">
        <f t="shared" si="75"/>
        <v>0</v>
      </c>
      <c r="AB202" s="157">
        <f t="shared" si="75"/>
        <v>0</v>
      </c>
      <c r="AC202" s="157">
        <f t="shared" si="75"/>
        <v>0.1862840131418069</v>
      </c>
      <c r="AD202" s="157">
        <f t="shared" si="75"/>
        <v>0.37396469127559068</v>
      </c>
      <c r="AE202" s="157">
        <f t="shared" si="75"/>
        <v>0.56320094105569418</v>
      </c>
      <c r="AF202" s="157">
        <f t="shared" si="75"/>
        <v>0.74768564904241286</v>
      </c>
      <c r="AG202" s="157">
        <f t="shared" si="75"/>
        <v>0.9366384461640932</v>
      </c>
      <c r="AH202" s="157">
        <f t="shared" si="75"/>
        <v>1.1275173037210102</v>
      </c>
      <c r="AI202" s="157">
        <f t="shared" si="75"/>
        <v>1.3210677487110003</v>
      </c>
      <c r="AJ202" s="157">
        <f t="shared" si="75"/>
        <v>1.5122728378548709</v>
      </c>
      <c r="AK202" s="157">
        <f t="shared" si="75"/>
        <v>1.7056813563143172</v>
      </c>
      <c r="AL202" s="157">
        <f t="shared" si="75"/>
        <v>1.9041106221424573</v>
      </c>
      <c r="AM202" s="157">
        <f t="shared" si="75"/>
        <v>1.9041106221424573</v>
      </c>
      <c r="AN202" s="157">
        <f t="shared" si="76"/>
        <v>1.9041106221424573</v>
      </c>
      <c r="AO202" s="157">
        <f t="shared" si="76"/>
        <v>1.9041106221424573</v>
      </c>
      <c r="AP202" s="157">
        <f t="shared" si="76"/>
        <v>1.9041106221424573</v>
      </c>
      <c r="AQ202" s="157">
        <f t="shared" si="76"/>
        <v>1.9041106221424573</v>
      </c>
      <c r="AR202" s="157">
        <f t="shared" si="76"/>
        <v>1.9041106221424573</v>
      </c>
      <c r="AS202" s="157">
        <f t="shared" si="76"/>
        <v>1.9041106221424573</v>
      </c>
      <c r="AT202" s="157">
        <f t="shared" si="76"/>
        <v>1.9041106221424573</v>
      </c>
      <c r="AU202" s="157">
        <f t="shared" si="76"/>
        <v>1.9041106221424573</v>
      </c>
      <c r="AV202" s="157">
        <f t="shared" si="76"/>
        <v>1.9041106221424573</v>
      </c>
    </row>
    <row r="203" spans="1:48">
      <c r="A203" s="185" t="s">
        <v>16</v>
      </c>
      <c r="B203" s="87" t="str">
        <f t="shared" si="73"/>
        <v>CNG</v>
      </c>
      <c r="C203" s="87" t="str">
        <f t="shared" si="73"/>
        <v>Commercial - Public lights</v>
      </c>
      <c r="E203" s="106"/>
      <c r="F203" s="106"/>
      <c r="I203" s="155"/>
      <c r="J203" s="157">
        <f t="shared" si="74"/>
        <v>0</v>
      </c>
      <c r="K203" s="157">
        <f t="shared" si="74"/>
        <v>0</v>
      </c>
      <c r="L203" s="157">
        <f t="shared" si="74"/>
        <v>0</v>
      </c>
      <c r="M203" s="157">
        <f t="shared" si="74"/>
        <v>0</v>
      </c>
      <c r="N203" s="157">
        <f t="shared" si="74"/>
        <v>0</v>
      </c>
      <c r="O203" s="157">
        <f t="shared" si="74"/>
        <v>0</v>
      </c>
      <c r="P203" s="157">
        <f t="shared" si="74"/>
        <v>0</v>
      </c>
      <c r="Q203" s="157">
        <f t="shared" si="74"/>
        <v>0</v>
      </c>
      <c r="R203" s="157">
        <f t="shared" si="74"/>
        <v>0</v>
      </c>
      <c r="S203" s="157">
        <f t="shared" si="74"/>
        <v>0</v>
      </c>
      <c r="T203" s="157">
        <f t="shared" si="74"/>
        <v>0</v>
      </c>
      <c r="U203" s="157">
        <f t="shared" si="74"/>
        <v>0</v>
      </c>
      <c r="V203" s="157">
        <f t="shared" si="74"/>
        <v>0</v>
      </c>
      <c r="W203" s="157">
        <f t="shared" si="74"/>
        <v>0</v>
      </c>
      <c r="X203" s="157">
        <f t="shared" si="74"/>
        <v>0</v>
      </c>
      <c r="Y203" s="157">
        <f t="shared" si="74"/>
        <v>0</v>
      </c>
      <c r="Z203" s="157">
        <f t="shared" si="75"/>
        <v>0</v>
      </c>
      <c r="AA203" s="157">
        <f t="shared" si="75"/>
        <v>0</v>
      </c>
      <c r="AB203" s="157">
        <f t="shared" si="75"/>
        <v>0</v>
      </c>
      <c r="AC203" s="157">
        <f t="shared" si="75"/>
        <v>0</v>
      </c>
      <c r="AD203" s="157">
        <f t="shared" si="75"/>
        <v>0</v>
      </c>
      <c r="AE203" s="157">
        <f t="shared" si="75"/>
        <v>0</v>
      </c>
      <c r="AF203" s="157">
        <f t="shared" si="75"/>
        <v>0</v>
      </c>
      <c r="AG203" s="157">
        <f t="shared" si="75"/>
        <v>0</v>
      </c>
      <c r="AH203" s="157">
        <f t="shared" si="75"/>
        <v>0</v>
      </c>
      <c r="AI203" s="157">
        <f t="shared" si="75"/>
        <v>0</v>
      </c>
      <c r="AJ203" s="157">
        <f t="shared" si="75"/>
        <v>0</v>
      </c>
      <c r="AK203" s="157">
        <f t="shared" si="75"/>
        <v>0</v>
      </c>
      <c r="AL203" s="157">
        <f t="shared" si="75"/>
        <v>0</v>
      </c>
      <c r="AM203" s="157">
        <f t="shared" si="75"/>
        <v>0</v>
      </c>
      <c r="AN203" s="157">
        <f t="shared" si="76"/>
        <v>0</v>
      </c>
      <c r="AO203" s="157">
        <f t="shared" si="76"/>
        <v>0</v>
      </c>
      <c r="AP203" s="157">
        <f t="shared" si="76"/>
        <v>0</v>
      </c>
      <c r="AQ203" s="157">
        <f t="shared" si="76"/>
        <v>0</v>
      </c>
      <c r="AR203" s="157">
        <f t="shared" si="76"/>
        <v>0</v>
      </c>
      <c r="AS203" s="157">
        <f t="shared" si="76"/>
        <v>0</v>
      </c>
      <c r="AT203" s="157">
        <f t="shared" si="76"/>
        <v>0</v>
      </c>
      <c r="AU203" s="157">
        <f t="shared" si="76"/>
        <v>0</v>
      </c>
      <c r="AV203" s="157">
        <f t="shared" si="76"/>
        <v>0</v>
      </c>
    </row>
    <row r="204" spans="1:48">
      <c r="A204" s="185" t="s">
        <v>16</v>
      </c>
      <c r="B204" s="87" t="str">
        <f t="shared" si="73"/>
        <v>CNT</v>
      </c>
      <c r="C204" s="87" t="str">
        <f t="shared" si="73"/>
        <v>Commercial - Public Water</v>
      </c>
      <c r="E204" s="106"/>
      <c r="F204" s="106"/>
      <c r="I204" s="155"/>
      <c r="J204" s="157">
        <f t="shared" si="74"/>
        <v>0</v>
      </c>
      <c r="K204" s="157">
        <f t="shared" si="74"/>
        <v>0</v>
      </c>
      <c r="L204" s="157">
        <f t="shared" si="74"/>
        <v>0</v>
      </c>
      <c r="M204" s="157">
        <f t="shared" si="74"/>
        <v>0</v>
      </c>
      <c r="N204" s="157">
        <f t="shared" si="74"/>
        <v>0</v>
      </c>
      <c r="O204" s="157">
        <f t="shared" si="74"/>
        <v>0</v>
      </c>
      <c r="P204" s="157">
        <f t="shared" si="74"/>
        <v>0</v>
      </c>
      <c r="Q204" s="157">
        <f t="shared" si="74"/>
        <v>0</v>
      </c>
      <c r="R204" s="157">
        <f t="shared" si="74"/>
        <v>0</v>
      </c>
      <c r="S204" s="157">
        <f t="shared" si="74"/>
        <v>0</v>
      </c>
      <c r="T204" s="157">
        <f t="shared" si="74"/>
        <v>0</v>
      </c>
      <c r="U204" s="157">
        <f t="shared" si="74"/>
        <v>0</v>
      </c>
      <c r="V204" s="157">
        <f t="shared" si="74"/>
        <v>0</v>
      </c>
      <c r="W204" s="157">
        <f t="shared" si="74"/>
        <v>0</v>
      </c>
      <c r="X204" s="157">
        <f t="shared" si="74"/>
        <v>0</v>
      </c>
      <c r="Y204" s="157">
        <f t="shared" si="74"/>
        <v>0</v>
      </c>
      <c r="Z204" s="157">
        <f t="shared" si="75"/>
        <v>0</v>
      </c>
      <c r="AA204" s="157">
        <f t="shared" si="75"/>
        <v>0</v>
      </c>
      <c r="AB204" s="157">
        <f t="shared" si="75"/>
        <v>0</v>
      </c>
      <c r="AC204" s="157">
        <f t="shared" si="75"/>
        <v>0</v>
      </c>
      <c r="AD204" s="157">
        <f t="shared" si="75"/>
        <v>0</v>
      </c>
      <c r="AE204" s="157">
        <f t="shared" si="75"/>
        <v>0</v>
      </c>
      <c r="AF204" s="157">
        <f t="shared" si="75"/>
        <v>0</v>
      </c>
      <c r="AG204" s="157">
        <f t="shared" si="75"/>
        <v>0</v>
      </c>
      <c r="AH204" s="157">
        <f t="shared" si="75"/>
        <v>0</v>
      </c>
      <c r="AI204" s="157">
        <f t="shared" si="75"/>
        <v>0</v>
      </c>
      <c r="AJ204" s="157">
        <f t="shared" si="75"/>
        <v>0</v>
      </c>
      <c r="AK204" s="157">
        <f t="shared" si="75"/>
        <v>0</v>
      </c>
      <c r="AL204" s="157">
        <f t="shared" si="75"/>
        <v>0</v>
      </c>
      <c r="AM204" s="157">
        <f t="shared" si="75"/>
        <v>0</v>
      </c>
      <c r="AN204" s="157">
        <f t="shared" si="76"/>
        <v>0</v>
      </c>
      <c r="AO204" s="157">
        <f t="shared" si="76"/>
        <v>0</v>
      </c>
      <c r="AP204" s="157">
        <f t="shared" si="76"/>
        <v>0</v>
      </c>
      <c r="AQ204" s="157">
        <f t="shared" si="76"/>
        <v>0</v>
      </c>
      <c r="AR204" s="157">
        <f t="shared" si="76"/>
        <v>0</v>
      </c>
      <c r="AS204" s="157">
        <f t="shared" si="76"/>
        <v>0</v>
      </c>
      <c r="AT204" s="157">
        <f t="shared" si="76"/>
        <v>0</v>
      </c>
      <c r="AU204" s="157">
        <f t="shared" si="76"/>
        <v>0</v>
      </c>
      <c r="AV204" s="157">
        <f t="shared" si="76"/>
        <v>0</v>
      </c>
    </row>
    <row r="205" spans="1:48">
      <c r="A205" s="185" t="s">
        <v>16</v>
      </c>
      <c r="B205" s="87" t="str">
        <f t="shared" si="73"/>
        <v>CNO</v>
      </c>
      <c r="C205" s="87" t="str">
        <f t="shared" si="73"/>
        <v>Commercial - Other</v>
      </c>
      <c r="E205" s="106"/>
      <c r="F205" s="106"/>
      <c r="I205" s="155"/>
      <c r="J205" s="157">
        <f t="shared" si="74"/>
        <v>0</v>
      </c>
      <c r="K205" s="157">
        <f t="shared" si="74"/>
        <v>0</v>
      </c>
      <c r="L205" s="157">
        <f t="shared" si="74"/>
        <v>0</v>
      </c>
      <c r="M205" s="157">
        <f t="shared" si="74"/>
        <v>0</v>
      </c>
      <c r="N205" s="157">
        <f t="shared" si="74"/>
        <v>0</v>
      </c>
      <c r="O205" s="157">
        <f t="shared" si="74"/>
        <v>0</v>
      </c>
      <c r="P205" s="157">
        <f t="shared" si="74"/>
        <v>0</v>
      </c>
      <c r="Q205" s="157">
        <f t="shared" si="74"/>
        <v>0</v>
      </c>
      <c r="R205" s="157">
        <f t="shared" si="74"/>
        <v>0</v>
      </c>
      <c r="S205" s="157">
        <f t="shared" si="74"/>
        <v>0</v>
      </c>
      <c r="T205" s="157">
        <f t="shared" si="74"/>
        <v>0</v>
      </c>
      <c r="U205" s="157">
        <f t="shared" si="74"/>
        <v>0</v>
      </c>
      <c r="V205" s="157">
        <f t="shared" si="74"/>
        <v>0</v>
      </c>
      <c r="W205" s="157">
        <f t="shared" si="74"/>
        <v>0</v>
      </c>
      <c r="X205" s="157">
        <f t="shared" si="74"/>
        <v>0</v>
      </c>
      <c r="Y205" s="157">
        <f t="shared" si="74"/>
        <v>0</v>
      </c>
      <c r="Z205" s="157">
        <f t="shared" si="75"/>
        <v>0</v>
      </c>
      <c r="AA205" s="157">
        <f t="shared" si="75"/>
        <v>0</v>
      </c>
      <c r="AB205" s="157">
        <f t="shared" si="75"/>
        <v>0</v>
      </c>
      <c r="AC205" s="157">
        <f t="shared" si="75"/>
        <v>0.32816772317351162</v>
      </c>
      <c r="AD205" s="157">
        <f t="shared" si="75"/>
        <v>0.65879588491457919</v>
      </c>
      <c r="AE205" s="157">
        <f t="shared" si="75"/>
        <v>0.99216442355002599</v>
      </c>
      <c r="AF205" s="157">
        <f t="shared" si="75"/>
        <v>1.3171623960504608</v>
      </c>
      <c r="AG205" s="157">
        <f t="shared" si="75"/>
        <v>1.6500315895624404</v>
      </c>
      <c r="AH205" s="157">
        <f t="shared" si="75"/>
        <v>1.9862938325211543</v>
      </c>
      <c r="AI205" s="157">
        <f t="shared" si="75"/>
        <v>2.327262484529061</v>
      </c>
      <c r="AJ205" s="157">
        <f t="shared" si="75"/>
        <v>2.6640994342235396</v>
      </c>
      <c r="AK205" s="157">
        <f t="shared" si="75"/>
        <v>3.0048180609845074</v>
      </c>
      <c r="AL205" s="157">
        <f t="shared" si="75"/>
        <v>3.3543815005924018</v>
      </c>
      <c r="AM205" s="157">
        <f t="shared" si="75"/>
        <v>3.3543815005924018</v>
      </c>
      <c r="AN205" s="157">
        <f t="shared" si="76"/>
        <v>3.3543815005924018</v>
      </c>
      <c r="AO205" s="157">
        <f t="shared" si="76"/>
        <v>3.3543815005924018</v>
      </c>
      <c r="AP205" s="157">
        <f t="shared" si="76"/>
        <v>3.3543815005924018</v>
      </c>
      <c r="AQ205" s="157">
        <f t="shared" si="76"/>
        <v>3.3543815005924018</v>
      </c>
      <c r="AR205" s="157">
        <f t="shared" si="76"/>
        <v>3.3543815005924018</v>
      </c>
      <c r="AS205" s="157">
        <f t="shared" si="76"/>
        <v>3.3543815005924018</v>
      </c>
      <c r="AT205" s="157">
        <f t="shared" si="76"/>
        <v>3.3543815005924018</v>
      </c>
      <c r="AU205" s="157">
        <f t="shared" si="76"/>
        <v>3.3543815005924018</v>
      </c>
      <c r="AV205" s="157">
        <f t="shared" si="76"/>
        <v>3.3543815005924018</v>
      </c>
    </row>
    <row r="206" spans="1:48">
      <c r="A206" s="185" t="s">
        <v>16</v>
      </c>
      <c r="E206" s="106"/>
      <c r="F206" s="106"/>
      <c r="I206" s="155"/>
      <c r="J206" s="157"/>
      <c r="K206" s="157"/>
      <c r="L206" s="157"/>
      <c r="M206" s="157"/>
      <c r="N206" s="157"/>
      <c r="O206" s="157"/>
      <c r="P206" s="157"/>
      <c r="Q206" s="157"/>
      <c r="R206" s="157"/>
      <c r="S206" s="157"/>
      <c r="T206" s="157"/>
      <c r="U206" s="157"/>
      <c r="V206" s="157"/>
      <c r="W206" s="157"/>
      <c r="X206" s="157"/>
      <c r="Y206" s="157"/>
      <c r="Z206" s="157"/>
      <c r="AA206" s="157"/>
      <c r="AB206" s="157"/>
      <c r="AC206" s="157"/>
      <c r="AD206" s="157"/>
      <c r="AE206" s="157"/>
      <c r="AF206" s="157"/>
      <c r="AG206" s="157"/>
      <c r="AH206" s="157"/>
      <c r="AI206" s="157"/>
      <c r="AJ206" s="157"/>
      <c r="AK206" s="157"/>
      <c r="AL206" s="157"/>
      <c r="AM206" s="157"/>
      <c r="AN206" s="157"/>
      <c r="AO206" s="157"/>
      <c r="AP206" s="157"/>
      <c r="AQ206" s="157"/>
      <c r="AR206" s="157"/>
      <c r="AS206" s="157"/>
      <c r="AT206" s="157"/>
      <c r="AU206" s="157"/>
      <c r="AV206" s="157"/>
    </row>
    <row r="207" spans="1:48">
      <c r="A207" s="185" t="s">
        <v>16</v>
      </c>
      <c r="E207" s="106"/>
      <c r="F207" s="106"/>
      <c r="I207" s="155" t="s">
        <v>232</v>
      </c>
      <c r="J207" s="157"/>
      <c r="K207" s="157"/>
      <c r="L207" s="157"/>
      <c r="M207" s="157"/>
      <c r="N207" s="157"/>
      <c r="O207" s="157"/>
      <c r="P207" s="157"/>
      <c r="Q207" s="157"/>
      <c r="R207" s="157"/>
      <c r="S207" s="157"/>
      <c r="T207" s="157"/>
      <c r="U207" s="157"/>
      <c r="V207" s="157"/>
      <c r="W207" s="157"/>
      <c r="X207" s="157"/>
      <c r="Y207" s="157"/>
      <c r="Z207" s="157"/>
      <c r="AA207" s="157"/>
      <c r="AB207" s="157"/>
      <c r="AC207" s="157"/>
      <c r="AD207" s="157"/>
      <c r="AE207" s="157"/>
      <c r="AF207" s="157"/>
      <c r="AG207" s="157"/>
      <c r="AH207" s="157"/>
      <c r="AI207" s="157"/>
      <c r="AJ207" s="157"/>
      <c r="AK207" s="157"/>
      <c r="AL207" s="157"/>
      <c r="AM207" s="157"/>
      <c r="AN207" s="157"/>
      <c r="AO207" s="157"/>
      <c r="AP207" s="157"/>
      <c r="AQ207" s="157"/>
      <c r="AR207" s="157"/>
      <c r="AS207" s="157"/>
      <c r="AT207" s="157"/>
      <c r="AU207" s="157"/>
      <c r="AV207" s="157"/>
    </row>
    <row r="208" spans="1:48">
      <c r="A208" s="185" t="s">
        <v>16</v>
      </c>
      <c r="B208" s="87" t="str">
        <f t="shared" ref="B208:C216" si="77">B197</f>
        <v>CNC</v>
      </c>
      <c r="C208" s="87" t="str">
        <f t="shared" si="77"/>
        <v>Commercial - Cooling</v>
      </c>
      <c r="E208" s="89"/>
      <c r="F208" s="106"/>
      <c r="I208" s="155"/>
      <c r="J208" s="157">
        <f t="shared" ref="J208:Y216" si="78">INDEX(J$49:J$52,MATCH($I$207,$B$49:$B$52,0),1)*INDEX(J$81:J$89,MATCH($B208,$B$81:$B$89,0))*INDEX(J$138:J$146,MATCH($B208,$B$138:$B$146,0))/1000</f>
        <v>0</v>
      </c>
      <c r="K208" s="157">
        <f t="shared" si="78"/>
        <v>0</v>
      </c>
      <c r="L208" s="157">
        <f t="shared" si="78"/>
        <v>0</v>
      </c>
      <c r="M208" s="157">
        <f t="shared" si="78"/>
        <v>0</v>
      </c>
      <c r="N208" s="157">
        <f t="shared" si="78"/>
        <v>0</v>
      </c>
      <c r="O208" s="157">
        <f t="shared" si="78"/>
        <v>0</v>
      </c>
      <c r="P208" s="157">
        <f t="shared" si="78"/>
        <v>0</v>
      </c>
      <c r="Q208" s="157">
        <f t="shared" si="78"/>
        <v>0</v>
      </c>
      <c r="R208" s="157">
        <f t="shared" si="78"/>
        <v>0</v>
      </c>
      <c r="S208" s="157">
        <f t="shared" si="78"/>
        <v>0</v>
      </c>
      <c r="T208" s="157">
        <f t="shared" si="78"/>
        <v>0</v>
      </c>
      <c r="U208" s="157">
        <f t="shared" si="78"/>
        <v>0</v>
      </c>
      <c r="V208" s="157">
        <f t="shared" si="78"/>
        <v>0</v>
      </c>
      <c r="W208" s="157">
        <f t="shared" si="78"/>
        <v>0</v>
      </c>
      <c r="X208" s="157">
        <f t="shared" si="78"/>
        <v>0</v>
      </c>
      <c r="Y208" s="157">
        <f t="shared" si="78"/>
        <v>0</v>
      </c>
      <c r="Z208" s="157">
        <f t="shared" ref="Z208:AO216" si="79">INDEX(Z$49:Z$52,MATCH($I$207,$B$49:$B$52,0),1)*INDEX(Z$81:Z$89,MATCH($B208,$B$81:$B$89,0))*INDEX(Z$138:Z$146,MATCH($B208,$B$138:$B$146,0))/1000</f>
        <v>0</v>
      </c>
      <c r="AA208" s="157">
        <f t="shared" si="79"/>
        <v>0</v>
      </c>
      <c r="AB208" s="157">
        <f t="shared" si="79"/>
        <v>0</v>
      </c>
      <c r="AC208" s="157">
        <f t="shared" si="79"/>
        <v>0</v>
      </c>
      <c r="AD208" s="157">
        <f t="shared" si="79"/>
        <v>0</v>
      </c>
      <c r="AE208" s="157">
        <f t="shared" si="79"/>
        <v>0</v>
      </c>
      <c r="AF208" s="157">
        <f t="shared" si="79"/>
        <v>0</v>
      </c>
      <c r="AG208" s="157">
        <f t="shared" si="79"/>
        <v>0</v>
      </c>
      <c r="AH208" s="157">
        <f t="shared" si="79"/>
        <v>0</v>
      </c>
      <c r="AI208" s="157">
        <f t="shared" si="79"/>
        <v>0</v>
      </c>
      <c r="AJ208" s="157">
        <f t="shared" si="79"/>
        <v>0</v>
      </c>
      <c r="AK208" s="157">
        <f t="shared" si="79"/>
        <v>0</v>
      </c>
      <c r="AL208" s="157">
        <f t="shared" si="79"/>
        <v>0</v>
      </c>
      <c r="AM208" s="157">
        <f t="shared" si="79"/>
        <v>2.6084327997214372</v>
      </c>
      <c r="AN208" s="157">
        <f t="shared" si="79"/>
        <v>5.1883625585150606</v>
      </c>
      <c r="AO208" s="157">
        <f t="shared" si="79"/>
        <v>7.7411052831271752</v>
      </c>
      <c r="AP208" s="157">
        <f t="shared" ref="AN208:AV216" si="80">INDEX(AP$49:AP$52,MATCH($I$207,$B$49:$B$52,0),1)*INDEX(AP$81:AP$89,MATCH($B208,$B$81:$B$89,0))*INDEX(AP$138:AP$146,MATCH($B208,$B$138:$B$146,0))/1000</f>
        <v>10.267880064565896</v>
      </c>
      <c r="AQ208" s="157">
        <f t="shared" si="80"/>
        <v>12.769818728830016</v>
      </c>
      <c r="AR208" s="157">
        <f t="shared" si="80"/>
        <v>15.456391305534884</v>
      </c>
      <c r="AS208" s="157">
        <f t="shared" si="80"/>
        <v>18.1136984777179</v>
      </c>
      <c r="AT208" s="157">
        <f t="shared" si="80"/>
        <v>20.743066498074462</v>
      </c>
      <c r="AU208" s="157">
        <f t="shared" si="80"/>
        <v>23.345725701686</v>
      </c>
      <c r="AV208" s="157">
        <f t="shared" si="80"/>
        <v>26.01850276599351</v>
      </c>
    </row>
    <row r="209" spans="1:48">
      <c r="A209" s="185" t="s">
        <v>16</v>
      </c>
      <c r="B209" s="87" t="str">
        <f t="shared" si="77"/>
        <v>CNH</v>
      </c>
      <c r="C209" s="87" t="str">
        <f t="shared" si="77"/>
        <v>Commercial - Space Heating</v>
      </c>
      <c r="E209" s="106"/>
      <c r="F209" s="106"/>
      <c r="I209" s="155"/>
      <c r="J209" s="157">
        <f t="shared" si="78"/>
        <v>0</v>
      </c>
      <c r="K209" s="157">
        <f t="shared" si="78"/>
        <v>0</v>
      </c>
      <c r="L209" s="157">
        <f t="shared" si="78"/>
        <v>0</v>
      </c>
      <c r="M209" s="157">
        <f t="shared" si="78"/>
        <v>0</v>
      </c>
      <c r="N209" s="157">
        <f t="shared" si="78"/>
        <v>0</v>
      </c>
      <c r="O209" s="157">
        <f t="shared" si="78"/>
        <v>0</v>
      </c>
      <c r="P209" s="157">
        <f t="shared" si="78"/>
        <v>0</v>
      </c>
      <c r="Q209" s="157">
        <f t="shared" si="78"/>
        <v>0</v>
      </c>
      <c r="R209" s="157">
        <f t="shared" si="78"/>
        <v>0</v>
      </c>
      <c r="S209" s="157">
        <f t="shared" si="78"/>
        <v>0</v>
      </c>
      <c r="T209" s="157">
        <f t="shared" si="78"/>
        <v>0</v>
      </c>
      <c r="U209" s="157">
        <f t="shared" si="78"/>
        <v>0</v>
      </c>
      <c r="V209" s="157">
        <f t="shared" si="78"/>
        <v>0</v>
      </c>
      <c r="W209" s="157">
        <f t="shared" si="78"/>
        <v>0</v>
      </c>
      <c r="X209" s="157">
        <f t="shared" si="78"/>
        <v>0</v>
      </c>
      <c r="Y209" s="157">
        <f t="shared" si="78"/>
        <v>0</v>
      </c>
      <c r="Z209" s="157">
        <f t="shared" si="79"/>
        <v>0</v>
      </c>
      <c r="AA209" s="157">
        <f t="shared" si="79"/>
        <v>0</v>
      </c>
      <c r="AB209" s="157">
        <f t="shared" si="79"/>
        <v>0</v>
      </c>
      <c r="AC209" s="157">
        <f t="shared" si="79"/>
        <v>0</v>
      </c>
      <c r="AD209" s="157">
        <f t="shared" si="79"/>
        <v>0</v>
      </c>
      <c r="AE209" s="157">
        <f t="shared" si="79"/>
        <v>0</v>
      </c>
      <c r="AF209" s="157">
        <f t="shared" si="79"/>
        <v>0</v>
      </c>
      <c r="AG209" s="157">
        <f t="shared" si="79"/>
        <v>0</v>
      </c>
      <c r="AH209" s="157">
        <f t="shared" si="79"/>
        <v>0</v>
      </c>
      <c r="AI209" s="157">
        <f t="shared" si="79"/>
        <v>0</v>
      </c>
      <c r="AJ209" s="157">
        <f t="shared" si="79"/>
        <v>0</v>
      </c>
      <c r="AK209" s="157">
        <f t="shared" si="79"/>
        <v>0</v>
      </c>
      <c r="AL209" s="157">
        <f t="shared" si="79"/>
        <v>0</v>
      </c>
      <c r="AM209" s="157">
        <f t="shared" si="79"/>
        <v>0.24875668451126662</v>
      </c>
      <c r="AN209" s="157">
        <f t="shared" si="80"/>
        <v>0.49479513838210853</v>
      </c>
      <c r="AO209" s="157">
        <f t="shared" si="80"/>
        <v>0.73824086435694747</v>
      </c>
      <c r="AP209" s="157">
        <f t="shared" si="80"/>
        <v>0.97921012268114171</v>
      </c>
      <c r="AQ209" s="157">
        <f t="shared" si="80"/>
        <v>1.2178108514556594</v>
      </c>
      <c r="AR209" s="157">
        <f t="shared" si="80"/>
        <v>1.4740194403644336</v>
      </c>
      <c r="AS209" s="157">
        <f t="shared" si="80"/>
        <v>1.7274370948084543</v>
      </c>
      <c r="AT209" s="157">
        <f t="shared" si="80"/>
        <v>1.9781902946507892</v>
      </c>
      <c r="AU209" s="157">
        <f t="shared" si="80"/>
        <v>2.2263963724428955</v>
      </c>
      <c r="AV209" s="157">
        <f t="shared" si="80"/>
        <v>2.4812893338509476</v>
      </c>
    </row>
    <row r="210" spans="1:48">
      <c r="A210" s="185" t="s">
        <v>16</v>
      </c>
      <c r="B210" s="87" t="str">
        <f t="shared" si="77"/>
        <v>CNK</v>
      </c>
      <c r="C210" s="87" t="str">
        <f t="shared" si="77"/>
        <v>Commercial - Cooking</v>
      </c>
      <c r="E210" s="106"/>
      <c r="F210" s="106"/>
      <c r="I210" s="155"/>
      <c r="J210" s="157">
        <f t="shared" si="78"/>
        <v>0</v>
      </c>
      <c r="K210" s="157">
        <f t="shared" si="78"/>
        <v>0</v>
      </c>
      <c r="L210" s="157">
        <f t="shared" si="78"/>
        <v>0</v>
      </c>
      <c r="M210" s="157">
        <f t="shared" si="78"/>
        <v>0</v>
      </c>
      <c r="N210" s="157">
        <f t="shared" si="78"/>
        <v>0</v>
      </c>
      <c r="O210" s="157">
        <f t="shared" si="78"/>
        <v>0</v>
      </c>
      <c r="P210" s="157">
        <f t="shared" si="78"/>
        <v>0</v>
      </c>
      <c r="Q210" s="157">
        <f t="shared" si="78"/>
        <v>0</v>
      </c>
      <c r="R210" s="157">
        <f t="shared" si="78"/>
        <v>0</v>
      </c>
      <c r="S210" s="157">
        <f t="shared" si="78"/>
        <v>0</v>
      </c>
      <c r="T210" s="157">
        <f t="shared" si="78"/>
        <v>0</v>
      </c>
      <c r="U210" s="157">
        <f t="shared" si="78"/>
        <v>0</v>
      </c>
      <c r="V210" s="157">
        <f t="shared" si="78"/>
        <v>0</v>
      </c>
      <c r="W210" s="157">
        <f t="shared" si="78"/>
        <v>0</v>
      </c>
      <c r="X210" s="157">
        <f t="shared" si="78"/>
        <v>0</v>
      </c>
      <c r="Y210" s="157">
        <f t="shared" si="78"/>
        <v>0</v>
      </c>
      <c r="Z210" s="157">
        <f t="shared" si="79"/>
        <v>0</v>
      </c>
      <c r="AA210" s="157">
        <f t="shared" si="79"/>
        <v>0</v>
      </c>
      <c r="AB210" s="157">
        <f t="shared" si="79"/>
        <v>0</v>
      </c>
      <c r="AC210" s="157">
        <f t="shared" si="79"/>
        <v>0</v>
      </c>
      <c r="AD210" s="157">
        <f t="shared" si="79"/>
        <v>0</v>
      </c>
      <c r="AE210" s="157">
        <f t="shared" si="79"/>
        <v>0</v>
      </c>
      <c r="AF210" s="157">
        <f t="shared" si="79"/>
        <v>0</v>
      </c>
      <c r="AG210" s="157">
        <f t="shared" si="79"/>
        <v>0</v>
      </c>
      <c r="AH210" s="157">
        <f t="shared" si="79"/>
        <v>0</v>
      </c>
      <c r="AI210" s="157">
        <f t="shared" si="79"/>
        <v>0</v>
      </c>
      <c r="AJ210" s="157">
        <f t="shared" si="79"/>
        <v>0</v>
      </c>
      <c r="AK210" s="157">
        <f t="shared" si="79"/>
        <v>0</v>
      </c>
      <c r="AL210" s="157">
        <f t="shared" si="79"/>
        <v>0</v>
      </c>
      <c r="AM210" s="157">
        <f t="shared" si="79"/>
        <v>0.17896849396698605</v>
      </c>
      <c r="AN210" s="157">
        <f t="shared" si="80"/>
        <v>0.35598135146563953</v>
      </c>
      <c r="AO210" s="157">
        <f t="shared" si="80"/>
        <v>0.53112886569633033</v>
      </c>
      <c r="AP210" s="157">
        <f t="shared" si="80"/>
        <v>0.70449468032499951</v>
      </c>
      <c r="AQ210" s="157">
        <f t="shared" si="80"/>
        <v>0.87615645163417089</v>
      </c>
      <c r="AR210" s="157">
        <f t="shared" si="80"/>
        <v>1.060486233117222</v>
      </c>
      <c r="AS210" s="157">
        <f t="shared" si="80"/>
        <v>1.2428080712201826</v>
      </c>
      <c r="AT210" s="157">
        <f t="shared" si="80"/>
        <v>1.4232129621333869</v>
      </c>
      <c r="AU210" s="157">
        <f t="shared" si="80"/>
        <v>1.6017853209955417</v>
      </c>
      <c r="AV210" s="157">
        <f t="shared" si="80"/>
        <v>1.7851685716430958</v>
      </c>
    </row>
    <row r="211" spans="1:48">
      <c r="A211" s="185" t="s">
        <v>16</v>
      </c>
      <c r="B211" s="87" t="str">
        <f t="shared" si="77"/>
        <v>CNL</v>
      </c>
      <c r="C211" s="87" t="str">
        <f t="shared" si="77"/>
        <v>Commercial - Lighting</v>
      </c>
      <c r="E211" s="106"/>
      <c r="F211" s="106"/>
      <c r="I211" s="155"/>
      <c r="J211" s="157">
        <f t="shared" si="78"/>
        <v>0</v>
      </c>
      <c r="K211" s="157">
        <f t="shared" si="78"/>
        <v>0</v>
      </c>
      <c r="L211" s="157">
        <f t="shared" si="78"/>
        <v>0</v>
      </c>
      <c r="M211" s="157">
        <f t="shared" si="78"/>
        <v>0</v>
      </c>
      <c r="N211" s="157">
        <f t="shared" si="78"/>
        <v>0</v>
      </c>
      <c r="O211" s="157">
        <f t="shared" si="78"/>
        <v>0</v>
      </c>
      <c r="P211" s="157">
        <f t="shared" si="78"/>
        <v>0</v>
      </c>
      <c r="Q211" s="157">
        <f t="shared" si="78"/>
        <v>0</v>
      </c>
      <c r="R211" s="157">
        <f t="shared" si="78"/>
        <v>0</v>
      </c>
      <c r="S211" s="157">
        <f t="shared" si="78"/>
        <v>0</v>
      </c>
      <c r="T211" s="157">
        <f t="shared" si="78"/>
        <v>0</v>
      </c>
      <c r="U211" s="157">
        <f t="shared" si="78"/>
        <v>0</v>
      </c>
      <c r="V211" s="157">
        <f t="shared" si="78"/>
        <v>0</v>
      </c>
      <c r="W211" s="157">
        <f t="shared" si="78"/>
        <v>0</v>
      </c>
      <c r="X211" s="157">
        <f t="shared" si="78"/>
        <v>0</v>
      </c>
      <c r="Y211" s="157">
        <f t="shared" si="78"/>
        <v>0</v>
      </c>
      <c r="Z211" s="157">
        <f t="shared" si="79"/>
        <v>0</v>
      </c>
      <c r="AA211" s="157">
        <f t="shared" si="79"/>
        <v>0</v>
      </c>
      <c r="AB211" s="157">
        <f t="shared" si="79"/>
        <v>0</v>
      </c>
      <c r="AC211" s="157">
        <f t="shared" si="79"/>
        <v>0</v>
      </c>
      <c r="AD211" s="157">
        <f t="shared" si="79"/>
        <v>0</v>
      </c>
      <c r="AE211" s="157">
        <f t="shared" si="79"/>
        <v>0</v>
      </c>
      <c r="AF211" s="157">
        <f t="shared" si="79"/>
        <v>0</v>
      </c>
      <c r="AG211" s="157">
        <f t="shared" si="79"/>
        <v>0</v>
      </c>
      <c r="AH211" s="157">
        <f t="shared" si="79"/>
        <v>0</v>
      </c>
      <c r="AI211" s="157">
        <f t="shared" si="79"/>
        <v>0</v>
      </c>
      <c r="AJ211" s="157">
        <f t="shared" si="79"/>
        <v>0</v>
      </c>
      <c r="AK211" s="157">
        <f t="shared" si="79"/>
        <v>0</v>
      </c>
      <c r="AL211" s="157">
        <f t="shared" si="79"/>
        <v>0</v>
      </c>
      <c r="AM211" s="157">
        <f t="shared" si="79"/>
        <v>2.2699388286649853</v>
      </c>
      <c r="AN211" s="157">
        <f t="shared" si="80"/>
        <v>4.5150734303075293</v>
      </c>
      <c r="AO211" s="157">
        <f t="shared" si="80"/>
        <v>6.7365490346657904</v>
      </c>
      <c r="AP211" s="157">
        <f t="shared" si="80"/>
        <v>8.9354265324076358</v>
      </c>
      <c r="AQ211" s="157">
        <f t="shared" si="80"/>
        <v>11.112690873493149</v>
      </c>
      <c r="AR211" s="157">
        <f t="shared" si="80"/>
        <v>13.45062935078119</v>
      </c>
      <c r="AS211" s="157">
        <f t="shared" si="80"/>
        <v>15.763100168688535</v>
      </c>
      <c r="AT211" s="157">
        <f t="shared" si="80"/>
        <v>18.051257473294868</v>
      </c>
      <c r="AU211" s="157">
        <f t="shared" si="80"/>
        <v>20.316171940208118</v>
      </c>
      <c r="AV211" s="157">
        <f t="shared" si="80"/>
        <v>22.642105136296113</v>
      </c>
    </row>
    <row r="212" spans="1:48">
      <c r="A212" s="185" t="s">
        <v>16</v>
      </c>
      <c r="B212" s="87" t="str">
        <f t="shared" si="77"/>
        <v>CNR</v>
      </c>
      <c r="C212" s="87" t="str">
        <f t="shared" si="77"/>
        <v>Commercial - Refrigeration</v>
      </c>
      <c r="E212" s="106"/>
      <c r="F212" s="106"/>
      <c r="I212" s="155"/>
      <c r="J212" s="157">
        <f t="shared" si="78"/>
        <v>0</v>
      </c>
      <c r="K212" s="157">
        <f t="shared" si="78"/>
        <v>0</v>
      </c>
      <c r="L212" s="157">
        <f t="shared" si="78"/>
        <v>0</v>
      </c>
      <c r="M212" s="157">
        <f t="shared" si="78"/>
        <v>0</v>
      </c>
      <c r="N212" s="157">
        <f t="shared" si="78"/>
        <v>0</v>
      </c>
      <c r="O212" s="157">
        <f t="shared" si="78"/>
        <v>0</v>
      </c>
      <c r="P212" s="157">
        <f t="shared" si="78"/>
        <v>0</v>
      </c>
      <c r="Q212" s="157">
        <f t="shared" si="78"/>
        <v>0</v>
      </c>
      <c r="R212" s="157">
        <f t="shared" si="78"/>
        <v>0</v>
      </c>
      <c r="S212" s="157">
        <f t="shared" si="78"/>
        <v>0</v>
      </c>
      <c r="T212" s="157">
        <f t="shared" si="78"/>
        <v>0</v>
      </c>
      <c r="U212" s="157">
        <f t="shared" si="78"/>
        <v>0</v>
      </c>
      <c r="V212" s="157">
        <f t="shared" si="78"/>
        <v>0</v>
      </c>
      <c r="W212" s="157">
        <f t="shared" si="78"/>
        <v>0</v>
      </c>
      <c r="X212" s="157">
        <f t="shared" si="78"/>
        <v>0</v>
      </c>
      <c r="Y212" s="157">
        <f t="shared" si="78"/>
        <v>0</v>
      </c>
      <c r="Z212" s="157">
        <f t="shared" si="79"/>
        <v>0</v>
      </c>
      <c r="AA212" s="157">
        <f t="shared" si="79"/>
        <v>0</v>
      </c>
      <c r="AB212" s="157">
        <f t="shared" si="79"/>
        <v>0</v>
      </c>
      <c r="AC212" s="157">
        <f t="shared" si="79"/>
        <v>0</v>
      </c>
      <c r="AD212" s="157">
        <f t="shared" si="79"/>
        <v>0</v>
      </c>
      <c r="AE212" s="157">
        <f t="shared" si="79"/>
        <v>0</v>
      </c>
      <c r="AF212" s="157">
        <f t="shared" si="79"/>
        <v>0</v>
      </c>
      <c r="AG212" s="157">
        <f t="shared" si="79"/>
        <v>0</v>
      </c>
      <c r="AH212" s="157">
        <f t="shared" si="79"/>
        <v>0</v>
      </c>
      <c r="AI212" s="157">
        <f t="shared" si="79"/>
        <v>0</v>
      </c>
      <c r="AJ212" s="157">
        <f t="shared" si="79"/>
        <v>0</v>
      </c>
      <c r="AK212" s="157">
        <f t="shared" si="79"/>
        <v>0</v>
      </c>
      <c r="AL212" s="157">
        <f t="shared" si="79"/>
        <v>0</v>
      </c>
      <c r="AM212" s="157">
        <f t="shared" si="79"/>
        <v>0.55219472920805346</v>
      </c>
      <c r="AN212" s="157">
        <f t="shared" si="80"/>
        <v>1.0983554793278127</v>
      </c>
      <c r="AO212" s="157">
        <f t="shared" si="80"/>
        <v>1.6387608436927881</v>
      </c>
      <c r="AP212" s="157">
        <f t="shared" si="80"/>
        <v>2.1736688989646344</v>
      </c>
      <c r="AQ212" s="157">
        <f t="shared" si="80"/>
        <v>2.7033192481536288</v>
      </c>
      <c r="AR212" s="157">
        <f t="shared" si="80"/>
        <v>3.2720558537697504</v>
      </c>
      <c r="AS212" s="157">
        <f t="shared" si="80"/>
        <v>3.8345970909919327</v>
      </c>
      <c r="AT212" s="157">
        <f t="shared" si="80"/>
        <v>4.3912237221798867</v>
      </c>
      <c r="AU212" s="157">
        <f t="shared" si="80"/>
        <v>4.9421962043203518</v>
      </c>
      <c r="AV212" s="157">
        <f t="shared" si="80"/>
        <v>5.5080123554653602</v>
      </c>
    </row>
    <row r="213" spans="1:48">
      <c r="A213" s="185" t="s">
        <v>16</v>
      </c>
      <c r="B213" s="87" t="str">
        <f t="shared" si="77"/>
        <v>CNW</v>
      </c>
      <c r="C213" s="87" t="str">
        <f t="shared" si="77"/>
        <v>Commercial - Water Heating</v>
      </c>
      <c r="E213" s="106"/>
      <c r="F213" s="106"/>
      <c r="I213" s="151"/>
      <c r="J213" s="157">
        <f t="shared" si="78"/>
        <v>0</v>
      </c>
      <c r="K213" s="157">
        <f t="shared" si="78"/>
        <v>0</v>
      </c>
      <c r="L213" s="157">
        <f t="shared" si="78"/>
        <v>0</v>
      </c>
      <c r="M213" s="157">
        <f t="shared" si="78"/>
        <v>0</v>
      </c>
      <c r="N213" s="157">
        <f t="shared" si="78"/>
        <v>0</v>
      </c>
      <c r="O213" s="157">
        <f t="shared" si="78"/>
        <v>0</v>
      </c>
      <c r="P213" s="157">
        <f t="shared" si="78"/>
        <v>0</v>
      </c>
      <c r="Q213" s="157">
        <f t="shared" si="78"/>
        <v>0</v>
      </c>
      <c r="R213" s="157">
        <f t="shared" si="78"/>
        <v>0</v>
      </c>
      <c r="S213" s="157">
        <f t="shared" si="78"/>
        <v>0</v>
      </c>
      <c r="T213" s="157">
        <f t="shared" si="78"/>
        <v>0</v>
      </c>
      <c r="U213" s="157">
        <f t="shared" si="78"/>
        <v>0</v>
      </c>
      <c r="V213" s="157">
        <f t="shared" si="78"/>
        <v>0</v>
      </c>
      <c r="W213" s="157">
        <f t="shared" si="78"/>
        <v>0</v>
      </c>
      <c r="X213" s="157">
        <f t="shared" si="78"/>
        <v>0</v>
      </c>
      <c r="Y213" s="157">
        <f t="shared" si="78"/>
        <v>0</v>
      </c>
      <c r="Z213" s="157">
        <f t="shared" si="79"/>
        <v>0</v>
      </c>
      <c r="AA213" s="157">
        <f t="shared" si="79"/>
        <v>0</v>
      </c>
      <c r="AB213" s="157">
        <f t="shared" si="79"/>
        <v>0</v>
      </c>
      <c r="AC213" s="157">
        <f t="shared" si="79"/>
        <v>0</v>
      </c>
      <c r="AD213" s="157">
        <f t="shared" si="79"/>
        <v>0</v>
      </c>
      <c r="AE213" s="157">
        <f t="shared" si="79"/>
        <v>0</v>
      </c>
      <c r="AF213" s="157">
        <f t="shared" si="79"/>
        <v>0</v>
      </c>
      <c r="AG213" s="157">
        <f t="shared" si="79"/>
        <v>0</v>
      </c>
      <c r="AH213" s="157">
        <f t="shared" si="79"/>
        <v>0</v>
      </c>
      <c r="AI213" s="157">
        <f t="shared" si="79"/>
        <v>0</v>
      </c>
      <c r="AJ213" s="157">
        <f t="shared" si="79"/>
        <v>0</v>
      </c>
      <c r="AK213" s="157">
        <f t="shared" si="79"/>
        <v>0</v>
      </c>
      <c r="AL213" s="157">
        <f t="shared" si="79"/>
        <v>0</v>
      </c>
      <c r="AM213" s="157">
        <f t="shared" si="79"/>
        <v>0.20925866193260201</v>
      </c>
      <c r="AN213" s="157">
        <f t="shared" si="80"/>
        <v>0.41623069865247037</v>
      </c>
      <c r="AO213" s="157">
        <f t="shared" si="80"/>
        <v>0.62102168535819013</v>
      </c>
      <c r="AP213" s="157">
        <f t="shared" si="80"/>
        <v>0.82372942228949064</v>
      </c>
      <c r="AQ213" s="157">
        <f t="shared" si="80"/>
        <v>1.0244447089463919</v>
      </c>
      <c r="AR213" s="157">
        <f t="shared" si="80"/>
        <v>1.2399720488288384</v>
      </c>
      <c r="AS213" s="157">
        <f t="shared" si="80"/>
        <v>1.4531516037149399</v>
      </c>
      <c r="AT213" s="157">
        <f t="shared" si="80"/>
        <v>1.6640897707733167</v>
      </c>
      <c r="AU213" s="157">
        <f t="shared" si="80"/>
        <v>1.8728852522871531</v>
      </c>
      <c r="AV213" s="157">
        <f t="shared" si="80"/>
        <v>2.087305862310485</v>
      </c>
    </row>
    <row r="214" spans="1:48">
      <c r="A214" s="185" t="s">
        <v>16</v>
      </c>
      <c r="B214" s="87" t="str">
        <f t="shared" si="77"/>
        <v>CNG</v>
      </c>
      <c r="C214" s="87" t="str">
        <f t="shared" si="77"/>
        <v>Commercial - Public lights</v>
      </c>
      <c r="E214" s="106"/>
      <c r="F214" s="106"/>
      <c r="I214" s="151"/>
      <c r="J214" s="157">
        <f t="shared" si="78"/>
        <v>0</v>
      </c>
      <c r="K214" s="157">
        <f t="shared" si="78"/>
        <v>0</v>
      </c>
      <c r="L214" s="157">
        <f t="shared" si="78"/>
        <v>0</v>
      </c>
      <c r="M214" s="157">
        <f t="shared" si="78"/>
        <v>0</v>
      </c>
      <c r="N214" s="157">
        <f t="shared" si="78"/>
        <v>0</v>
      </c>
      <c r="O214" s="157">
        <f t="shared" si="78"/>
        <v>0</v>
      </c>
      <c r="P214" s="157">
        <f t="shared" si="78"/>
        <v>0</v>
      </c>
      <c r="Q214" s="157">
        <f t="shared" si="78"/>
        <v>0</v>
      </c>
      <c r="R214" s="157">
        <f t="shared" si="78"/>
        <v>0</v>
      </c>
      <c r="S214" s="157">
        <f t="shared" si="78"/>
        <v>0</v>
      </c>
      <c r="T214" s="157">
        <f t="shared" si="78"/>
        <v>0</v>
      </c>
      <c r="U214" s="157">
        <f t="shared" si="78"/>
        <v>0</v>
      </c>
      <c r="V214" s="157">
        <f t="shared" si="78"/>
        <v>0</v>
      </c>
      <c r="W214" s="157">
        <f t="shared" si="78"/>
        <v>0</v>
      </c>
      <c r="X214" s="157">
        <f t="shared" si="78"/>
        <v>0</v>
      </c>
      <c r="Y214" s="157">
        <f t="shared" si="78"/>
        <v>0</v>
      </c>
      <c r="Z214" s="157">
        <f t="shared" si="79"/>
        <v>0</v>
      </c>
      <c r="AA214" s="157">
        <f t="shared" si="79"/>
        <v>0</v>
      </c>
      <c r="AB214" s="157">
        <f t="shared" si="79"/>
        <v>0</v>
      </c>
      <c r="AC214" s="157">
        <f t="shared" si="79"/>
        <v>0</v>
      </c>
      <c r="AD214" s="157">
        <f t="shared" si="79"/>
        <v>0</v>
      </c>
      <c r="AE214" s="157">
        <f t="shared" si="79"/>
        <v>0</v>
      </c>
      <c r="AF214" s="157">
        <f t="shared" si="79"/>
        <v>0</v>
      </c>
      <c r="AG214" s="157">
        <f t="shared" si="79"/>
        <v>0</v>
      </c>
      <c r="AH214" s="157">
        <f t="shared" si="79"/>
        <v>0</v>
      </c>
      <c r="AI214" s="157">
        <f t="shared" si="79"/>
        <v>0</v>
      </c>
      <c r="AJ214" s="157">
        <f t="shared" si="79"/>
        <v>0</v>
      </c>
      <c r="AK214" s="157">
        <f t="shared" si="79"/>
        <v>0</v>
      </c>
      <c r="AL214" s="157">
        <f t="shared" si="79"/>
        <v>0</v>
      </c>
      <c r="AM214" s="157">
        <f t="shared" si="79"/>
        <v>0</v>
      </c>
      <c r="AN214" s="157">
        <f t="shared" si="80"/>
        <v>0</v>
      </c>
      <c r="AO214" s="157">
        <f t="shared" si="80"/>
        <v>0</v>
      </c>
      <c r="AP214" s="157">
        <f t="shared" si="80"/>
        <v>0</v>
      </c>
      <c r="AQ214" s="157">
        <f t="shared" si="80"/>
        <v>0</v>
      </c>
      <c r="AR214" s="157">
        <f t="shared" si="80"/>
        <v>0</v>
      </c>
      <c r="AS214" s="157">
        <f t="shared" si="80"/>
        <v>0</v>
      </c>
      <c r="AT214" s="157">
        <f t="shared" si="80"/>
        <v>0</v>
      </c>
      <c r="AU214" s="157">
        <f t="shared" si="80"/>
        <v>0</v>
      </c>
      <c r="AV214" s="157">
        <f t="shared" si="80"/>
        <v>0</v>
      </c>
    </row>
    <row r="215" spans="1:48">
      <c r="A215" s="185" t="s">
        <v>16</v>
      </c>
      <c r="B215" s="87" t="str">
        <f t="shared" si="77"/>
        <v>CNT</v>
      </c>
      <c r="C215" s="87" t="str">
        <f t="shared" si="77"/>
        <v>Commercial - Public Water</v>
      </c>
      <c r="E215" s="106"/>
      <c r="F215" s="106"/>
      <c r="I215" s="151"/>
      <c r="J215" s="157">
        <f t="shared" si="78"/>
        <v>0</v>
      </c>
      <c r="K215" s="157">
        <f t="shared" si="78"/>
        <v>0</v>
      </c>
      <c r="L215" s="157">
        <f t="shared" si="78"/>
        <v>0</v>
      </c>
      <c r="M215" s="157">
        <f t="shared" si="78"/>
        <v>0</v>
      </c>
      <c r="N215" s="157">
        <f t="shared" si="78"/>
        <v>0</v>
      </c>
      <c r="O215" s="157">
        <f t="shared" si="78"/>
        <v>0</v>
      </c>
      <c r="P215" s="157">
        <f t="shared" si="78"/>
        <v>0</v>
      </c>
      <c r="Q215" s="157">
        <f t="shared" si="78"/>
        <v>0</v>
      </c>
      <c r="R215" s="157">
        <f t="shared" si="78"/>
        <v>0</v>
      </c>
      <c r="S215" s="157">
        <f t="shared" si="78"/>
        <v>0</v>
      </c>
      <c r="T215" s="157">
        <f t="shared" si="78"/>
        <v>0</v>
      </c>
      <c r="U215" s="157">
        <f t="shared" si="78"/>
        <v>0</v>
      </c>
      <c r="V215" s="157">
        <f t="shared" si="78"/>
        <v>0</v>
      </c>
      <c r="W215" s="157">
        <f t="shared" si="78"/>
        <v>0</v>
      </c>
      <c r="X215" s="157">
        <f t="shared" si="78"/>
        <v>0</v>
      </c>
      <c r="Y215" s="157">
        <f t="shared" si="78"/>
        <v>0</v>
      </c>
      <c r="Z215" s="157">
        <f t="shared" si="79"/>
        <v>0</v>
      </c>
      <c r="AA215" s="157">
        <f t="shared" si="79"/>
        <v>0</v>
      </c>
      <c r="AB215" s="157">
        <f t="shared" si="79"/>
        <v>0</v>
      </c>
      <c r="AC215" s="157">
        <f t="shared" si="79"/>
        <v>0</v>
      </c>
      <c r="AD215" s="157">
        <f t="shared" si="79"/>
        <v>0</v>
      </c>
      <c r="AE215" s="157">
        <f t="shared" si="79"/>
        <v>0</v>
      </c>
      <c r="AF215" s="157">
        <f t="shared" si="79"/>
        <v>0</v>
      </c>
      <c r="AG215" s="157">
        <f t="shared" si="79"/>
        <v>0</v>
      </c>
      <c r="AH215" s="157">
        <f t="shared" si="79"/>
        <v>0</v>
      </c>
      <c r="AI215" s="157">
        <f t="shared" si="79"/>
        <v>0</v>
      </c>
      <c r="AJ215" s="157">
        <f t="shared" si="79"/>
        <v>0</v>
      </c>
      <c r="AK215" s="157">
        <f t="shared" si="79"/>
        <v>0</v>
      </c>
      <c r="AL215" s="157">
        <f t="shared" si="79"/>
        <v>0</v>
      </c>
      <c r="AM215" s="157">
        <f t="shared" si="79"/>
        <v>0</v>
      </c>
      <c r="AN215" s="157">
        <f t="shared" si="80"/>
        <v>0</v>
      </c>
      <c r="AO215" s="157">
        <f t="shared" si="80"/>
        <v>0</v>
      </c>
      <c r="AP215" s="157">
        <f t="shared" si="80"/>
        <v>0</v>
      </c>
      <c r="AQ215" s="157">
        <f t="shared" si="80"/>
        <v>0</v>
      </c>
      <c r="AR215" s="157">
        <f t="shared" si="80"/>
        <v>0</v>
      </c>
      <c r="AS215" s="157">
        <f t="shared" si="80"/>
        <v>0</v>
      </c>
      <c r="AT215" s="157">
        <f t="shared" si="80"/>
        <v>0</v>
      </c>
      <c r="AU215" s="157">
        <f t="shared" si="80"/>
        <v>0</v>
      </c>
      <c r="AV215" s="157">
        <f t="shared" si="80"/>
        <v>0</v>
      </c>
    </row>
    <row r="216" spans="1:48">
      <c r="A216" s="185" t="s">
        <v>16</v>
      </c>
      <c r="B216" s="87" t="str">
        <f t="shared" si="77"/>
        <v>CNO</v>
      </c>
      <c r="C216" s="87" t="str">
        <f t="shared" si="77"/>
        <v>Commercial - Other</v>
      </c>
      <c r="E216" s="106"/>
      <c r="F216" s="106"/>
      <c r="I216" s="151"/>
      <c r="J216" s="157">
        <f t="shared" si="78"/>
        <v>0</v>
      </c>
      <c r="K216" s="157">
        <f t="shared" si="78"/>
        <v>0</v>
      </c>
      <c r="L216" s="157">
        <f t="shared" si="78"/>
        <v>0</v>
      </c>
      <c r="M216" s="157">
        <f t="shared" si="78"/>
        <v>0</v>
      </c>
      <c r="N216" s="157">
        <f t="shared" si="78"/>
        <v>0</v>
      </c>
      <c r="O216" s="157">
        <f t="shared" si="78"/>
        <v>0</v>
      </c>
      <c r="P216" s="157">
        <f t="shared" si="78"/>
        <v>0</v>
      </c>
      <c r="Q216" s="157">
        <f t="shared" si="78"/>
        <v>0</v>
      </c>
      <c r="R216" s="157">
        <f t="shared" si="78"/>
        <v>0</v>
      </c>
      <c r="S216" s="157">
        <f t="shared" si="78"/>
        <v>0</v>
      </c>
      <c r="T216" s="157">
        <f t="shared" si="78"/>
        <v>0</v>
      </c>
      <c r="U216" s="157">
        <f t="shared" si="78"/>
        <v>0</v>
      </c>
      <c r="V216" s="157">
        <f t="shared" si="78"/>
        <v>0</v>
      </c>
      <c r="W216" s="157">
        <f t="shared" si="78"/>
        <v>0</v>
      </c>
      <c r="X216" s="157">
        <f t="shared" si="78"/>
        <v>0</v>
      </c>
      <c r="Y216" s="157">
        <f t="shared" si="78"/>
        <v>0</v>
      </c>
      <c r="Z216" s="157">
        <f t="shared" si="79"/>
        <v>0</v>
      </c>
      <c r="AA216" s="157">
        <f t="shared" si="79"/>
        <v>0</v>
      </c>
      <c r="AB216" s="157">
        <f t="shared" si="79"/>
        <v>0</v>
      </c>
      <c r="AC216" s="157">
        <f t="shared" si="79"/>
        <v>0</v>
      </c>
      <c r="AD216" s="157">
        <f t="shared" si="79"/>
        <v>0</v>
      </c>
      <c r="AE216" s="157">
        <f t="shared" si="79"/>
        <v>0</v>
      </c>
      <c r="AF216" s="157">
        <f t="shared" si="79"/>
        <v>0</v>
      </c>
      <c r="AG216" s="157">
        <f t="shared" si="79"/>
        <v>0</v>
      </c>
      <c r="AH216" s="157">
        <f t="shared" si="79"/>
        <v>0</v>
      </c>
      <c r="AI216" s="157">
        <f t="shared" si="79"/>
        <v>0</v>
      </c>
      <c r="AJ216" s="157">
        <f t="shared" si="79"/>
        <v>0</v>
      </c>
      <c r="AK216" s="157">
        <f t="shared" si="79"/>
        <v>0</v>
      </c>
      <c r="AL216" s="157">
        <f t="shared" si="79"/>
        <v>0</v>
      </c>
      <c r="AM216" s="157">
        <f t="shared" si="79"/>
        <v>0.3686410738235586</v>
      </c>
      <c r="AN216" s="157">
        <f t="shared" si="80"/>
        <v>0.73325390830892601</v>
      </c>
      <c r="AO216" s="157">
        <f t="shared" si="80"/>
        <v>1.0940244902831999</v>
      </c>
      <c r="AP216" s="157">
        <f t="shared" si="80"/>
        <v>1.4511251097966993</v>
      </c>
      <c r="AQ216" s="157">
        <f t="shared" si="80"/>
        <v>1.804715724028165</v>
      </c>
      <c r="AR216" s="157">
        <f t="shared" si="80"/>
        <v>2.1844000308990084</v>
      </c>
      <c r="AS216" s="157">
        <f t="shared" si="80"/>
        <v>2.5599483561375211</v>
      </c>
      <c r="AT216" s="157">
        <f t="shared" si="80"/>
        <v>2.93154813459648</v>
      </c>
      <c r="AU216" s="157">
        <f t="shared" si="80"/>
        <v>3.2993732454134372</v>
      </c>
      <c r="AV216" s="157">
        <f t="shared" si="80"/>
        <v>3.6771078787083891</v>
      </c>
    </row>
    <row r="217" spans="1:48">
      <c r="A217" s="185" t="s">
        <v>16</v>
      </c>
      <c r="E217" s="106"/>
      <c r="F217" s="106"/>
      <c r="I217" s="151"/>
      <c r="J217" s="157"/>
      <c r="K217" s="157"/>
      <c r="L217" s="157"/>
      <c r="M217" s="157"/>
      <c r="N217" s="157"/>
      <c r="O217" s="157"/>
      <c r="P217" s="157"/>
      <c r="Q217" s="157"/>
      <c r="R217" s="157"/>
      <c r="S217" s="157"/>
      <c r="T217" s="157"/>
      <c r="U217" s="157"/>
      <c r="V217" s="157"/>
      <c r="W217" s="157"/>
      <c r="X217" s="157"/>
      <c r="Y217" s="157"/>
      <c r="Z217" s="157"/>
      <c r="AA217" s="157"/>
      <c r="AB217" s="157"/>
      <c r="AC217" s="157"/>
      <c r="AD217" s="157"/>
      <c r="AE217" s="157"/>
      <c r="AF217" s="157"/>
      <c r="AG217" s="157"/>
      <c r="AH217" s="157"/>
      <c r="AI217" s="157"/>
      <c r="AJ217" s="157"/>
      <c r="AK217" s="157"/>
      <c r="AL217" s="157"/>
      <c r="AM217" s="157"/>
      <c r="AN217" s="157"/>
      <c r="AO217" s="157"/>
      <c r="AP217" s="157"/>
      <c r="AQ217" s="157"/>
      <c r="AR217" s="157"/>
      <c r="AS217" s="157"/>
      <c r="AT217" s="157"/>
      <c r="AU217" s="157"/>
      <c r="AV217" s="157"/>
    </row>
    <row r="218" spans="1:48" ht="15.75" thickBot="1">
      <c r="A218" s="185" t="s">
        <v>16</v>
      </c>
      <c r="B218" s="85" t="s">
        <v>482</v>
      </c>
      <c r="C218" s="85"/>
      <c r="D218" s="85"/>
      <c r="E218" s="85"/>
      <c r="F218" s="85"/>
      <c r="G218" s="85"/>
      <c r="H218" s="85"/>
      <c r="I218" s="152"/>
      <c r="J218" s="85"/>
      <c r="K218" s="85"/>
      <c r="L218" s="85"/>
      <c r="M218" s="85"/>
      <c r="N218" s="85"/>
      <c r="O218" s="85"/>
      <c r="P218" s="85"/>
      <c r="Q218" s="85"/>
      <c r="R218" s="85"/>
      <c r="S218" s="85"/>
      <c r="T218" s="85"/>
      <c r="U218" s="85"/>
      <c r="V218" s="85"/>
      <c r="W218" s="85"/>
      <c r="X218" s="85"/>
      <c r="Y218" s="85"/>
      <c r="Z218" s="85"/>
      <c r="AA218" s="85"/>
      <c r="AB218" s="85"/>
      <c r="AC218" s="85"/>
      <c r="AD218" s="85"/>
      <c r="AE218" s="85"/>
      <c r="AF218" s="85"/>
      <c r="AG218" s="85"/>
      <c r="AH218" s="85"/>
      <c r="AI218" s="85"/>
      <c r="AJ218" s="85"/>
      <c r="AK218" s="85"/>
      <c r="AL218" s="85"/>
      <c r="AM218" s="85"/>
      <c r="AN218" s="85"/>
      <c r="AO218" s="85"/>
      <c r="AP218" s="85"/>
      <c r="AQ218" s="85"/>
      <c r="AR218" s="85"/>
      <c r="AS218" s="85"/>
      <c r="AT218" s="85"/>
      <c r="AU218" s="85"/>
      <c r="AV218" s="85"/>
    </row>
    <row r="219" spans="1:48">
      <c r="A219" s="185" t="s">
        <v>16</v>
      </c>
      <c r="E219" s="106"/>
      <c r="F219" s="106"/>
      <c r="I219" s="151"/>
      <c r="J219" s="157"/>
      <c r="K219" s="157"/>
      <c r="L219" s="157"/>
      <c r="M219" s="157"/>
      <c r="N219" s="157"/>
      <c r="O219" s="157"/>
      <c r="P219" s="157"/>
      <c r="Q219" s="157"/>
      <c r="R219" s="157"/>
      <c r="S219" s="157"/>
      <c r="T219" s="157"/>
      <c r="U219" s="157"/>
      <c r="V219" s="157"/>
      <c r="W219" s="157"/>
      <c r="X219" s="157"/>
      <c r="Y219" s="157"/>
      <c r="Z219" s="157"/>
      <c r="AA219" s="157"/>
      <c r="AB219" s="157"/>
      <c r="AC219" s="157"/>
      <c r="AD219" s="157"/>
      <c r="AE219" s="157"/>
      <c r="AF219" s="157"/>
      <c r="AG219" s="157"/>
      <c r="AH219" s="157"/>
      <c r="AI219" s="157"/>
      <c r="AJ219" s="157"/>
      <c r="AK219" s="157"/>
      <c r="AL219" s="157"/>
      <c r="AM219" s="157"/>
      <c r="AN219" s="157"/>
      <c r="AO219" s="157"/>
      <c r="AP219" s="157"/>
      <c r="AQ219" s="157"/>
      <c r="AR219" s="157"/>
      <c r="AS219" s="157"/>
      <c r="AT219" s="157"/>
      <c r="AU219" s="157"/>
      <c r="AV219" s="157"/>
    </row>
    <row r="220" spans="1:48">
      <c r="A220" s="185" t="s">
        <v>16</v>
      </c>
      <c r="B220" s="87" t="str">
        <f t="shared" ref="B220:C228" si="81">B208</f>
        <v>CNC</v>
      </c>
      <c r="C220" s="87" t="str">
        <f t="shared" si="81"/>
        <v>Commercial - Cooling</v>
      </c>
      <c r="E220" s="106"/>
      <c r="F220" s="106"/>
      <c r="I220" s="151"/>
      <c r="J220" s="157">
        <f t="shared" ref="J220:AV226" si="82">J186+J197+J208</f>
        <v>0</v>
      </c>
      <c r="K220" s="157">
        <f t="shared" si="82"/>
        <v>0</v>
      </c>
      <c r="L220" s="157">
        <f t="shared" si="82"/>
        <v>0</v>
      </c>
      <c r="M220" s="157">
        <f t="shared" si="82"/>
        <v>0</v>
      </c>
      <c r="N220" s="157">
        <f t="shared" si="82"/>
        <v>0</v>
      </c>
      <c r="O220" s="157">
        <f t="shared" si="82"/>
        <v>0</v>
      </c>
      <c r="P220" s="157">
        <f t="shared" si="82"/>
        <v>1.6544946889303713</v>
      </c>
      <c r="Q220" s="157">
        <f t="shared" si="82"/>
        <v>3.1875183888127405</v>
      </c>
      <c r="R220" s="157">
        <f t="shared" si="82"/>
        <v>4.1497851114047242</v>
      </c>
      <c r="S220" s="157">
        <f t="shared" si="82"/>
        <v>6.0760176501224006</v>
      </c>
      <c r="T220" s="157">
        <f t="shared" si="82"/>
        <v>8.042044078406013</v>
      </c>
      <c r="U220" s="157">
        <f t="shared" si="82"/>
        <v>10.082751893533009</v>
      </c>
      <c r="V220" s="157">
        <f t="shared" si="82"/>
        <v>12.190743874351574</v>
      </c>
      <c r="W220" s="157">
        <f t="shared" si="82"/>
        <v>14.291909432341567</v>
      </c>
      <c r="X220" s="157">
        <f t="shared" si="82"/>
        <v>16.501291190674277</v>
      </c>
      <c r="Y220" s="157">
        <f t="shared" si="82"/>
        <v>18.729827956118001</v>
      </c>
      <c r="Z220" s="157">
        <f t="shared" si="82"/>
        <v>21.025071749534352</v>
      </c>
      <c r="AA220" s="157">
        <f t="shared" si="82"/>
        <v>23.337394537506206</v>
      </c>
      <c r="AB220" s="157">
        <f t="shared" si="82"/>
        <v>25.481887453250529</v>
      </c>
      <c r="AC220" s="157">
        <f t="shared" si="82"/>
        <v>27.803938667069961</v>
      </c>
      <c r="AD220" s="157">
        <f t="shared" si="82"/>
        <v>30.143399467387027</v>
      </c>
      <c r="AE220" s="157">
        <f t="shared" si="82"/>
        <v>32.50225064355331</v>
      </c>
      <c r="AF220" s="157">
        <f t="shared" si="82"/>
        <v>34.801873315873451</v>
      </c>
      <c r="AG220" s="157">
        <f t="shared" si="82"/>
        <v>37.15719122271377</v>
      </c>
      <c r="AH220" s="157">
        <f t="shared" si="82"/>
        <v>39.53651768990288</v>
      </c>
      <c r="AI220" s="157">
        <f t="shared" si="82"/>
        <v>41.949145795472894</v>
      </c>
      <c r="AJ220" s="157">
        <f t="shared" si="82"/>
        <v>44.332538776152319</v>
      </c>
      <c r="AK220" s="157">
        <f t="shared" si="82"/>
        <v>46.743397751527191</v>
      </c>
      <c r="AL220" s="157">
        <f t="shared" si="82"/>
        <v>49.216840908577815</v>
      </c>
      <c r="AM220" s="157">
        <f t="shared" si="82"/>
        <v>51.82527370829925</v>
      </c>
      <c r="AN220" s="157">
        <f t="shared" si="82"/>
        <v>54.405203467092875</v>
      </c>
      <c r="AO220" s="157">
        <f t="shared" si="82"/>
        <v>56.957946191704991</v>
      </c>
      <c r="AP220" s="157">
        <f t="shared" si="82"/>
        <v>59.484720973143709</v>
      </c>
      <c r="AQ220" s="157">
        <f t="shared" si="82"/>
        <v>61.986659637407833</v>
      </c>
      <c r="AR220" s="157">
        <f t="shared" si="82"/>
        <v>64.673232214112701</v>
      </c>
      <c r="AS220" s="157">
        <f t="shared" si="82"/>
        <v>67.330539386295712</v>
      </c>
      <c r="AT220" s="157">
        <f t="shared" si="82"/>
        <v>69.959907406652277</v>
      </c>
      <c r="AU220" s="157">
        <f t="shared" si="82"/>
        <v>72.562566610263815</v>
      </c>
      <c r="AV220" s="157">
        <f t="shared" si="82"/>
        <v>75.235343674571325</v>
      </c>
    </row>
    <row r="221" spans="1:48">
      <c r="A221" s="185" t="s">
        <v>16</v>
      </c>
      <c r="B221" s="87" t="str">
        <f t="shared" si="81"/>
        <v>CNH</v>
      </c>
      <c r="C221" s="87" t="str">
        <f t="shared" si="81"/>
        <v>Commercial - Space Heating</v>
      </c>
      <c r="E221" s="106"/>
      <c r="F221" s="106"/>
      <c r="I221" s="151"/>
      <c r="J221" s="157">
        <f t="shared" si="82"/>
        <v>0</v>
      </c>
      <c r="K221" s="157">
        <f t="shared" si="82"/>
        <v>0</v>
      </c>
      <c r="L221" s="157">
        <f t="shared" si="82"/>
        <v>0</v>
      </c>
      <c r="M221" s="157">
        <f t="shared" si="82"/>
        <v>0</v>
      </c>
      <c r="N221" s="157">
        <f t="shared" si="82"/>
        <v>0</v>
      </c>
      <c r="O221" s="157">
        <f t="shared" si="82"/>
        <v>0</v>
      </c>
      <c r="P221" s="157">
        <f t="shared" si="82"/>
        <v>0.15778310002993795</v>
      </c>
      <c r="Q221" s="157">
        <f t="shared" si="82"/>
        <v>0.30398195663864902</v>
      </c>
      <c r="R221" s="157">
        <f t="shared" si="82"/>
        <v>0.39574981032959627</v>
      </c>
      <c r="S221" s="157">
        <f t="shared" si="82"/>
        <v>0.57944755404003445</v>
      </c>
      <c r="T221" s="157">
        <f t="shared" si="82"/>
        <v>0.76694029528051699</v>
      </c>
      <c r="U221" s="157">
        <f t="shared" si="82"/>
        <v>0.96155512691483591</v>
      </c>
      <c r="V221" s="157">
        <f t="shared" si="82"/>
        <v>1.1625866030489971</v>
      </c>
      <c r="W221" s="157">
        <f t="shared" si="82"/>
        <v>1.3629670682350945</v>
      </c>
      <c r="X221" s="157">
        <f t="shared" si="82"/>
        <v>1.5736677161801793</v>
      </c>
      <c r="Y221" s="157">
        <f t="shared" si="82"/>
        <v>1.78619510701135</v>
      </c>
      <c r="Z221" s="157">
        <f t="shared" si="82"/>
        <v>2.005084102831479</v>
      </c>
      <c r="AA221" s="157">
        <f t="shared" si="82"/>
        <v>2.22560185982225</v>
      </c>
      <c r="AB221" s="157">
        <f t="shared" si="82"/>
        <v>2.4301142964606126</v>
      </c>
      <c r="AC221" s="157">
        <f t="shared" si="82"/>
        <v>2.6515598178007713</v>
      </c>
      <c r="AD221" s="157">
        <f t="shared" si="82"/>
        <v>2.8746656276545259</v>
      </c>
      <c r="AE221" s="157">
        <f t="shared" si="82"/>
        <v>3.0996206266490525</v>
      </c>
      <c r="AF221" s="157">
        <f t="shared" si="82"/>
        <v>3.3189272201155928</v>
      </c>
      <c r="AG221" s="157">
        <f t="shared" si="82"/>
        <v>3.5435452641526801</v>
      </c>
      <c r="AH221" s="157">
        <f t="shared" si="82"/>
        <v>3.7704529166753278</v>
      </c>
      <c r="AI221" s="157">
        <f t="shared" si="82"/>
        <v>4.0005364245059258</v>
      </c>
      <c r="AJ221" s="157">
        <f t="shared" si="82"/>
        <v>4.2278318855293247</v>
      </c>
      <c r="AK221" s="157">
        <f t="shared" si="82"/>
        <v>4.4577466778914392</v>
      </c>
      <c r="AL221" s="157">
        <f t="shared" si="82"/>
        <v>4.6936298944882786</v>
      </c>
      <c r="AM221" s="157">
        <f t="shared" si="82"/>
        <v>4.9423865789995451</v>
      </c>
      <c r="AN221" s="157">
        <f t="shared" si="82"/>
        <v>5.1884250328703869</v>
      </c>
      <c r="AO221" s="157">
        <f t="shared" si="82"/>
        <v>5.4318707588452257</v>
      </c>
      <c r="AP221" s="157">
        <f t="shared" si="82"/>
        <v>5.6728400171694204</v>
      </c>
      <c r="AQ221" s="157">
        <f t="shared" si="82"/>
        <v>5.9114407459439384</v>
      </c>
      <c r="AR221" s="157">
        <f t="shared" si="82"/>
        <v>6.1676493348527117</v>
      </c>
      <c r="AS221" s="157">
        <f t="shared" si="82"/>
        <v>6.4210669892967331</v>
      </c>
      <c r="AT221" s="157">
        <f t="shared" si="82"/>
        <v>6.6718201891390674</v>
      </c>
      <c r="AU221" s="157">
        <f t="shared" si="82"/>
        <v>6.9200262669311741</v>
      </c>
      <c r="AV221" s="157">
        <f t="shared" si="82"/>
        <v>7.1749192283392258</v>
      </c>
    </row>
    <row r="222" spans="1:48">
      <c r="A222" s="185" t="s">
        <v>16</v>
      </c>
      <c r="B222" s="87" t="str">
        <f t="shared" si="81"/>
        <v>CNK</v>
      </c>
      <c r="C222" s="87" t="str">
        <f t="shared" si="81"/>
        <v>Commercial - Cooking</v>
      </c>
      <c r="E222" s="106"/>
      <c r="F222" s="106"/>
      <c r="I222" s="151"/>
      <c r="J222" s="157">
        <f t="shared" si="82"/>
        <v>0</v>
      </c>
      <c r="K222" s="157">
        <f t="shared" si="82"/>
        <v>0</v>
      </c>
      <c r="L222" s="157">
        <f t="shared" si="82"/>
        <v>0</v>
      </c>
      <c r="M222" s="157">
        <f t="shared" si="82"/>
        <v>0</v>
      </c>
      <c r="N222" s="157">
        <f t="shared" si="82"/>
        <v>0</v>
      </c>
      <c r="O222" s="157">
        <f t="shared" si="82"/>
        <v>0</v>
      </c>
      <c r="P222" s="157">
        <f t="shared" si="82"/>
        <v>0.11351736674445566</v>
      </c>
      <c r="Q222" s="157">
        <f t="shared" si="82"/>
        <v>0.2187004264011754</v>
      </c>
      <c r="R222" s="157">
        <f t="shared" si="82"/>
        <v>0.28472299219440816</v>
      </c>
      <c r="S222" s="157">
        <f t="shared" si="82"/>
        <v>0.4168847011413751</v>
      </c>
      <c r="T222" s="157">
        <f t="shared" si="82"/>
        <v>0.55177672864800165</v>
      </c>
      <c r="U222" s="157">
        <f t="shared" si="82"/>
        <v>0.69179275832641252</v>
      </c>
      <c r="V222" s="157">
        <f t="shared" si="82"/>
        <v>0.83642525571790027</v>
      </c>
      <c r="W222" s="157">
        <f t="shared" si="82"/>
        <v>0.98058938198135226</v>
      </c>
      <c r="X222" s="157">
        <f t="shared" si="82"/>
        <v>1.1321783843620785</v>
      </c>
      <c r="Y222" s="157">
        <f t="shared" si="82"/>
        <v>1.2850816405640841</v>
      </c>
      <c r="Z222" s="157">
        <f t="shared" si="82"/>
        <v>1.4425617661930303</v>
      </c>
      <c r="AA222" s="157">
        <f t="shared" si="82"/>
        <v>1.6012137073022896</v>
      </c>
      <c r="AB222" s="157">
        <f t="shared" si="82"/>
        <v>1.7483505886873951</v>
      </c>
      <c r="AC222" s="157">
        <f t="shared" si="82"/>
        <v>1.9076700117125371</v>
      </c>
      <c r="AD222" s="157">
        <f t="shared" si="82"/>
        <v>2.0681839326279077</v>
      </c>
      <c r="AE222" s="157">
        <f t="shared" si="82"/>
        <v>2.2300282563673641</v>
      </c>
      <c r="AF222" s="157">
        <f t="shared" si="82"/>
        <v>2.3878088234578501</v>
      </c>
      <c r="AG222" s="157">
        <f t="shared" si="82"/>
        <v>2.5494107242795625</v>
      </c>
      <c r="AH222" s="157">
        <f t="shared" si="82"/>
        <v>2.7126598885034214</v>
      </c>
      <c r="AI222" s="157">
        <f t="shared" si="82"/>
        <v>2.8781939281775122</v>
      </c>
      <c r="AJ222" s="157">
        <f t="shared" si="82"/>
        <v>3.041722102002514</v>
      </c>
      <c r="AK222" s="157">
        <f t="shared" si="82"/>
        <v>3.2071347589955215</v>
      </c>
      <c r="AL222" s="157">
        <f t="shared" si="82"/>
        <v>3.3768414107358193</v>
      </c>
      <c r="AM222" s="157">
        <f t="shared" si="82"/>
        <v>3.5558099047028056</v>
      </c>
      <c r="AN222" s="157">
        <f t="shared" si="82"/>
        <v>3.7328227622014589</v>
      </c>
      <c r="AO222" s="157">
        <f t="shared" si="82"/>
        <v>3.9079702764321498</v>
      </c>
      <c r="AP222" s="157">
        <f t="shared" si="82"/>
        <v>4.0813360910608187</v>
      </c>
      <c r="AQ222" s="157">
        <f t="shared" si="82"/>
        <v>4.2529978623699902</v>
      </c>
      <c r="AR222" s="157">
        <f t="shared" si="82"/>
        <v>4.4373276438530418</v>
      </c>
      <c r="AS222" s="157">
        <f t="shared" si="82"/>
        <v>4.6196494819560021</v>
      </c>
      <c r="AT222" s="157">
        <f t="shared" si="82"/>
        <v>4.800054372869206</v>
      </c>
      <c r="AU222" s="157">
        <f t="shared" si="82"/>
        <v>4.9786267317313611</v>
      </c>
      <c r="AV222" s="157">
        <f t="shared" si="82"/>
        <v>5.1620099823789154</v>
      </c>
    </row>
    <row r="223" spans="1:48">
      <c r="A223" s="185" t="s">
        <v>16</v>
      </c>
      <c r="B223" s="87" t="str">
        <f t="shared" si="81"/>
        <v>CNL</v>
      </c>
      <c r="C223" s="87" t="str">
        <f t="shared" si="81"/>
        <v>Commercial - Lighting</v>
      </c>
      <c r="E223" s="106"/>
      <c r="F223" s="106"/>
      <c r="I223" s="151"/>
      <c r="J223" s="157">
        <f t="shared" si="82"/>
        <v>0</v>
      </c>
      <c r="K223" s="157">
        <f t="shared" si="82"/>
        <v>0</v>
      </c>
      <c r="L223" s="157">
        <f t="shared" si="82"/>
        <v>0</v>
      </c>
      <c r="M223" s="157">
        <f t="shared" si="82"/>
        <v>0</v>
      </c>
      <c r="N223" s="157">
        <f t="shared" si="82"/>
        <v>0</v>
      </c>
      <c r="O223" s="157">
        <f t="shared" si="82"/>
        <v>0</v>
      </c>
      <c r="P223" s="157">
        <f t="shared" si="82"/>
        <v>1.439792405855393</v>
      </c>
      <c r="Q223" s="157">
        <f t="shared" si="82"/>
        <v>2.7738770033187716</v>
      </c>
      <c r="R223" s="157">
        <f t="shared" si="82"/>
        <v>3.6112712414900638</v>
      </c>
      <c r="S223" s="157">
        <f t="shared" si="82"/>
        <v>5.2875383215314313</v>
      </c>
      <c r="T223" s="157">
        <f t="shared" si="82"/>
        <v>6.9984352739923503</v>
      </c>
      <c r="U223" s="157">
        <f t="shared" si="82"/>
        <v>8.7743222771045453</v>
      </c>
      <c r="V223" s="157">
        <f t="shared" si="82"/>
        <v>10.608762040431198</v>
      </c>
      <c r="W223" s="157">
        <f t="shared" si="82"/>
        <v>12.437261239660852</v>
      </c>
      <c r="X223" s="157">
        <f t="shared" si="82"/>
        <v>14.359933520548875</v>
      </c>
      <c r="Y223" s="157">
        <f t="shared" si="82"/>
        <v>16.29927508055702</v>
      </c>
      <c r="Z223" s="157">
        <f t="shared" si="82"/>
        <v>18.296667157701762</v>
      </c>
      <c r="AA223" s="157">
        <f t="shared" si="82"/>
        <v>20.308921903687448</v>
      </c>
      <c r="AB223" s="157">
        <f t="shared" si="82"/>
        <v>22.175125908546182</v>
      </c>
      <c r="AC223" s="157">
        <f t="shared" si="82"/>
        <v>24.195846631334319</v>
      </c>
      <c r="AD223" s="157">
        <f t="shared" si="82"/>
        <v>26.231717714287456</v>
      </c>
      <c r="AE223" s="157">
        <f t="shared" si="82"/>
        <v>28.284462901510118</v>
      </c>
      <c r="AF223" s="157">
        <f t="shared" si="82"/>
        <v>30.285665614393999</v>
      </c>
      <c r="AG223" s="157">
        <f t="shared" si="82"/>
        <v>32.335336041463364</v>
      </c>
      <c r="AH223" s="157">
        <f t="shared" si="82"/>
        <v>34.405899459665903</v>
      </c>
      <c r="AI223" s="157">
        <f t="shared" si="82"/>
        <v>36.50544299268185</v>
      </c>
      <c r="AJ223" s="157">
        <f t="shared" si="82"/>
        <v>38.579545216587938</v>
      </c>
      <c r="AK223" s="157">
        <f t="shared" si="82"/>
        <v>40.677549197838026</v>
      </c>
      <c r="AL223" s="157">
        <f t="shared" si="82"/>
        <v>42.830015867972108</v>
      </c>
      <c r="AM223" s="157">
        <f t="shared" si="82"/>
        <v>45.099954696637091</v>
      </c>
      <c r="AN223" s="157">
        <f t="shared" si="82"/>
        <v>47.345089298279639</v>
      </c>
      <c r="AO223" s="157">
        <f t="shared" si="82"/>
        <v>49.5665649026379</v>
      </c>
      <c r="AP223" s="157">
        <f t="shared" si="82"/>
        <v>51.76544240037974</v>
      </c>
      <c r="AQ223" s="157">
        <f t="shared" si="82"/>
        <v>53.942706741465258</v>
      </c>
      <c r="AR223" s="157">
        <f t="shared" si="82"/>
        <v>56.2806452187533</v>
      </c>
      <c r="AS223" s="157">
        <f t="shared" si="82"/>
        <v>58.593116036660646</v>
      </c>
      <c r="AT223" s="157">
        <f t="shared" si="82"/>
        <v>60.881273341266976</v>
      </c>
      <c r="AU223" s="157">
        <f t="shared" si="82"/>
        <v>63.14618780818023</v>
      </c>
      <c r="AV223" s="157">
        <f t="shared" si="82"/>
        <v>65.472121004268217</v>
      </c>
    </row>
    <row r="224" spans="1:48">
      <c r="A224" s="185" t="s">
        <v>16</v>
      </c>
      <c r="B224" s="87" t="str">
        <f t="shared" si="81"/>
        <v>CNR</v>
      </c>
      <c r="C224" s="87" t="str">
        <f t="shared" si="81"/>
        <v>Commercial - Refrigeration</v>
      </c>
      <c r="E224" s="106"/>
      <c r="F224" s="106"/>
      <c r="I224" s="151"/>
      <c r="J224" s="157">
        <f t="shared" si="82"/>
        <v>0</v>
      </c>
      <c r="K224" s="157">
        <f t="shared" si="82"/>
        <v>0</v>
      </c>
      <c r="L224" s="157">
        <f t="shared" si="82"/>
        <v>0</v>
      </c>
      <c r="M224" s="157">
        <f t="shared" si="82"/>
        <v>0</v>
      </c>
      <c r="N224" s="157">
        <f t="shared" si="82"/>
        <v>0</v>
      </c>
      <c r="O224" s="157">
        <f t="shared" si="82"/>
        <v>0</v>
      </c>
      <c r="P224" s="157">
        <f t="shared" si="82"/>
        <v>0.35024986912740697</v>
      </c>
      <c r="Q224" s="157">
        <f t="shared" si="82"/>
        <v>0.67478481858689709</v>
      </c>
      <c r="R224" s="157">
        <f t="shared" si="82"/>
        <v>0.87849281227734122</v>
      </c>
      <c r="S224" s="157">
        <f t="shared" si="82"/>
        <v>1.2862684909233619</v>
      </c>
      <c r="T224" s="157">
        <f t="shared" si="82"/>
        <v>1.7024683758879597</v>
      </c>
      <c r="U224" s="157">
        <f t="shared" si="82"/>
        <v>2.1344780099820997</v>
      </c>
      <c r="V224" s="157">
        <f t="shared" si="82"/>
        <v>2.5807314312491396</v>
      </c>
      <c r="W224" s="157">
        <f t="shared" si="82"/>
        <v>3.0255397262680797</v>
      </c>
      <c r="X224" s="157">
        <f t="shared" si="82"/>
        <v>3.4932569555139446</v>
      </c>
      <c r="Y224" s="157">
        <f t="shared" si="82"/>
        <v>3.9650292226989787</v>
      </c>
      <c r="Z224" s="157">
        <f t="shared" si="82"/>
        <v>4.4509230993238083</v>
      </c>
      <c r="AA224" s="157">
        <f t="shared" si="82"/>
        <v>4.940432530382215</v>
      </c>
      <c r="AB224" s="157">
        <f t="shared" si="82"/>
        <v>5.3944130527190337</v>
      </c>
      <c r="AC224" s="157">
        <f t="shared" si="82"/>
        <v>5.8859819523890522</v>
      </c>
      <c r="AD224" s="157">
        <f t="shared" si="82"/>
        <v>6.3812363914767287</v>
      </c>
      <c r="AE224" s="157">
        <f t="shared" si="82"/>
        <v>6.8805956951184948</v>
      </c>
      <c r="AF224" s="157">
        <f t="shared" si="82"/>
        <v>7.3674165627897388</v>
      </c>
      <c r="AG224" s="157">
        <f t="shared" si="82"/>
        <v>7.8660278875305814</v>
      </c>
      <c r="AH224" s="157">
        <f t="shared" si="82"/>
        <v>8.3697217279037552</v>
      </c>
      <c r="AI224" s="157">
        <f t="shared" si="82"/>
        <v>8.8804653911398752</v>
      </c>
      <c r="AJ224" s="157">
        <f t="shared" si="82"/>
        <v>9.3850200960581702</v>
      </c>
      <c r="AK224" s="157">
        <f t="shared" si="82"/>
        <v>9.895389241549708</v>
      </c>
      <c r="AL224" s="157">
        <f t="shared" si="82"/>
        <v>10.41900720650742</v>
      </c>
      <c r="AM224" s="157">
        <f t="shared" si="82"/>
        <v>10.971201935715474</v>
      </c>
      <c r="AN224" s="157">
        <f t="shared" si="82"/>
        <v>11.517362685835232</v>
      </c>
      <c r="AO224" s="157">
        <f t="shared" si="82"/>
        <v>12.057768050200208</v>
      </c>
      <c r="AP224" s="157">
        <f t="shared" si="82"/>
        <v>12.592676105472055</v>
      </c>
      <c r="AQ224" s="157">
        <f t="shared" si="82"/>
        <v>13.122326454661049</v>
      </c>
      <c r="AR224" s="157">
        <f t="shared" si="82"/>
        <v>13.69106306027717</v>
      </c>
      <c r="AS224" s="157">
        <f t="shared" si="82"/>
        <v>14.253604297499352</v>
      </c>
      <c r="AT224" s="157">
        <f t="shared" si="82"/>
        <v>14.810230928687307</v>
      </c>
      <c r="AU224" s="157">
        <f t="shared" si="82"/>
        <v>15.361203410827772</v>
      </c>
      <c r="AV224" s="157">
        <f t="shared" si="82"/>
        <v>15.927019561972781</v>
      </c>
    </row>
    <row r="225" spans="1:48">
      <c r="A225" s="185" t="s">
        <v>16</v>
      </c>
      <c r="B225" s="87" t="str">
        <f t="shared" si="81"/>
        <v>CNW</v>
      </c>
      <c r="C225" s="87" t="str">
        <f t="shared" si="81"/>
        <v>Commercial - Water Heating</v>
      </c>
      <c r="E225" s="106"/>
      <c r="F225" s="106"/>
      <c r="I225" s="151"/>
      <c r="J225" s="157">
        <f t="shared" si="82"/>
        <v>0</v>
      </c>
      <c r="K225" s="157">
        <f t="shared" si="82"/>
        <v>0</v>
      </c>
      <c r="L225" s="157">
        <f t="shared" si="82"/>
        <v>0</v>
      </c>
      <c r="M225" s="157">
        <f t="shared" si="82"/>
        <v>0</v>
      </c>
      <c r="N225" s="157">
        <f t="shared" si="82"/>
        <v>0</v>
      </c>
      <c r="O225" s="157">
        <f t="shared" si="82"/>
        <v>0</v>
      </c>
      <c r="P225" s="157">
        <f t="shared" si="82"/>
        <v>0.13273002272365989</v>
      </c>
      <c r="Q225" s="157">
        <f t="shared" si="82"/>
        <v>0.25571516851028336</v>
      </c>
      <c r="R225" s="157">
        <f t="shared" si="82"/>
        <v>0.3329119614709351</v>
      </c>
      <c r="S225" s="157">
        <f t="shared" si="82"/>
        <v>0.48744185530839423</v>
      </c>
      <c r="T225" s="157">
        <f t="shared" si="82"/>
        <v>0.64516417031328799</v>
      </c>
      <c r="U225" s="157">
        <f t="shared" si="82"/>
        <v>0.808877717710209</v>
      </c>
      <c r="V225" s="157">
        <f t="shared" si="82"/>
        <v>0.97798906354125981</v>
      </c>
      <c r="W225" s="157">
        <f t="shared" si="82"/>
        <v>1.1465527670841726</v>
      </c>
      <c r="X225" s="157">
        <f t="shared" si="82"/>
        <v>1.3237979966704505</v>
      </c>
      <c r="Y225" s="157">
        <f t="shared" si="82"/>
        <v>1.5025799157040418</v>
      </c>
      <c r="Z225" s="157">
        <f t="shared" si="82"/>
        <v>1.686713332930933</v>
      </c>
      <c r="AA225" s="157">
        <f t="shared" si="82"/>
        <v>1.8722168937736461</v>
      </c>
      <c r="AB225" s="157">
        <f t="shared" si="82"/>
        <v>2.0442564870959372</v>
      </c>
      <c r="AC225" s="157">
        <f t="shared" si="82"/>
        <v>2.2305405002377441</v>
      </c>
      <c r="AD225" s="157">
        <f t="shared" si="82"/>
        <v>2.4182211783715277</v>
      </c>
      <c r="AE225" s="157">
        <f t="shared" si="82"/>
        <v>2.6074574281516316</v>
      </c>
      <c r="AF225" s="157">
        <f t="shared" si="82"/>
        <v>2.7919421361383501</v>
      </c>
      <c r="AG225" s="157">
        <f t="shared" si="82"/>
        <v>2.9808949332600303</v>
      </c>
      <c r="AH225" s="157">
        <f t="shared" si="82"/>
        <v>3.1717737908169474</v>
      </c>
      <c r="AI225" s="157">
        <f t="shared" si="82"/>
        <v>3.3653242358069377</v>
      </c>
      <c r="AJ225" s="157">
        <f t="shared" si="82"/>
        <v>3.5565293249508079</v>
      </c>
      <c r="AK225" s="157">
        <f t="shared" si="82"/>
        <v>3.7499378434102546</v>
      </c>
      <c r="AL225" s="157">
        <f t="shared" si="82"/>
        <v>3.9483671092383945</v>
      </c>
      <c r="AM225" s="157">
        <f t="shared" si="82"/>
        <v>4.1576257711709967</v>
      </c>
      <c r="AN225" s="157">
        <f t="shared" si="82"/>
        <v>4.3645978078908652</v>
      </c>
      <c r="AO225" s="157">
        <f t="shared" si="82"/>
        <v>4.569388794596585</v>
      </c>
      <c r="AP225" s="157">
        <f t="shared" si="82"/>
        <v>4.7720965315278852</v>
      </c>
      <c r="AQ225" s="157">
        <f t="shared" si="82"/>
        <v>4.9728118181847867</v>
      </c>
      <c r="AR225" s="157">
        <f t="shared" si="82"/>
        <v>5.1883391580672331</v>
      </c>
      <c r="AS225" s="157">
        <f t="shared" si="82"/>
        <v>5.4015187129533349</v>
      </c>
      <c r="AT225" s="157">
        <f t="shared" si="82"/>
        <v>5.6124568800117114</v>
      </c>
      <c r="AU225" s="157">
        <f t="shared" si="82"/>
        <v>5.8212523615255476</v>
      </c>
      <c r="AV225" s="157">
        <f t="shared" si="82"/>
        <v>6.0356729715488795</v>
      </c>
    </row>
    <row r="226" spans="1:48">
      <c r="A226" s="185" t="s">
        <v>16</v>
      </c>
      <c r="B226" s="87" t="str">
        <f t="shared" si="81"/>
        <v>CNG</v>
      </c>
      <c r="C226" s="87" t="str">
        <f t="shared" si="81"/>
        <v>Commercial - Public lights</v>
      </c>
      <c r="E226" s="106"/>
      <c r="F226" s="106"/>
      <c r="I226" s="151"/>
      <c r="J226" s="157">
        <f t="shared" si="82"/>
        <v>0</v>
      </c>
      <c r="K226" s="157">
        <f t="shared" si="82"/>
        <v>0</v>
      </c>
      <c r="L226" s="157">
        <f t="shared" si="82"/>
        <v>0</v>
      </c>
      <c r="M226" s="157">
        <f t="shared" si="82"/>
        <v>0</v>
      </c>
      <c r="N226" s="157">
        <f t="shared" si="82"/>
        <v>0</v>
      </c>
      <c r="O226" s="157">
        <f t="shared" si="82"/>
        <v>0</v>
      </c>
      <c r="P226" s="157">
        <f t="shared" si="82"/>
        <v>0</v>
      </c>
      <c r="Q226" s="157">
        <f t="shared" si="82"/>
        <v>0</v>
      </c>
      <c r="R226" s="157">
        <f t="shared" si="82"/>
        <v>0</v>
      </c>
      <c r="S226" s="157">
        <f t="shared" si="82"/>
        <v>0</v>
      </c>
      <c r="T226" s="157">
        <f t="shared" si="82"/>
        <v>0</v>
      </c>
      <c r="U226" s="157">
        <f t="shared" si="82"/>
        <v>0</v>
      </c>
      <c r="V226" s="157">
        <f t="shared" si="82"/>
        <v>0</v>
      </c>
      <c r="W226" s="157">
        <f t="shared" si="82"/>
        <v>0</v>
      </c>
      <c r="X226" s="157">
        <f t="shared" si="82"/>
        <v>0</v>
      </c>
      <c r="Y226" s="157">
        <f t="shared" si="82"/>
        <v>0</v>
      </c>
      <c r="Z226" s="157">
        <f t="shared" si="82"/>
        <v>0</v>
      </c>
      <c r="AA226" s="157">
        <f t="shared" si="82"/>
        <v>0</v>
      </c>
      <c r="AB226" s="157">
        <f t="shared" si="82"/>
        <v>0</v>
      </c>
      <c r="AC226" s="157">
        <f t="shared" si="82"/>
        <v>0</v>
      </c>
      <c r="AD226" s="157">
        <f t="shared" si="82"/>
        <v>0</v>
      </c>
      <c r="AE226" s="157">
        <f t="shared" ref="AE226:AV228" si="83">AE192+AE203+AE214</f>
        <v>0</v>
      </c>
      <c r="AF226" s="157">
        <f t="shared" si="83"/>
        <v>0</v>
      </c>
      <c r="AG226" s="157">
        <f t="shared" si="83"/>
        <v>0</v>
      </c>
      <c r="AH226" s="157">
        <f t="shared" si="83"/>
        <v>0</v>
      </c>
      <c r="AI226" s="157">
        <f t="shared" si="83"/>
        <v>0</v>
      </c>
      <c r="AJ226" s="157">
        <f t="shared" si="83"/>
        <v>0</v>
      </c>
      <c r="AK226" s="157">
        <f t="shared" si="83"/>
        <v>0</v>
      </c>
      <c r="AL226" s="157">
        <f t="shared" si="83"/>
        <v>0</v>
      </c>
      <c r="AM226" s="157">
        <f t="shared" si="83"/>
        <v>0</v>
      </c>
      <c r="AN226" s="157">
        <f t="shared" si="83"/>
        <v>0</v>
      </c>
      <c r="AO226" s="157">
        <f t="shared" si="83"/>
        <v>0</v>
      </c>
      <c r="AP226" s="157">
        <f t="shared" si="83"/>
        <v>0</v>
      </c>
      <c r="AQ226" s="157">
        <f t="shared" si="83"/>
        <v>0</v>
      </c>
      <c r="AR226" s="157">
        <f t="shared" si="83"/>
        <v>0</v>
      </c>
      <c r="AS226" s="157">
        <f t="shared" si="83"/>
        <v>0</v>
      </c>
      <c r="AT226" s="157">
        <f t="shared" si="83"/>
        <v>0</v>
      </c>
      <c r="AU226" s="157">
        <f t="shared" si="83"/>
        <v>0</v>
      </c>
      <c r="AV226" s="157">
        <f t="shared" si="83"/>
        <v>0</v>
      </c>
    </row>
    <row r="227" spans="1:48">
      <c r="A227" s="185" t="s">
        <v>16</v>
      </c>
      <c r="B227" s="87" t="str">
        <f t="shared" si="81"/>
        <v>CNT</v>
      </c>
      <c r="C227" s="87" t="str">
        <f t="shared" si="81"/>
        <v>Commercial - Public Water</v>
      </c>
      <c r="E227" s="106"/>
      <c r="F227" s="106"/>
      <c r="I227" s="151"/>
      <c r="J227" s="157">
        <f t="shared" ref="J227:AV228" si="84">J193+J204+J215</f>
        <v>0</v>
      </c>
      <c r="K227" s="157">
        <f t="shared" si="84"/>
        <v>0</v>
      </c>
      <c r="L227" s="157">
        <f t="shared" si="84"/>
        <v>0</v>
      </c>
      <c r="M227" s="157">
        <f t="shared" si="84"/>
        <v>0</v>
      </c>
      <c r="N227" s="157">
        <f t="shared" si="84"/>
        <v>0</v>
      </c>
      <c r="O227" s="157">
        <f t="shared" si="84"/>
        <v>0</v>
      </c>
      <c r="P227" s="157">
        <f t="shared" si="84"/>
        <v>0</v>
      </c>
      <c r="Q227" s="157">
        <f t="shared" si="84"/>
        <v>0</v>
      </c>
      <c r="R227" s="157">
        <f t="shared" si="84"/>
        <v>0</v>
      </c>
      <c r="S227" s="157">
        <f t="shared" si="84"/>
        <v>0</v>
      </c>
      <c r="T227" s="157">
        <f t="shared" si="84"/>
        <v>0</v>
      </c>
      <c r="U227" s="157">
        <f t="shared" si="84"/>
        <v>0</v>
      </c>
      <c r="V227" s="157">
        <f t="shared" si="84"/>
        <v>0</v>
      </c>
      <c r="W227" s="157">
        <f t="shared" si="84"/>
        <v>0</v>
      </c>
      <c r="X227" s="157">
        <f t="shared" si="84"/>
        <v>0</v>
      </c>
      <c r="Y227" s="157">
        <f t="shared" si="84"/>
        <v>0</v>
      </c>
      <c r="Z227" s="157">
        <f t="shared" si="84"/>
        <v>0</v>
      </c>
      <c r="AA227" s="157">
        <f t="shared" si="84"/>
        <v>0</v>
      </c>
      <c r="AB227" s="157">
        <f t="shared" si="84"/>
        <v>0</v>
      </c>
      <c r="AC227" s="157">
        <f t="shared" si="84"/>
        <v>0</v>
      </c>
      <c r="AD227" s="157">
        <f t="shared" si="84"/>
        <v>0</v>
      </c>
      <c r="AE227" s="157">
        <f t="shared" si="84"/>
        <v>0</v>
      </c>
      <c r="AF227" s="157">
        <f t="shared" si="84"/>
        <v>0</v>
      </c>
      <c r="AG227" s="157">
        <f t="shared" si="84"/>
        <v>0</v>
      </c>
      <c r="AH227" s="157">
        <f t="shared" si="84"/>
        <v>0</v>
      </c>
      <c r="AI227" s="157">
        <f t="shared" si="83"/>
        <v>0</v>
      </c>
      <c r="AJ227" s="157">
        <f t="shared" si="83"/>
        <v>0</v>
      </c>
      <c r="AK227" s="157">
        <f t="shared" si="83"/>
        <v>0</v>
      </c>
      <c r="AL227" s="157">
        <f t="shared" si="83"/>
        <v>0</v>
      </c>
      <c r="AM227" s="157">
        <f t="shared" si="83"/>
        <v>0</v>
      </c>
      <c r="AN227" s="157">
        <f t="shared" si="83"/>
        <v>0</v>
      </c>
      <c r="AO227" s="157">
        <f t="shared" si="83"/>
        <v>0</v>
      </c>
      <c r="AP227" s="157">
        <f t="shared" si="83"/>
        <v>0</v>
      </c>
      <c r="AQ227" s="157">
        <f t="shared" si="83"/>
        <v>0</v>
      </c>
      <c r="AR227" s="157">
        <f t="shared" si="83"/>
        <v>0</v>
      </c>
      <c r="AS227" s="157">
        <f t="shared" si="84"/>
        <v>0</v>
      </c>
      <c r="AT227" s="157">
        <f t="shared" si="84"/>
        <v>0</v>
      </c>
      <c r="AU227" s="157">
        <f t="shared" si="84"/>
        <v>0</v>
      </c>
      <c r="AV227" s="157">
        <f t="shared" si="84"/>
        <v>0</v>
      </c>
    </row>
    <row r="228" spans="1:48">
      <c r="A228" s="185" t="s">
        <v>16</v>
      </c>
      <c r="B228" s="87" t="str">
        <f t="shared" si="81"/>
        <v>CNO</v>
      </c>
      <c r="C228" s="87" t="str">
        <f t="shared" si="81"/>
        <v>Commercial - Other</v>
      </c>
      <c r="E228" s="106"/>
      <c r="F228" s="106"/>
      <c r="I228" s="151"/>
      <c r="J228" s="157">
        <f t="shared" si="84"/>
        <v>0</v>
      </c>
      <c r="K228" s="157">
        <f t="shared" si="84"/>
        <v>0</v>
      </c>
      <c r="L228" s="157">
        <f t="shared" si="84"/>
        <v>0</v>
      </c>
      <c r="M228" s="157">
        <f t="shared" si="84"/>
        <v>0</v>
      </c>
      <c r="N228" s="157">
        <f t="shared" si="84"/>
        <v>0</v>
      </c>
      <c r="O228" s="157">
        <f t="shared" si="84"/>
        <v>0</v>
      </c>
      <c r="P228" s="157">
        <f t="shared" si="84"/>
        <v>0.23382419467651278</v>
      </c>
      <c r="Q228" s="157">
        <f t="shared" si="84"/>
        <v>0.45048130118964741</v>
      </c>
      <c r="R228" s="157">
        <f t="shared" si="84"/>
        <v>0.58647523515600009</v>
      </c>
      <c r="S228" s="157">
        <f t="shared" si="84"/>
        <v>0.85870323028878481</v>
      </c>
      <c r="T228" s="157">
        <f t="shared" si="84"/>
        <v>1.136555162592874</v>
      </c>
      <c r="U228" s="157">
        <f t="shared" si="84"/>
        <v>1.4249615652454106</v>
      </c>
      <c r="V228" s="157">
        <f t="shared" si="84"/>
        <v>1.7228770137489693</v>
      </c>
      <c r="W228" s="157">
        <f t="shared" si="84"/>
        <v>2.0198277067709354</v>
      </c>
      <c r="X228" s="157">
        <f t="shared" si="84"/>
        <v>2.3320722330492942</v>
      </c>
      <c r="Y228" s="157">
        <f t="shared" si="84"/>
        <v>2.6470238723463417</v>
      </c>
      <c r="Z228" s="157">
        <f t="shared" si="84"/>
        <v>2.9714029925530117</v>
      </c>
      <c r="AA228" s="157">
        <f t="shared" si="84"/>
        <v>3.2981958298749707</v>
      </c>
      <c r="AB228" s="157">
        <f t="shared" si="84"/>
        <v>3.6012698332962692</v>
      </c>
      <c r="AC228" s="157">
        <f t="shared" si="84"/>
        <v>3.9294375564697805</v>
      </c>
      <c r="AD228" s="157">
        <f t="shared" si="84"/>
        <v>4.2600657182108481</v>
      </c>
      <c r="AE228" s="157">
        <f t="shared" si="84"/>
        <v>4.5934342568462956</v>
      </c>
      <c r="AF228" s="157">
        <f t="shared" si="84"/>
        <v>4.9184322293467302</v>
      </c>
      <c r="AG228" s="157">
        <f t="shared" si="84"/>
        <v>5.2513014228587096</v>
      </c>
      <c r="AH228" s="157">
        <f t="shared" si="84"/>
        <v>5.5875636658174237</v>
      </c>
      <c r="AI228" s="157">
        <f t="shared" si="83"/>
        <v>5.9285323178253302</v>
      </c>
      <c r="AJ228" s="157">
        <f t="shared" si="83"/>
        <v>6.2653692675198087</v>
      </c>
      <c r="AK228" s="157">
        <f t="shared" si="83"/>
        <v>6.6060878942807761</v>
      </c>
      <c r="AL228" s="157">
        <f t="shared" si="83"/>
        <v>6.955651333888671</v>
      </c>
      <c r="AM228" s="157">
        <f t="shared" si="83"/>
        <v>7.32429240771223</v>
      </c>
      <c r="AN228" s="157">
        <f t="shared" si="83"/>
        <v>7.6889052421975972</v>
      </c>
      <c r="AO228" s="157">
        <f t="shared" si="83"/>
        <v>8.0496758241718709</v>
      </c>
      <c r="AP228" s="157">
        <f t="shared" si="83"/>
        <v>8.40677644368537</v>
      </c>
      <c r="AQ228" s="157">
        <f t="shared" si="83"/>
        <v>8.7603670579168362</v>
      </c>
      <c r="AR228" s="157">
        <f t="shared" si="83"/>
        <v>9.1400513647876789</v>
      </c>
      <c r="AS228" s="157">
        <f t="shared" si="84"/>
        <v>9.5155996900261925</v>
      </c>
      <c r="AT228" s="157">
        <f t="shared" si="84"/>
        <v>9.8871994684851501</v>
      </c>
      <c r="AU228" s="157">
        <f t="shared" si="84"/>
        <v>10.255024579302109</v>
      </c>
      <c r="AV228" s="157">
        <f t="shared" si="84"/>
        <v>10.63275921259706</v>
      </c>
    </row>
    <row r="229" spans="1:48" ht="15.75" thickBot="1">
      <c r="A229" s="185" t="s">
        <v>16</v>
      </c>
      <c r="B229" s="85"/>
      <c r="C229" s="85"/>
      <c r="D229" s="85"/>
      <c r="E229" s="85"/>
      <c r="F229" s="85"/>
      <c r="G229" s="85"/>
      <c r="H229" s="85"/>
      <c r="I229" s="152"/>
      <c r="J229" s="85"/>
      <c r="K229" s="85"/>
      <c r="L229" s="85"/>
      <c r="M229" s="85"/>
      <c r="N229" s="85"/>
      <c r="O229" s="85"/>
      <c r="P229" s="85"/>
      <c r="Q229" s="85"/>
      <c r="R229" s="85"/>
      <c r="S229" s="85"/>
      <c r="T229" s="85"/>
      <c r="U229" s="85"/>
      <c r="V229" s="85"/>
      <c r="W229" s="85"/>
      <c r="X229" s="85"/>
      <c r="Y229" s="85"/>
      <c r="Z229" s="85"/>
      <c r="AA229" s="85"/>
      <c r="AB229" s="85"/>
      <c r="AC229" s="85"/>
      <c r="AD229" s="85"/>
      <c r="AE229" s="85"/>
      <c r="AF229" s="85"/>
      <c r="AG229" s="85"/>
      <c r="AH229" s="85"/>
      <c r="AI229" s="85"/>
      <c r="AJ229" s="85"/>
      <c r="AK229" s="85"/>
      <c r="AL229" s="85"/>
      <c r="AM229" s="85"/>
      <c r="AN229" s="85"/>
      <c r="AO229" s="85"/>
      <c r="AP229" s="85"/>
      <c r="AQ229" s="85"/>
      <c r="AR229" s="85"/>
      <c r="AS229" s="85"/>
      <c r="AT229" s="85"/>
      <c r="AU229" s="85"/>
      <c r="AV229" s="85"/>
    </row>
    <row r="230" spans="1:48">
      <c r="A230" s="185" t="s">
        <v>16</v>
      </c>
      <c r="E230" s="106"/>
      <c r="F230" s="106"/>
      <c r="I230" s="151"/>
      <c r="J230" s="94"/>
      <c r="K230" s="94"/>
      <c r="L230" s="94"/>
      <c r="M230" s="94"/>
      <c r="N230" s="94"/>
      <c r="O230" s="94"/>
      <c r="P230" s="94"/>
      <c r="Q230" s="94"/>
      <c r="R230" s="94"/>
      <c r="S230" s="94"/>
      <c r="T230" s="94"/>
      <c r="U230" s="94"/>
      <c r="V230" s="94"/>
      <c r="W230" s="94"/>
      <c r="X230" s="94"/>
      <c r="Y230" s="94"/>
      <c r="Z230" s="94"/>
      <c r="AA230" s="94"/>
      <c r="AB230" s="94"/>
      <c r="AC230" s="94"/>
      <c r="AD230" s="94"/>
      <c r="AE230" s="94"/>
      <c r="AF230" s="94"/>
      <c r="AG230" s="94"/>
      <c r="AH230" s="94"/>
      <c r="AI230" s="94"/>
      <c r="AJ230" s="94"/>
      <c r="AK230" s="94"/>
      <c r="AL230" s="94"/>
      <c r="AM230" s="94"/>
      <c r="AN230" s="94"/>
      <c r="AO230" s="94"/>
      <c r="AP230" s="94"/>
      <c r="AQ230" s="94"/>
      <c r="AR230" s="94"/>
      <c r="AS230" s="94"/>
      <c r="AT230" s="94"/>
      <c r="AU230" s="94"/>
      <c r="AV230" s="94"/>
    </row>
    <row r="231" spans="1:48" ht="15.75" thickBot="1">
      <c r="A231" s="185" t="s">
        <v>16</v>
      </c>
      <c r="B231" s="85" t="s">
        <v>500</v>
      </c>
      <c r="C231" s="85"/>
      <c r="E231" s="106"/>
      <c r="F231" s="106"/>
      <c r="I231" s="151"/>
      <c r="J231" s="94"/>
      <c r="K231" s="94"/>
      <c r="L231" s="94"/>
      <c r="M231" s="94"/>
      <c r="N231" s="94"/>
      <c r="O231" s="94"/>
      <c r="P231" s="94"/>
      <c r="Q231" s="94"/>
      <c r="R231" s="94"/>
      <c r="S231" s="94"/>
      <c r="T231" s="94"/>
      <c r="U231" s="94"/>
      <c r="V231" s="94"/>
      <c r="W231" s="94"/>
      <c r="X231" s="94"/>
      <c r="Y231" s="94"/>
      <c r="Z231" s="94"/>
      <c r="AA231" s="94"/>
      <c r="AB231" s="94"/>
      <c r="AC231" s="94"/>
      <c r="AD231" s="94"/>
      <c r="AE231" s="94"/>
      <c r="AF231" s="94"/>
      <c r="AG231" s="94"/>
      <c r="AH231" s="94"/>
      <c r="AI231" s="94"/>
      <c r="AJ231" s="94"/>
      <c r="AK231" s="94"/>
      <c r="AL231" s="94"/>
      <c r="AM231" s="94"/>
      <c r="AN231" s="94"/>
      <c r="AO231" s="94"/>
      <c r="AP231" s="94"/>
      <c r="AQ231" s="94"/>
      <c r="AR231" s="94"/>
      <c r="AS231" s="94"/>
      <c r="AT231" s="94"/>
      <c r="AU231" s="94"/>
      <c r="AV231" s="94"/>
    </row>
    <row r="232" spans="1:48">
      <c r="A232" s="185" t="s">
        <v>16</v>
      </c>
      <c r="E232" s="106"/>
      <c r="F232" s="106"/>
      <c r="I232" s="151"/>
      <c r="J232" s="94"/>
      <c r="K232" s="94"/>
      <c r="L232" s="94"/>
      <c r="M232" s="94"/>
      <c r="N232" s="94"/>
      <c r="O232" s="94"/>
      <c r="P232" s="94"/>
      <c r="Q232" s="94"/>
      <c r="R232" s="94"/>
      <c r="S232" s="94"/>
      <c r="T232" s="94"/>
      <c r="U232" s="94"/>
      <c r="V232" s="94"/>
      <c r="W232" s="94"/>
      <c r="X232" s="94"/>
      <c r="Y232" s="94"/>
      <c r="Z232" s="94"/>
      <c r="AA232" s="94"/>
      <c r="AB232" s="94"/>
      <c r="AC232" s="94"/>
      <c r="AD232" s="94"/>
      <c r="AE232" s="94"/>
      <c r="AF232" s="94"/>
      <c r="AG232" s="94"/>
      <c r="AH232" s="94"/>
      <c r="AI232" s="94"/>
      <c r="AJ232" s="94"/>
      <c r="AK232" s="94"/>
      <c r="AL232" s="94"/>
      <c r="AM232" s="94"/>
      <c r="AN232" s="94"/>
      <c r="AO232" s="94"/>
      <c r="AP232" s="94"/>
      <c r="AQ232" s="94"/>
      <c r="AR232" s="94"/>
      <c r="AS232" s="94"/>
      <c r="AT232" s="94"/>
      <c r="AU232" s="94"/>
      <c r="AV232" s="94"/>
    </row>
    <row r="233" spans="1:48">
      <c r="A233" s="185" t="s">
        <v>16</v>
      </c>
      <c r="B233" s="87" t="str">
        <f t="shared" ref="B233:C241" si="85">B162</f>
        <v>CEC</v>
      </c>
      <c r="C233" s="87" t="str">
        <f t="shared" si="85"/>
        <v>Commercial - Cooling</v>
      </c>
      <c r="E233" s="106"/>
      <c r="F233" s="106"/>
      <c r="I233" s="151"/>
      <c r="J233" s="94">
        <f t="shared" ref="J233:AV239" si="86">J162+J174+J151</f>
        <v>139.66439435388435</v>
      </c>
      <c r="K233" s="94">
        <f t="shared" si="86"/>
        <v>135.88971000739755</v>
      </c>
      <c r="L233" s="94">
        <f t="shared" si="86"/>
        <v>132.41477017655598</v>
      </c>
      <c r="M233" s="94">
        <f t="shared" si="86"/>
        <v>128.63675213244647</v>
      </c>
      <c r="N233" s="94">
        <f t="shared" si="86"/>
        <v>124.69871312686325</v>
      </c>
      <c r="O233" s="94">
        <f t="shared" si="86"/>
        <v>120.28334032399778</v>
      </c>
      <c r="P233" s="94">
        <f t="shared" si="86"/>
        <v>119.49413059299039</v>
      </c>
      <c r="Q233" s="94">
        <f t="shared" si="86"/>
        <v>118.67455311472101</v>
      </c>
      <c r="R233" s="94">
        <f t="shared" si="86"/>
        <v>117.71228639212903</v>
      </c>
      <c r="S233" s="94">
        <f t="shared" si="86"/>
        <v>116.99101112356846</v>
      </c>
      <c r="T233" s="94">
        <f t="shared" si="86"/>
        <v>116.27968432739939</v>
      </c>
      <c r="U233" s="94">
        <f t="shared" si="86"/>
        <v>115.58702787794117</v>
      </c>
      <c r="V233" s="94">
        <f t="shared" si="86"/>
        <v>114.91119246990583</v>
      </c>
      <c r="W233" s="94">
        <f t="shared" si="86"/>
        <v>114.23365045616333</v>
      </c>
      <c r="X233" s="94">
        <f t="shared" si="86"/>
        <v>113.58316249250655</v>
      </c>
      <c r="Y233" s="94">
        <f t="shared" si="86"/>
        <v>112.9374632806275</v>
      </c>
      <c r="Z233" s="94">
        <f t="shared" si="86"/>
        <v>112.30844082574161</v>
      </c>
      <c r="AA233" s="94">
        <f t="shared" si="86"/>
        <v>111.68368811949459</v>
      </c>
      <c r="AB233" s="94">
        <f t="shared" si="86"/>
        <v>111.01697794519069</v>
      </c>
      <c r="AC233" s="94">
        <f t="shared" si="86"/>
        <v>110.40052111109705</v>
      </c>
      <c r="AD233" s="94">
        <f t="shared" si="86"/>
        <v>109.78846063723003</v>
      </c>
      <c r="AE233" s="94">
        <f t="shared" si="86"/>
        <v>109.18129672292095</v>
      </c>
      <c r="AF233" s="94">
        <f t="shared" si="86"/>
        <v>108.5591761157214</v>
      </c>
      <c r="AG233" s="94">
        <f t="shared" si="86"/>
        <v>107.95111996168353</v>
      </c>
      <c r="AH233" s="94">
        <f t="shared" si="86"/>
        <v>107.34912657541049</v>
      </c>
      <c r="AI233" s="94">
        <f t="shared" si="86"/>
        <v>106.75554269377911</v>
      </c>
      <c r="AJ233" s="94">
        <f t="shared" si="86"/>
        <v>106.15457620485212</v>
      </c>
      <c r="AK233" s="94">
        <f t="shared" si="86"/>
        <v>105.56054557317145</v>
      </c>
      <c r="AL233" s="94">
        <f t="shared" si="86"/>
        <v>104.98231902777255</v>
      </c>
      <c r="AM233" s="94">
        <f t="shared" si="86"/>
        <v>104.45162353417012</v>
      </c>
      <c r="AN233" s="94">
        <f t="shared" si="86"/>
        <v>103.91358341035541</v>
      </c>
      <c r="AO233" s="94">
        <f t="shared" si="86"/>
        <v>103.36853776340591</v>
      </c>
      <c r="AP233" s="94">
        <f t="shared" si="86"/>
        <v>102.81680072726519</v>
      </c>
      <c r="AQ233" s="94">
        <f t="shared" si="86"/>
        <v>102.25866394953132</v>
      </c>
      <c r="AR233" s="94">
        <f t="shared" si="86"/>
        <v>101.74810342216871</v>
      </c>
      <c r="AS233" s="94">
        <f t="shared" si="86"/>
        <v>101.23000181963553</v>
      </c>
      <c r="AT233" s="94">
        <f t="shared" si="86"/>
        <v>100.70470088917349</v>
      </c>
      <c r="AU233" s="94">
        <f t="shared" si="86"/>
        <v>100.17251766208571</v>
      </c>
      <c r="AV233" s="94">
        <f t="shared" si="86"/>
        <v>99.658402323241631</v>
      </c>
    </row>
    <row r="234" spans="1:48">
      <c r="A234" s="185" t="s">
        <v>16</v>
      </c>
      <c r="B234" s="87" t="str">
        <f t="shared" si="85"/>
        <v>CEH</v>
      </c>
      <c r="C234" s="87" t="str">
        <f t="shared" si="85"/>
        <v>Commercial - Space Heating</v>
      </c>
      <c r="E234" s="106"/>
      <c r="F234" s="106"/>
      <c r="I234" s="151"/>
      <c r="J234" s="94">
        <f t="shared" si="86"/>
        <v>7.8517549075018991</v>
      </c>
      <c r="K234" s="94">
        <f t="shared" si="86"/>
        <v>8.5460135786417499</v>
      </c>
      <c r="L234" s="94">
        <f t="shared" si="86"/>
        <v>9.2786471163971243</v>
      </c>
      <c r="M234" s="94">
        <f t="shared" si="86"/>
        <v>10.011796090361486</v>
      </c>
      <c r="N234" s="94">
        <f t="shared" si="86"/>
        <v>10.753166346186294</v>
      </c>
      <c r="O234" s="94">
        <f t="shared" si="86"/>
        <v>11.470981711368385</v>
      </c>
      <c r="P234" s="94">
        <f t="shared" si="86"/>
        <v>11.395717669262183</v>
      </c>
      <c r="Q234" s="94">
        <f t="shared" si="86"/>
        <v>11.317557566300676</v>
      </c>
      <c r="R234" s="94">
        <f t="shared" si="86"/>
        <v>11.22578971260973</v>
      </c>
      <c r="S234" s="94">
        <f t="shared" si="86"/>
        <v>11.157004331423655</v>
      </c>
      <c r="T234" s="94">
        <f t="shared" si="86"/>
        <v>11.089167699620091</v>
      </c>
      <c r="U234" s="94">
        <f t="shared" si="86"/>
        <v>11.023111590414988</v>
      </c>
      <c r="V234" s="94">
        <f t="shared" si="86"/>
        <v>10.958659642334844</v>
      </c>
      <c r="W234" s="94">
        <f t="shared" si="86"/>
        <v>10.894044941517684</v>
      </c>
      <c r="X234" s="94">
        <f t="shared" si="86"/>
        <v>10.832010286390272</v>
      </c>
      <c r="Y234" s="94">
        <f t="shared" si="86"/>
        <v>10.77043231698438</v>
      </c>
      <c r="Z234" s="94">
        <f t="shared" si="86"/>
        <v>10.710444748825729</v>
      </c>
      <c r="AA234" s="94">
        <f t="shared" si="86"/>
        <v>10.650864370959738</v>
      </c>
      <c r="AB234" s="94">
        <f t="shared" si="86"/>
        <v>10.587282663005645</v>
      </c>
      <c r="AC234" s="94">
        <f t="shared" si="86"/>
        <v>10.528493432088972</v>
      </c>
      <c r="AD234" s="94">
        <f t="shared" si="86"/>
        <v>10.470123465948456</v>
      </c>
      <c r="AE234" s="94">
        <f t="shared" si="86"/>
        <v>10.412220466762683</v>
      </c>
      <c r="AF234" s="94">
        <f t="shared" si="86"/>
        <v>10.352891102544589</v>
      </c>
      <c r="AG234" s="94">
        <f t="shared" si="86"/>
        <v>10.294903013723101</v>
      </c>
      <c r="AH234" s="94">
        <f t="shared" si="86"/>
        <v>10.237493108862612</v>
      </c>
      <c r="AI234" s="94">
        <f t="shared" si="86"/>
        <v>10.180885187665746</v>
      </c>
      <c r="AJ234" s="94">
        <f t="shared" si="86"/>
        <v>10.123573214244839</v>
      </c>
      <c r="AK234" s="94">
        <f t="shared" si="86"/>
        <v>10.066922688131688</v>
      </c>
      <c r="AL234" s="94">
        <f t="shared" si="86"/>
        <v>10.01177933985559</v>
      </c>
      <c r="AM234" s="94">
        <f t="shared" si="86"/>
        <v>9.9611688539394088</v>
      </c>
      <c r="AN234" s="94">
        <f t="shared" si="86"/>
        <v>9.9098579375345572</v>
      </c>
      <c r="AO234" s="94">
        <f t="shared" si="86"/>
        <v>9.8578789300412719</v>
      </c>
      <c r="AP234" s="94">
        <f t="shared" si="86"/>
        <v>9.8052617892634455</v>
      </c>
      <c r="AQ234" s="94">
        <f t="shared" si="86"/>
        <v>9.7520343285645499</v>
      </c>
      <c r="AR234" s="94">
        <f t="shared" si="86"/>
        <v>9.7033440406481404</v>
      </c>
      <c r="AS234" s="94">
        <f t="shared" si="86"/>
        <v>9.6539345880067344</v>
      </c>
      <c r="AT234" s="94">
        <f t="shared" si="86"/>
        <v>9.6038385618233573</v>
      </c>
      <c r="AU234" s="94">
        <f t="shared" si="86"/>
        <v>9.5530861962124849</v>
      </c>
      <c r="AV234" s="94">
        <f t="shared" si="86"/>
        <v>9.5040568989421459</v>
      </c>
    </row>
    <row r="235" spans="1:48">
      <c r="A235" s="185" t="s">
        <v>16</v>
      </c>
      <c r="B235" s="87" t="str">
        <f t="shared" si="85"/>
        <v>CEK</v>
      </c>
      <c r="C235" s="87" t="str">
        <f t="shared" si="85"/>
        <v>Commercial - Cooking</v>
      </c>
      <c r="E235" s="106"/>
      <c r="F235" s="106"/>
      <c r="I235" s="151"/>
      <c r="J235" s="94">
        <f t="shared" si="86"/>
        <v>9.8944997565297612</v>
      </c>
      <c r="K235" s="94">
        <f t="shared" si="86"/>
        <v>9.5753700759835159</v>
      </c>
      <c r="L235" s="94">
        <f t="shared" si="86"/>
        <v>9.2762478476592491</v>
      </c>
      <c r="M235" s="94">
        <f t="shared" si="86"/>
        <v>8.9546526553297614</v>
      </c>
      <c r="N235" s="94">
        <f t="shared" si="86"/>
        <v>8.6207385707018886</v>
      </c>
      <c r="O235" s="94">
        <f t="shared" si="86"/>
        <v>8.2528207241540805</v>
      </c>
      <c r="P235" s="94">
        <f t="shared" si="86"/>
        <v>8.1986718585986544</v>
      </c>
      <c r="Q235" s="94">
        <f t="shared" si="86"/>
        <v>8.1424394162712925</v>
      </c>
      <c r="R235" s="94">
        <f t="shared" si="86"/>
        <v>8.0764168504780613</v>
      </c>
      <c r="S235" s="94">
        <f t="shared" si="86"/>
        <v>8.0269290704732601</v>
      </c>
      <c r="T235" s="94">
        <f t="shared" si="86"/>
        <v>7.9781238701083765</v>
      </c>
      <c r="U235" s="94">
        <f t="shared" si="86"/>
        <v>7.9305996702864388</v>
      </c>
      <c r="V235" s="94">
        <f t="shared" si="86"/>
        <v>7.8842295873927695</v>
      </c>
      <c r="W235" s="94">
        <f t="shared" si="86"/>
        <v>7.8377424117170911</v>
      </c>
      <c r="X235" s="94">
        <f t="shared" si="86"/>
        <v>7.7931114550707319</v>
      </c>
      <c r="Y235" s="94">
        <f t="shared" si="86"/>
        <v>7.748809061879693</v>
      </c>
      <c r="Z235" s="94">
        <f t="shared" si="86"/>
        <v>7.7056508860453885</v>
      </c>
      <c r="AA235" s="94">
        <f t="shared" si="86"/>
        <v>7.662785664081162</v>
      </c>
      <c r="AB235" s="94">
        <f t="shared" si="86"/>
        <v>7.617041677185898</v>
      </c>
      <c r="AC235" s="94">
        <f t="shared" si="86"/>
        <v>7.57474564747596</v>
      </c>
      <c r="AD235" s="94">
        <f t="shared" si="86"/>
        <v>7.5327512586473899</v>
      </c>
      <c r="AE235" s="94">
        <f t="shared" si="86"/>
        <v>7.4910928301279336</v>
      </c>
      <c r="AF235" s="94">
        <f t="shared" si="86"/>
        <v>7.4484082004344954</v>
      </c>
      <c r="AG235" s="94">
        <f t="shared" si="86"/>
        <v>7.4066885540065188</v>
      </c>
      <c r="AH235" s="94">
        <f t="shared" si="86"/>
        <v>7.3653848831851452</v>
      </c>
      <c r="AI235" s="94">
        <f t="shared" si="86"/>
        <v>7.3246582011138281</v>
      </c>
      <c r="AJ235" s="94">
        <f t="shared" si="86"/>
        <v>7.283424987262439</v>
      </c>
      <c r="AK235" s="94">
        <f t="shared" si="86"/>
        <v>7.2426676529989322</v>
      </c>
      <c r="AL235" s="94">
        <f t="shared" si="86"/>
        <v>7.2029946608433235</v>
      </c>
      <c r="AM235" s="94">
        <f t="shared" si="86"/>
        <v>7.166582845574311</v>
      </c>
      <c r="AN235" s="94">
        <f t="shared" si="86"/>
        <v>7.1296671041899771</v>
      </c>
      <c r="AO235" s="94">
        <f t="shared" si="86"/>
        <v>7.0922707033364727</v>
      </c>
      <c r="AP235" s="94">
        <f t="shared" si="86"/>
        <v>7.0544151962156985</v>
      </c>
      <c r="AQ235" s="94">
        <f t="shared" si="86"/>
        <v>7.0161205932076065</v>
      </c>
      <c r="AR235" s="94">
        <f t="shared" si="86"/>
        <v>6.9810902682282423</v>
      </c>
      <c r="AS235" s="94">
        <f t="shared" si="86"/>
        <v>6.9455425387497804</v>
      </c>
      <c r="AT235" s="94">
        <f t="shared" si="86"/>
        <v>6.9095008525640029</v>
      </c>
      <c r="AU235" s="94">
        <f t="shared" si="86"/>
        <v>6.872986961665009</v>
      </c>
      <c r="AV235" s="94">
        <f t="shared" si="86"/>
        <v>6.837712735728239</v>
      </c>
    </row>
    <row r="236" spans="1:48">
      <c r="A236" s="185" t="s">
        <v>16</v>
      </c>
      <c r="B236" s="87" t="str">
        <f t="shared" si="85"/>
        <v>CEL</v>
      </c>
      <c r="C236" s="87" t="str">
        <f t="shared" si="85"/>
        <v>Commercial - Lighting</v>
      </c>
      <c r="E236" s="106"/>
      <c r="F236" s="106"/>
      <c r="I236" s="151"/>
      <c r="J236" s="94">
        <f t="shared" si="86"/>
        <v>121.54027190568891</v>
      </c>
      <c r="K236" s="94">
        <f t="shared" si="86"/>
        <v>118.25542494127434</v>
      </c>
      <c r="L236" s="94">
        <f t="shared" si="86"/>
        <v>115.23142491714327</v>
      </c>
      <c r="M236" s="94">
        <f t="shared" si="86"/>
        <v>111.94367686603883</v>
      </c>
      <c r="N236" s="94">
        <f t="shared" si="86"/>
        <v>108.51667362925802</v>
      </c>
      <c r="O236" s="94">
        <f t="shared" si="86"/>
        <v>104.67427977141129</v>
      </c>
      <c r="P236" s="94">
        <f t="shared" si="86"/>
        <v>103.98748507516102</v>
      </c>
      <c r="Q236" s="94">
        <f t="shared" si="86"/>
        <v>103.27426342681275</v>
      </c>
      <c r="R236" s="94">
        <f t="shared" si="86"/>
        <v>102.43686918864145</v>
      </c>
      <c r="S236" s="94">
        <f t="shared" si="86"/>
        <v>101.80919316093768</v>
      </c>
      <c r="T236" s="94">
        <f t="shared" si="86"/>
        <v>101.1901746013388</v>
      </c>
      <c r="U236" s="94">
        <f t="shared" si="86"/>
        <v>100.58740355440274</v>
      </c>
      <c r="V236" s="94">
        <f t="shared" si="86"/>
        <v>99.999270697520302</v>
      </c>
      <c r="W236" s="94">
        <f t="shared" si="86"/>
        <v>99.409652699613574</v>
      </c>
      <c r="X236" s="94">
        <f t="shared" si="86"/>
        <v>98.843577972121466</v>
      </c>
      <c r="Y236" s="94">
        <f t="shared" si="86"/>
        <v>98.28167056440941</v>
      </c>
      <c r="Z236" s="94">
        <f t="shared" si="86"/>
        <v>97.734275785981467</v>
      </c>
      <c r="AA236" s="94">
        <f t="shared" si="86"/>
        <v>97.190596674763782</v>
      </c>
      <c r="AB236" s="94">
        <f t="shared" si="86"/>
        <v>96.610404878264347</v>
      </c>
      <c r="AC236" s="94">
        <f t="shared" si="86"/>
        <v>96.073945091355341</v>
      </c>
      <c r="AD236" s="94">
        <f t="shared" si="86"/>
        <v>95.54131115297281</v>
      </c>
      <c r="AE236" s="94">
        <f t="shared" si="86"/>
        <v>95.012938352032108</v>
      </c>
      <c r="AF236" s="94">
        <f t="shared" si="86"/>
        <v>94.47154977474321</v>
      </c>
      <c r="AG236" s="94">
        <f t="shared" si="86"/>
        <v>93.942400519218324</v>
      </c>
      <c r="AH236" s="94">
        <f t="shared" si="86"/>
        <v>93.418527271555362</v>
      </c>
      <c r="AI236" s="94">
        <f t="shared" si="86"/>
        <v>92.901972234703862</v>
      </c>
      <c r="AJ236" s="94">
        <f t="shared" si="86"/>
        <v>92.378992624844813</v>
      </c>
      <c r="AK236" s="94">
        <f t="shared" si="86"/>
        <v>91.862048812294859</v>
      </c>
      <c r="AL236" s="94">
        <f t="shared" si="86"/>
        <v>91.358858204008556</v>
      </c>
      <c r="AM236" s="94">
        <f t="shared" si="86"/>
        <v>90.897030585810256</v>
      </c>
      <c r="AN236" s="94">
        <f t="shared" si="86"/>
        <v>90.428811443435904</v>
      </c>
      <c r="AO236" s="94">
        <f t="shared" si="86"/>
        <v>89.954495878343479</v>
      </c>
      <c r="AP236" s="94">
        <f t="shared" si="86"/>
        <v>89.474357259598094</v>
      </c>
      <c r="AQ236" s="94">
        <f t="shared" si="86"/>
        <v>88.988649387952194</v>
      </c>
      <c r="AR236" s="94">
        <f t="shared" si="86"/>
        <v>88.544343839590809</v>
      </c>
      <c r="AS236" s="94">
        <f t="shared" si="86"/>
        <v>88.093475814580074</v>
      </c>
      <c r="AT236" s="94">
        <f t="shared" si="86"/>
        <v>87.636342711930482</v>
      </c>
      <c r="AU236" s="94">
        <f t="shared" si="86"/>
        <v>87.173220422078998</v>
      </c>
      <c r="AV236" s="94">
        <f t="shared" si="86"/>
        <v>86.725821366914857</v>
      </c>
    </row>
    <row r="237" spans="1:48">
      <c r="A237" s="185" t="s">
        <v>16</v>
      </c>
      <c r="B237" s="87" t="str">
        <f t="shared" si="85"/>
        <v>CER</v>
      </c>
      <c r="C237" s="87" t="str">
        <f t="shared" si="85"/>
        <v>Commercial - Refrigeration</v>
      </c>
      <c r="E237" s="106"/>
      <c r="F237" s="106"/>
      <c r="I237" s="151"/>
      <c r="J237" s="94">
        <f t="shared" si="86"/>
        <v>29.566390373747055</v>
      </c>
      <c r="K237" s="94">
        <f t="shared" si="86"/>
        <v>28.767304884262032</v>
      </c>
      <c r="L237" s="94">
        <f t="shared" si="86"/>
        <v>28.031674102778698</v>
      </c>
      <c r="M237" s="94">
        <f t="shared" si="86"/>
        <v>27.231882882919415</v>
      </c>
      <c r="N237" s="94">
        <f t="shared" si="86"/>
        <v>26.398215869327572</v>
      </c>
      <c r="O237" s="94">
        <f t="shared" si="86"/>
        <v>25.463499211305457</v>
      </c>
      <c r="P237" s="94">
        <f t="shared" si="86"/>
        <v>25.296426686474252</v>
      </c>
      <c r="Q237" s="94">
        <f t="shared" si="86"/>
        <v>25.12292543172607</v>
      </c>
      <c r="R237" s="94">
        <f t="shared" si="86"/>
        <v>24.919217438035627</v>
      </c>
      <c r="S237" s="94">
        <f t="shared" si="86"/>
        <v>24.766526365584077</v>
      </c>
      <c r="T237" s="94">
        <f t="shared" si="86"/>
        <v>24.615941344712173</v>
      </c>
      <c r="U237" s="94">
        <f t="shared" si="86"/>
        <v>24.469308761122655</v>
      </c>
      <c r="V237" s="94">
        <f t="shared" si="86"/>
        <v>24.326237124326362</v>
      </c>
      <c r="W237" s="94">
        <f t="shared" si="86"/>
        <v>24.182804205968036</v>
      </c>
      <c r="X237" s="94">
        <f t="shared" si="86"/>
        <v>24.045098521166448</v>
      </c>
      <c r="Y237" s="94">
        <f t="shared" si="86"/>
        <v>23.908406595849652</v>
      </c>
      <c r="Z237" s="94">
        <f t="shared" si="86"/>
        <v>23.775245072892808</v>
      </c>
      <c r="AA237" s="94">
        <f t="shared" si="86"/>
        <v>23.642987438544353</v>
      </c>
      <c r="AB237" s="94">
        <f t="shared" si="86"/>
        <v>23.501847577015504</v>
      </c>
      <c r="AC237" s="94">
        <f t="shared" si="86"/>
        <v>23.371346145425182</v>
      </c>
      <c r="AD237" s="94">
        <f t="shared" si="86"/>
        <v>23.24177540560699</v>
      </c>
      <c r="AE237" s="94">
        <f t="shared" si="86"/>
        <v>23.11324124774691</v>
      </c>
      <c r="AF237" s="94">
        <f t="shared" si="86"/>
        <v>22.981540818177098</v>
      </c>
      <c r="AG237" s="94">
        <f t="shared" si="86"/>
        <v>22.852817776756176</v>
      </c>
      <c r="AH237" s="94">
        <f t="shared" si="86"/>
        <v>22.725378198878772</v>
      </c>
      <c r="AI237" s="94">
        <f t="shared" si="86"/>
        <v>22.599718879300092</v>
      </c>
      <c r="AJ237" s="94">
        <f t="shared" si="86"/>
        <v>22.472496691459334</v>
      </c>
      <c r="AK237" s="94">
        <f t="shared" si="86"/>
        <v>22.346742796692624</v>
      </c>
      <c r="AL237" s="94">
        <f t="shared" si="86"/>
        <v>22.224334563407275</v>
      </c>
      <c r="AM237" s="94">
        <f t="shared" si="86"/>
        <v>22.111988462555829</v>
      </c>
      <c r="AN237" s="94">
        <f t="shared" si="86"/>
        <v>21.998087533038049</v>
      </c>
      <c r="AO237" s="94">
        <f t="shared" si="86"/>
        <v>21.882703562457923</v>
      </c>
      <c r="AP237" s="94">
        <f t="shared" si="86"/>
        <v>21.765903051707436</v>
      </c>
      <c r="AQ237" s="94">
        <f t="shared" si="86"/>
        <v>21.647747741409724</v>
      </c>
      <c r="AR237" s="94">
        <f t="shared" si="86"/>
        <v>21.539664131902352</v>
      </c>
      <c r="AS237" s="94">
        <f t="shared" si="86"/>
        <v>21.429984107121335</v>
      </c>
      <c r="AT237" s="94">
        <f t="shared" si="86"/>
        <v>21.318780013582792</v>
      </c>
      <c r="AU237" s="94">
        <f t="shared" si="86"/>
        <v>21.206118965538089</v>
      </c>
      <c r="AV237" s="94">
        <f t="shared" si="86"/>
        <v>21.097282816742137</v>
      </c>
    </row>
    <row r="238" spans="1:48">
      <c r="A238" s="185" t="s">
        <v>16</v>
      </c>
      <c r="B238" s="87" t="str">
        <f t="shared" si="85"/>
        <v>CEW</v>
      </c>
      <c r="C238" s="87" t="str">
        <f t="shared" si="85"/>
        <v>Commercial - Water Heating</v>
      </c>
      <c r="E238" s="106"/>
      <c r="F238" s="106"/>
      <c r="I238" s="151"/>
      <c r="J238" s="94">
        <f t="shared" si="86"/>
        <v>9.6831090230750316</v>
      </c>
      <c r="K238" s="94">
        <f t="shared" si="86"/>
        <v>9.6736255038926586</v>
      </c>
      <c r="L238" s="94">
        <f t="shared" si="86"/>
        <v>9.6909124953046728</v>
      </c>
      <c r="M238" s="94">
        <f t="shared" si="86"/>
        <v>9.6920710399778542</v>
      </c>
      <c r="N238" s="94">
        <f t="shared" si="86"/>
        <v>9.6869258063486576</v>
      </c>
      <c r="O238" s="94">
        <f t="shared" si="86"/>
        <v>9.6495991200814473</v>
      </c>
      <c r="P238" s="94">
        <f t="shared" si="86"/>
        <v>9.5862856345615484</v>
      </c>
      <c r="Q238" s="94">
        <f t="shared" si="86"/>
        <v>9.5205359298073908</v>
      </c>
      <c r="R238" s="94">
        <f t="shared" si="86"/>
        <v>9.4433391368467383</v>
      </c>
      <c r="S238" s="94">
        <f t="shared" si="86"/>
        <v>9.3854756191052893</v>
      </c>
      <c r="T238" s="94">
        <f t="shared" si="86"/>
        <v>9.3284102066556969</v>
      </c>
      <c r="U238" s="94">
        <f t="shared" si="86"/>
        <v>9.2728426023041131</v>
      </c>
      <c r="V238" s="94">
        <f t="shared" si="86"/>
        <v>9.2186244475610621</v>
      </c>
      <c r="W238" s="94">
        <f t="shared" si="86"/>
        <v>9.1642693822459727</v>
      </c>
      <c r="X238" s="94">
        <f t="shared" si="86"/>
        <v>9.1120846984417305</v>
      </c>
      <c r="Y238" s="94">
        <f t="shared" si="86"/>
        <v>9.0602841869993114</v>
      </c>
      <c r="Z238" s="94">
        <f t="shared" si="86"/>
        <v>9.0098215501052206</v>
      </c>
      <c r="AA238" s="94">
        <f t="shared" si="86"/>
        <v>8.9597014491150837</v>
      </c>
      <c r="AB238" s="94">
        <f t="shared" si="86"/>
        <v>8.906215356244843</v>
      </c>
      <c r="AC238" s="94">
        <f t="shared" si="86"/>
        <v>8.8567607825040824</v>
      </c>
      <c r="AD238" s="94">
        <f t="shared" si="86"/>
        <v>8.8076589019431104</v>
      </c>
      <c r="AE238" s="94">
        <f t="shared" si="86"/>
        <v>8.758949842504947</v>
      </c>
      <c r="AF238" s="94">
        <f t="shared" si="86"/>
        <v>8.7090408987755268</v>
      </c>
      <c r="AG238" s="94">
        <f t="shared" si="86"/>
        <v>8.6602602603832182</v>
      </c>
      <c r="AH238" s="94">
        <f t="shared" si="86"/>
        <v>8.611966000888696</v>
      </c>
      <c r="AI238" s="94">
        <f t="shared" si="86"/>
        <v>8.5643463846853525</v>
      </c>
      <c r="AJ238" s="94">
        <f t="shared" si="86"/>
        <v>8.5161345069047076</v>
      </c>
      <c r="AK238" s="94">
        <f t="shared" si="86"/>
        <v>8.4684790506683996</v>
      </c>
      <c r="AL238" s="94">
        <f t="shared" si="86"/>
        <v>8.4220914599292378</v>
      </c>
      <c r="AM238" s="94">
        <f t="shared" si="86"/>
        <v>8.3795169957157967</v>
      </c>
      <c r="AN238" s="94">
        <f t="shared" si="86"/>
        <v>8.3363533165949306</v>
      </c>
      <c r="AO238" s="94">
        <f t="shared" si="86"/>
        <v>8.2926276270601953</v>
      </c>
      <c r="AP238" s="94">
        <f t="shared" si="86"/>
        <v>8.2483651281628507</v>
      </c>
      <c r="AQ238" s="94">
        <f t="shared" si="86"/>
        <v>8.2035892170117428</v>
      </c>
      <c r="AR238" s="94">
        <f t="shared" si="86"/>
        <v>8.1626300583924696</v>
      </c>
      <c r="AS238" s="94">
        <f t="shared" si="86"/>
        <v>8.1210659252843413</v>
      </c>
      <c r="AT238" s="94">
        <f t="shared" si="86"/>
        <v>8.0789242339851928</v>
      </c>
      <c r="AU238" s="94">
        <f t="shared" si="86"/>
        <v>8.0362304179837771</v>
      </c>
      <c r="AV238" s="94">
        <f t="shared" si="86"/>
        <v>7.9949860785102702</v>
      </c>
    </row>
    <row r="239" spans="1:48">
      <c r="A239" s="185" t="s">
        <v>16</v>
      </c>
      <c r="B239" s="87" t="str">
        <f t="shared" si="85"/>
        <v>CEG</v>
      </c>
      <c r="C239" s="87" t="str">
        <f t="shared" si="85"/>
        <v>Commercial - Public lights</v>
      </c>
      <c r="E239" s="106"/>
      <c r="F239" s="106"/>
      <c r="I239" s="151"/>
      <c r="J239" s="94">
        <f t="shared" si="86"/>
        <v>10.30055287377321</v>
      </c>
      <c r="K239" s="94">
        <f t="shared" si="86"/>
        <v>10.022161692737667</v>
      </c>
      <c r="L239" s="94">
        <f t="shared" si="86"/>
        <v>9.765877321718456</v>
      </c>
      <c r="M239" s="94">
        <f t="shared" si="86"/>
        <v>9.4872402732319685</v>
      </c>
      <c r="N239" s="94">
        <f t="shared" si="86"/>
        <v>9.1968013307681549</v>
      </c>
      <c r="O239" s="94">
        <f t="shared" si="86"/>
        <v>8.8711579824850144</v>
      </c>
      <c r="P239" s="94">
        <f t="shared" si="86"/>
        <v>8.9349746302512507</v>
      </c>
      <c r="Q239" s="94">
        <f t="shared" si="86"/>
        <v>8.9875928409435009</v>
      </c>
      <c r="R239" s="94">
        <f t="shared" si="86"/>
        <v>8.9875928409435009</v>
      </c>
      <c r="S239" s="94">
        <f t="shared" si="86"/>
        <v>9.0764610605732052</v>
      </c>
      <c r="T239" s="94">
        <f t="shared" si="86"/>
        <v>9.1689978875940721</v>
      </c>
      <c r="U239" s="94">
        <f t="shared" si="86"/>
        <v>9.2684196080180303</v>
      </c>
      <c r="V239" s="94">
        <f t="shared" si="86"/>
        <v>9.3740442704076212</v>
      </c>
      <c r="W239" s="94">
        <f t="shared" si="86"/>
        <v>9.479039603382132</v>
      </c>
      <c r="X239" s="94">
        <f t="shared" si="86"/>
        <v>9.5940114115580197</v>
      </c>
      <c r="Y239" s="94">
        <f t="shared" si="86"/>
        <v>9.7107491240330788</v>
      </c>
      <c r="Z239" s="94">
        <f t="shared" si="86"/>
        <v>9.8336365720211045</v>
      </c>
      <c r="AA239" s="94">
        <f t="shared" si="86"/>
        <v>9.9580985362563066</v>
      </c>
      <c r="AB239" s="94">
        <f t="shared" si="86"/>
        <v>10.067088227827853</v>
      </c>
      <c r="AC239" s="94">
        <f t="shared" si="86"/>
        <v>10.194609385143192</v>
      </c>
      <c r="AD239" s="94">
        <f t="shared" si="86"/>
        <v>10.323751748105698</v>
      </c>
      <c r="AE239" s="94">
        <f t="shared" ref="K239:AV241" si="87">AE168+AE180+AE157</f>
        <v>10.454699770658788</v>
      </c>
      <c r="AF239" s="94">
        <f t="shared" si="87"/>
        <v>10.580132350043721</v>
      </c>
      <c r="AG239" s="94">
        <f t="shared" si="87"/>
        <v>10.710751349493071</v>
      </c>
      <c r="AH239" s="94">
        <f t="shared" si="87"/>
        <v>10.843606060492677</v>
      </c>
      <c r="AI239" s="94">
        <f t="shared" si="87"/>
        <v>10.979561867788309</v>
      </c>
      <c r="AJ239" s="94">
        <f t="shared" si="87"/>
        <v>11.112795258352513</v>
      </c>
      <c r="AK239" s="94">
        <f t="shared" si="87"/>
        <v>11.248586321708745</v>
      </c>
      <c r="AL239" s="94">
        <f t="shared" si="87"/>
        <v>11.390205313762191</v>
      </c>
      <c r="AM239" s="94">
        <f t="shared" si="87"/>
        <v>11.549351898100014</v>
      </c>
      <c r="AN239" s="94">
        <f t="shared" si="87"/>
        <v>11.705790070168915</v>
      </c>
      <c r="AO239" s="94">
        <f t="shared" si="87"/>
        <v>11.859644879391753</v>
      </c>
      <c r="AP239" s="94">
        <f t="shared" si="87"/>
        <v>12.011032166076641</v>
      </c>
      <c r="AQ239" s="94">
        <f t="shared" si="87"/>
        <v>12.160059478447263</v>
      </c>
      <c r="AR239" s="94">
        <f t="shared" si="87"/>
        <v>12.326631050568276</v>
      </c>
      <c r="AS239" s="94">
        <f t="shared" si="87"/>
        <v>12.49042176920552</v>
      </c>
      <c r="AT239" s="94">
        <f t="shared" si="87"/>
        <v>12.651557657371113</v>
      </c>
      <c r="AU239" s="94">
        <f t="shared" si="87"/>
        <v>12.810155623806043</v>
      </c>
      <c r="AV239" s="94">
        <f t="shared" si="87"/>
        <v>12.975416320532121</v>
      </c>
    </row>
    <row r="240" spans="1:48">
      <c r="A240" s="185" t="s">
        <v>16</v>
      </c>
      <c r="B240" s="87" t="str">
        <f t="shared" si="85"/>
        <v>CET</v>
      </c>
      <c r="C240" s="87" t="str">
        <f t="shared" si="85"/>
        <v>Commercial - Public Water</v>
      </c>
      <c r="E240" s="106"/>
      <c r="F240" s="106"/>
      <c r="I240" s="151"/>
      <c r="J240" s="94">
        <f t="shared" ref="J240:J241" si="88">J169+J181+J158</f>
        <v>3.5593512487513528</v>
      </c>
      <c r="K240" s="94">
        <f t="shared" si="87"/>
        <v>3.4631533057862538</v>
      </c>
      <c r="L240" s="94">
        <f t="shared" si="87"/>
        <v>3.3745943607275568</v>
      </c>
      <c r="M240" s="94">
        <f t="shared" si="87"/>
        <v>3.2783114583792798</v>
      </c>
      <c r="N240" s="94">
        <f t="shared" si="87"/>
        <v>3.1779504170630659</v>
      </c>
      <c r="O240" s="94">
        <f t="shared" si="87"/>
        <v>3.0654245097100388</v>
      </c>
      <c r="P240" s="94">
        <f t="shared" si="87"/>
        <v>3.087476322627404</v>
      </c>
      <c r="Q240" s="94">
        <f t="shared" si="87"/>
        <v>3.1056585208287628</v>
      </c>
      <c r="R240" s="94">
        <f t="shared" si="87"/>
        <v>3.1056585208287628</v>
      </c>
      <c r="S240" s="94">
        <f t="shared" si="87"/>
        <v>3.1363668927374868</v>
      </c>
      <c r="T240" s="94">
        <f t="shared" si="87"/>
        <v>3.1683429502218221</v>
      </c>
      <c r="U240" s="94">
        <f t="shared" si="87"/>
        <v>3.2026980794154261</v>
      </c>
      <c r="V240" s="94">
        <f t="shared" si="87"/>
        <v>3.2391966323166557</v>
      </c>
      <c r="W240" s="94">
        <f t="shared" si="87"/>
        <v>3.2754777207315735</v>
      </c>
      <c r="X240" s="94">
        <f t="shared" si="87"/>
        <v>3.3152061755064617</v>
      </c>
      <c r="Y240" s="94">
        <f t="shared" si="87"/>
        <v>3.3555448376895782</v>
      </c>
      <c r="Z240" s="94">
        <f t="shared" si="87"/>
        <v>3.3980085381153811</v>
      </c>
      <c r="AA240" s="94">
        <f t="shared" si="87"/>
        <v>3.4410163118971724</v>
      </c>
      <c r="AB240" s="94">
        <f t="shared" si="87"/>
        <v>3.4786776490651938</v>
      </c>
      <c r="AC240" s="94">
        <f t="shared" si="87"/>
        <v>3.5227425255912155</v>
      </c>
      <c r="AD240" s="94">
        <f t="shared" si="87"/>
        <v>3.5673676089736492</v>
      </c>
      <c r="AE240" s="94">
        <f t="shared" si="87"/>
        <v>3.6126166371867461</v>
      </c>
      <c r="AF240" s="94">
        <f t="shared" si="87"/>
        <v>3.6559598065815284</v>
      </c>
      <c r="AG240" s="94">
        <f t="shared" si="87"/>
        <v>3.7010951410143482</v>
      </c>
      <c r="AH240" s="94">
        <f t="shared" si="87"/>
        <v>3.7470030245322286</v>
      </c>
      <c r="AI240" s="94">
        <f t="shared" si="87"/>
        <v>3.7939824904310764</v>
      </c>
      <c r="AJ240" s="94">
        <f t="shared" si="87"/>
        <v>3.8400212264961593</v>
      </c>
      <c r="AK240" s="94">
        <f t="shared" si="87"/>
        <v>3.8869437652034651</v>
      </c>
      <c r="AL240" s="94">
        <f t="shared" si="87"/>
        <v>3.9358801419581333</v>
      </c>
      <c r="AM240" s="94">
        <f t="shared" si="87"/>
        <v>3.9908731700643849</v>
      </c>
      <c r="AN240" s="94">
        <f t="shared" si="87"/>
        <v>4.0449303075723684</v>
      </c>
      <c r="AO240" s="94">
        <f t="shared" si="87"/>
        <v>4.098094765251922</v>
      </c>
      <c r="AP240" s="94">
        <f t="shared" si="87"/>
        <v>4.150406571667566</v>
      </c>
      <c r="AQ240" s="94">
        <f t="shared" si="87"/>
        <v>4.2019028900579141</v>
      </c>
      <c r="AR240" s="94">
        <f t="shared" si="87"/>
        <v>4.2594616192349637</v>
      </c>
      <c r="AS240" s="94">
        <f t="shared" si="87"/>
        <v>4.3160594257856921</v>
      </c>
      <c r="AT240" s="94">
        <f t="shared" si="87"/>
        <v>4.3717398569032468</v>
      </c>
      <c r="AU240" s="94">
        <f t="shared" si="87"/>
        <v>4.4265433103486354</v>
      </c>
      <c r="AV240" s="94">
        <f t="shared" si="87"/>
        <v>4.4836490671434168</v>
      </c>
    </row>
    <row r="241" spans="1:48">
      <c r="A241" s="185" t="s">
        <v>16</v>
      </c>
      <c r="B241" s="87" t="str">
        <f t="shared" si="85"/>
        <v>CEO</v>
      </c>
      <c r="C241" s="87" t="str">
        <f t="shared" si="85"/>
        <v>Commercial - Other</v>
      </c>
      <c r="E241" s="106"/>
      <c r="F241" s="106"/>
      <c r="I241" s="151"/>
      <c r="J241" s="94">
        <f t="shared" si="88"/>
        <v>18.760184357078931</v>
      </c>
      <c r="K241" s="94">
        <f t="shared" si="87"/>
        <v>18.415319194151312</v>
      </c>
      <c r="L241" s="94">
        <f t="shared" si="87"/>
        <v>18.114567188633565</v>
      </c>
      <c r="M241" s="94">
        <f t="shared" si="87"/>
        <v>17.776245066865727</v>
      </c>
      <c r="N241" s="94">
        <f t="shared" si="87"/>
        <v>17.41950852758735</v>
      </c>
      <c r="O241" s="94">
        <f t="shared" si="87"/>
        <v>16.999241745794041</v>
      </c>
      <c r="P241" s="94">
        <f t="shared" si="87"/>
        <v>16.887705377005229</v>
      </c>
      <c r="Q241" s="94">
        <f t="shared" si="87"/>
        <v>16.771877236175573</v>
      </c>
      <c r="R241" s="94">
        <f t="shared" si="87"/>
        <v>16.635883302209223</v>
      </c>
      <c r="S241" s="94">
        <f t="shared" si="87"/>
        <v>16.533947883534477</v>
      </c>
      <c r="T241" s="94">
        <f t="shared" si="87"/>
        <v>16.433418449152558</v>
      </c>
      <c r="U241" s="94">
        <f t="shared" si="87"/>
        <v>16.335527632357756</v>
      </c>
      <c r="V241" s="94">
        <f t="shared" si="87"/>
        <v>16.240014077025702</v>
      </c>
      <c r="W241" s="94">
        <f t="shared" si="87"/>
        <v>16.144259332823253</v>
      </c>
      <c r="X241" s="94">
        <f t="shared" si="87"/>
        <v>16.0523280469349</v>
      </c>
      <c r="Y241" s="94">
        <f t="shared" si="87"/>
        <v>15.961073539301223</v>
      </c>
      <c r="Z241" s="94">
        <f t="shared" si="87"/>
        <v>15.87217590189495</v>
      </c>
      <c r="AA241" s="94">
        <f t="shared" si="87"/>
        <v>15.783881693767498</v>
      </c>
      <c r="AB241" s="94">
        <f t="shared" si="87"/>
        <v>15.689657777164882</v>
      </c>
      <c r="AC241" s="94">
        <f t="shared" si="87"/>
        <v>15.602535996871973</v>
      </c>
      <c r="AD241" s="94">
        <f t="shared" si="87"/>
        <v>15.516035539449653</v>
      </c>
      <c r="AE241" s="94">
        <f t="shared" si="87"/>
        <v>15.430227096394603</v>
      </c>
      <c r="AF241" s="94">
        <f t="shared" si="87"/>
        <v>15.34230487401253</v>
      </c>
      <c r="AG241" s="94">
        <f t="shared" si="87"/>
        <v>15.25637033370408</v>
      </c>
      <c r="AH241" s="94">
        <f t="shared" si="87"/>
        <v>15.171292624063998</v>
      </c>
      <c r="AI241" s="94">
        <f t="shared" si="87"/>
        <v>15.087403401557548</v>
      </c>
      <c r="AJ241" s="94">
        <f t="shared" si="87"/>
        <v>15.00247081988104</v>
      </c>
      <c r="AK241" s="94">
        <f t="shared" si="87"/>
        <v>14.918518459685972</v>
      </c>
      <c r="AL241" s="94">
        <f t="shared" si="87"/>
        <v>14.83679963808861</v>
      </c>
      <c r="AM241" s="94">
        <f t="shared" si="87"/>
        <v>14.761798220894416</v>
      </c>
      <c r="AN241" s="94">
        <f t="shared" si="87"/>
        <v>14.685758811704195</v>
      </c>
      <c r="AO241" s="94">
        <f t="shared" si="87"/>
        <v>14.608729335385782</v>
      </c>
      <c r="AP241" s="94">
        <f t="shared" si="87"/>
        <v>14.530754187437608</v>
      </c>
      <c r="AQ241" s="94">
        <f t="shared" si="87"/>
        <v>14.451874585438198</v>
      </c>
      <c r="AR241" s="94">
        <f t="shared" si="87"/>
        <v>14.379718775605195</v>
      </c>
      <c r="AS241" s="94">
        <f t="shared" si="87"/>
        <v>14.306497210867956</v>
      </c>
      <c r="AT241" s="94">
        <f t="shared" si="87"/>
        <v>14.232258189219891</v>
      </c>
      <c r="AU241" s="94">
        <f t="shared" si="87"/>
        <v>14.157046515633564</v>
      </c>
      <c r="AV241" s="94">
        <f t="shared" si="87"/>
        <v>14.084388316196378</v>
      </c>
    </row>
    <row r="242" spans="1:48">
      <c r="A242" s="185" t="s">
        <v>16</v>
      </c>
      <c r="E242" s="106"/>
      <c r="F242" s="106"/>
      <c r="J242" s="88"/>
      <c r="K242" s="89"/>
      <c r="L242" s="89"/>
      <c r="M242" s="89"/>
      <c r="N242" s="89"/>
      <c r="O242" s="89"/>
      <c r="P242" s="89"/>
      <c r="Q242" s="89"/>
      <c r="R242" s="89"/>
      <c r="S242" s="89"/>
      <c r="T242" s="89"/>
      <c r="U242" s="89"/>
      <c r="V242" s="89"/>
      <c r="W242" s="89"/>
      <c r="X242" s="89"/>
      <c r="Y242" s="89"/>
      <c r="Z242" s="89"/>
      <c r="AA242" s="89"/>
      <c r="AB242" s="89"/>
      <c r="AC242" s="89"/>
      <c r="AD242" s="89"/>
      <c r="AE242" s="89"/>
      <c r="AF242" s="89"/>
      <c r="AG242" s="89"/>
      <c r="AH242" s="89"/>
      <c r="AI242" s="89"/>
      <c r="AJ242" s="89"/>
      <c r="AK242" s="89"/>
      <c r="AL242" s="89"/>
      <c r="AM242" s="89"/>
      <c r="AN242" s="89"/>
      <c r="AO242" s="89"/>
      <c r="AP242" s="89"/>
      <c r="AQ242" s="89"/>
      <c r="AR242" s="89"/>
      <c r="AS242" s="89"/>
      <c r="AT242" s="89"/>
      <c r="AU242" s="89"/>
      <c r="AV242" s="89"/>
    </row>
    <row r="243" spans="1:48">
      <c r="A243" s="185" t="s">
        <v>16</v>
      </c>
      <c r="E243" s="106"/>
      <c r="F243" s="106"/>
      <c r="J243" s="88"/>
      <c r="K243" s="89"/>
      <c r="L243" s="89"/>
      <c r="M243" s="89"/>
      <c r="N243" s="89"/>
      <c r="O243" s="89"/>
      <c r="P243" s="89"/>
      <c r="Q243" s="89"/>
      <c r="R243" s="89"/>
      <c r="S243" s="89"/>
      <c r="T243" s="89"/>
      <c r="U243" s="89"/>
      <c r="V243" s="89"/>
      <c r="W243" s="89"/>
      <c r="X243" s="89"/>
      <c r="Y243" s="89"/>
      <c r="Z243" s="89"/>
      <c r="AA243" s="89"/>
      <c r="AB243" s="89"/>
      <c r="AC243" s="89"/>
      <c r="AD243" s="89"/>
      <c r="AE243" s="89"/>
      <c r="AF243" s="89"/>
      <c r="AG243" s="89"/>
      <c r="AH243" s="89"/>
      <c r="AI243" s="89"/>
      <c r="AJ243" s="89"/>
      <c r="AK243" s="89"/>
      <c r="AL243" s="89"/>
      <c r="AM243" s="89"/>
      <c r="AN243" s="89"/>
      <c r="AO243" s="89"/>
      <c r="AP243" s="89"/>
      <c r="AQ243" s="89"/>
      <c r="AR243" s="89"/>
      <c r="AS243" s="89"/>
      <c r="AT243" s="89"/>
      <c r="AU243" s="89"/>
      <c r="AV243" s="89"/>
    </row>
    <row r="244" spans="1:48">
      <c r="A244" s="185" t="s">
        <v>16</v>
      </c>
      <c r="E244" s="106"/>
      <c r="F244" s="106"/>
      <c r="J244" s="88"/>
      <c r="K244" s="89"/>
      <c r="L244" s="89"/>
      <c r="M244" s="89"/>
      <c r="N244" s="89"/>
      <c r="O244" s="89"/>
      <c r="P244" s="89"/>
      <c r="Q244" s="89"/>
      <c r="R244" s="89"/>
      <c r="S244" s="89"/>
      <c r="T244" s="89"/>
      <c r="U244" s="89"/>
      <c r="V244" s="89"/>
      <c r="W244" s="89"/>
      <c r="X244" s="89"/>
      <c r="Y244" s="89"/>
      <c r="Z244" s="89"/>
      <c r="AA244" s="89"/>
      <c r="AB244" s="89"/>
      <c r="AC244" s="89"/>
      <c r="AD244" s="89"/>
      <c r="AE244" s="89"/>
      <c r="AF244" s="89"/>
      <c r="AG244" s="89"/>
      <c r="AH244" s="89"/>
      <c r="AI244" s="89"/>
      <c r="AJ244" s="89"/>
      <c r="AK244" s="89"/>
      <c r="AL244" s="89"/>
      <c r="AM244" s="89"/>
      <c r="AN244" s="89"/>
      <c r="AO244" s="89"/>
      <c r="AP244" s="89"/>
      <c r="AQ244" s="89"/>
      <c r="AR244" s="89"/>
      <c r="AS244" s="89"/>
      <c r="AT244" s="89"/>
      <c r="AU244" s="89"/>
      <c r="AV244" s="89"/>
    </row>
    <row r="245" spans="1:48">
      <c r="A245" s="185" t="s">
        <v>16</v>
      </c>
      <c r="B245" s="269" t="s">
        <v>481</v>
      </c>
      <c r="C245" s="270"/>
      <c r="D245" s="270"/>
      <c r="E245" s="271"/>
      <c r="F245" s="271"/>
      <c r="G245" s="270"/>
      <c r="H245" s="270"/>
      <c r="I245" s="270"/>
      <c r="J245" s="162">
        <f t="shared" ref="J245:AV245" si="89">SUM(J220:J241)</f>
        <v>350.82050880003044</v>
      </c>
      <c r="K245" s="162">
        <f t="shared" si="89"/>
        <v>342.60808318412711</v>
      </c>
      <c r="L245" s="162">
        <f t="shared" si="89"/>
        <v>335.17871552691855</v>
      </c>
      <c r="M245" s="162">
        <f t="shared" si="89"/>
        <v>327.01262846555079</v>
      </c>
      <c r="N245" s="162">
        <f t="shared" si="89"/>
        <v>318.46869362410433</v>
      </c>
      <c r="O245" s="162">
        <f t="shared" si="89"/>
        <v>308.73034510030755</v>
      </c>
      <c r="P245" s="162">
        <f t="shared" si="89"/>
        <v>310.95126549501964</v>
      </c>
      <c r="Q245" s="162">
        <f t="shared" si="89"/>
        <v>312.78246254704516</v>
      </c>
      <c r="R245" s="162">
        <f t="shared" si="89"/>
        <v>312.78246254704516</v>
      </c>
      <c r="S245" s="162">
        <f t="shared" si="89"/>
        <v>315.8752173112934</v>
      </c>
      <c r="T245" s="162">
        <f t="shared" si="89"/>
        <v>319.09564542192396</v>
      </c>
      <c r="U245" s="162">
        <f t="shared" si="89"/>
        <v>322.55567872507982</v>
      </c>
      <c r="V245" s="162">
        <f t="shared" si="89"/>
        <v>326.23158423088023</v>
      </c>
      <c r="W245" s="162">
        <f t="shared" si="89"/>
        <v>329.88558807650469</v>
      </c>
      <c r="X245" s="162">
        <f t="shared" si="89"/>
        <v>333.8867890566957</v>
      </c>
      <c r="Y245" s="162">
        <f t="shared" si="89"/>
        <v>337.94944630277365</v>
      </c>
      <c r="Z245" s="162">
        <f t="shared" si="89"/>
        <v>342.22612408269202</v>
      </c>
      <c r="AA245" s="162">
        <f t="shared" si="89"/>
        <v>346.55759752122873</v>
      </c>
      <c r="AB245" s="162">
        <f t="shared" si="89"/>
        <v>350.35061137102088</v>
      </c>
      <c r="AC245" s="162">
        <f t="shared" si="89"/>
        <v>354.73067525456713</v>
      </c>
      <c r="AD245" s="162">
        <f t="shared" si="89"/>
        <v>359.16672574889378</v>
      </c>
      <c r="AE245" s="162">
        <f t="shared" si="89"/>
        <v>363.66513277453191</v>
      </c>
      <c r="AF245" s="162">
        <f t="shared" si="89"/>
        <v>367.9730698431498</v>
      </c>
      <c r="AG245" s="162">
        <f t="shared" si="89"/>
        <v>372.46011440624102</v>
      </c>
      <c r="AH245" s="162">
        <f t="shared" si="89"/>
        <v>377.02436688715562</v>
      </c>
      <c r="AI245" s="162">
        <f t="shared" ref="AI245:AR245" si="90">SUM(AI220:AI241)</f>
        <v>381.69571242663523</v>
      </c>
      <c r="AJ245" s="162">
        <f t="shared" si="90"/>
        <v>386.27304220309884</v>
      </c>
      <c r="AK245" s="162">
        <f t="shared" si="90"/>
        <v>390.93869848604908</v>
      </c>
      <c r="AL245" s="162">
        <f t="shared" si="90"/>
        <v>395.80561608103397</v>
      </c>
      <c r="AM245" s="162">
        <f t="shared" si="90"/>
        <v>401.1464795700619</v>
      </c>
      <c r="AN245" s="162">
        <f t="shared" si="90"/>
        <v>406.39524623096236</v>
      </c>
      <c r="AO245" s="162">
        <f t="shared" si="90"/>
        <v>411.55616824326364</v>
      </c>
      <c r="AP245" s="162">
        <f t="shared" si="90"/>
        <v>416.63318463983353</v>
      </c>
      <c r="AQ245" s="162">
        <f t="shared" si="90"/>
        <v>421.6299524895702</v>
      </c>
      <c r="AR245" s="162">
        <f t="shared" si="90"/>
        <v>427.2232952010429</v>
      </c>
      <c r="AS245" s="162">
        <f t="shared" si="89"/>
        <v>432.722077793925</v>
      </c>
      <c r="AT245" s="162">
        <f t="shared" si="89"/>
        <v>438.13058555366524</v>
      </c>
      <c r="AU245" s="162">
        <f t="shared" si="89"/>
        <v>443.45279384411435</v>
      </c>
      <c r="AV245" s="162">
        <f t="shared" si="89"/>
        <v>449.00156155962765</v>
      </c>
    </row>
    <row r="246" spans="1:48">
      <c r="A246" s="185" t="s">
        <v>16</v>
      </c>
      <c r="K246" s="87"/>
    </row>
    <row r="247" spans="1:48" s="185" customFormat="1" ht="23.25">
      <c r="A247" s="185" t="s">
        <v>16</v>
      </c>
      <c r="B247" s="16" t="s">
        <v>18</v>
      </c>
      <c r="C247" s="16" t="s">
        <v>19</v>
      </c>
      <c r="D247" s="16" t="s">
        <v>20</v>
      </c>
      <c r="E247" s="16" t="s">
        <v>21</v>
      </c>
      <c r="F247" s="16" t="s">
        <v>22</v>
      </c>
      <c r="G247" s="16" t="s">
        <v>23</v>
      </c>
      <c r="H247" s="16" t="s">
        <v>24</v>
      </c>
      <c r="I247" s="17" t="s">
        <v>25</v>
      </c>
      <c r="J247" s="163">
        <v>2012</v>
      </c>
      <c r="K247" s="163">
        <v>2013</v>
      </c>
      <c r="L247" s="163">
        <v>2014</v>
      </c>
      <c r="M247" s="163">
        <v>2015</v>
      </c>
      <c r="N247" s="163">
        <v>2016</v>
      </c>
      <c r="O247" s="163">
        <v>2017</v>
      </c>
      <c r="P247" s="163">
        <v>2018</v>
      </c>
      <c r="Q247" s="163">
        <v>2019</v>
      </c>
      <c r="R247" s="163">
        <v>2020</v>
      </c>
      <c r="S247" s="163">
        <v>2021</v>
      </c>
      <c r="T247" s="163">
        <v>2022</v>
      </c>
      <c r="U247" s="163">
        <v>2023</v>
      </c>
      <c r="V247" s="163">
        <v>2024</v>
      </c>
      <c r="W247" s="163">
        <v>2025</v>
      </c>
      <c r="X247" s="163">
        <v>2026</v>
      </c>
      <c r="Y247" s="163">
        <v>2027</v>
      </c>
      <c r="Z247" s="163">
        <v>2028</v>
      </c>
      <c r="AA247" s="163">
        <v>2029</v>
      </c>
      <c r="AB247" s="163">
        <v>2030</v>
      </c>
      <c r="AC247" s="163">
        <v>2031</v>
      </c>
      <c r="AD247" s="163">
        <v>2032</v>
      </c>
      <c r="AE247" s="163">
        <v>2033</v>
      </c>
      <c r="AF247" s="163">
        <v>2034</v>
      </c>
      <c r="AG247" s="163">
        <v>2035</v>
      </c>
      <c r="AH247" s="163">
        <v>2036</v>
      </c>
      <c r="AI247" s="163">
        <v>2037</v>
      </c>
      <c r="AJ247" s="163">
        <v>2038</v>
      </c>
      <c r="AK247" s="163">
        <v>2039</v>
      </c>
      <c r="AL247" s="163">
        <v>2040</v>
      </c>
      <c r="AM247" s="163">
        <v>2045</v>
      </c>
      <c r="AN247" s="163">
        <v>2050</v>
      </c>
      <c r="AO247" s="163">
        <v>2060</v>
      </c>
      <c r="AP247" s="163">
        <v>2070</v>
      </c>
      <c r="AQ247" s="163"/>
      <c r="AR247" s="18"/>
      <c r="AS247" s="18"/>
      <c r="AT247" s="18"/>
      <c r="AU247" s="18"/>
      <c r="AV247" s="18"/>
    </row>
    <row r="248" spans="1:48" s="185" customFormat="1">
      <c r="A248" s="185" t="s">
        <v>125</v>
      </c>
      <c r="B248" s="22" t="str">
        <f t="shared" ref="B248:B256" si="91">IF(A248="*","","COM_PROJ")</f>
        <v>COM_PROJ</v>
      </c>
      <c r="C248" s="23" t="str">
        <f t="shared" ref="C248:C266" si="92">IF($A248="*","","-")</f>
        <v>-</v>
      </c>
      <c r="D248" s="22" t="str">
        <f>COM!B162</f>
        <v>CEC</v>
      </c>
      <c r="E248" s="23" t="str">
        <f t="shared" ref="E248:H263" si="93">IF($A248="*","","-")</f>
        <v>-</v>
      </c>
      <c r="F248" s="23" t="str">
        <f t="shared" si="93"/>
        <v>-</v>
      </c>
      <c r="G248" s="23" t="str">
        <f t="shared" si="93"/>
        <v>-</v>
      </c>
      <c r="H248" s="23" t="str">
        <f t="shared" si="93"/>
        <v>-</v>
      </c>
      <c r="I248" s="22">
        <f t="shared" ref="I248:I266" si="94">IF(A248="*","",0)</f>
        <v>0</v>
      </c>
      <c r="J248" s="10">
        <f t="shared" ref="J248:Y256" si="95">INDEX($J$233:$AV$241,MATCH($D248,$B$233:$B$241,0),MATCH(J$247,$J$104:$AV$104,0))</f>
        <v>139.66439435388435</v>
      </c>
      <c r="K248" s="10">
        <f t="shared" si="95"/>
        <v>135.88971000739755</v>
      </c>
      <c r="L248" s="10">
        <f t="shared" si="95"/>
        <v>132.41477017655598</v>
      </c>
      <c r="M248" s="10">
        <f t="shared" si="95"/>
        <v>128.63675213244647</v>
      </c>
      <c r="N248" s="10">
        <f t="shared" si="95"/>
        <v>124.69871312686325</v>
      </c>
      <c r="O248" s="10">
        <f t="shared" si="95"/>
        <v>120.28334032399778</v>
      </c>
      <c r="P248" s="10">
        <f t="shared" si="95"/>
        <v>119.49413059299039</v>
      </c>
      <c r="Q248" s="10">
        <f t="shared" si="95"/>
        <v>118.67455311472101</v>
      </c>
      <c r="R248" s="10">
        <f t="shared" si="95"/>
        <v>117.71228639212903</v>
      </c>
      <c r="S248" s="10">
        <f t="shared" si="95"/>
        <v>116.99101112356846</v>
      </c>
      <c r="T248" s="10">
        <f t="shared" si="95"/>
        <v>116.27968432739939</v>
      </c>
      <c r="U248" s="10">
        <f t="shared" si="95"/>
        <v>115.58702787794117</v>
      </c>
      <c r="V248" s="10">
        <f t="shared" si="95"/>
        <v>114.91119246990583</v>
      </c>
      <c r="W248" s="10">
        <f t="shared" si="95"/>
        <v>114.23365045616333</v>
      </c>
      <c r="X248" s="10">
        <f t="shared" si="95"/>
        <v>113.58316249250655</v>
      </c>
      <c r="Y248" s="10">
        <f t="shared" si="95"/>
        <v>112.9374632806275</v>
      </c>
      <c r="Z248" s="10">
        <f t="shared" ref="Z248:AN256" si="96">INDEX($J$233:$AV$241,MATCH($D248,$B$233:$B$241,0),MATCH(Z$247,$J$104:$AV$104,0))</f>
        <v>112.30844082574161</v>
      </c>
      <c r="AA248" s="10">
        <f t="shared" si="96"/>
        <v>111.68368811949459</v>
      </c>
      <c r="AB248" s="10">
        <f t="shared" si="96"/>
        <v>111.01697794519069</v>
      </c>
      <c r="AC248" s="10">
        <f t="shared" si="96"/>
        <v>110.40052111109705</v>
      </c>
      <c r="AD248" s="10">
        <f t="shared" si="96"/>
        <v>109.78846063723003</v>
      </c>
      <c r="AE248" s="10">
        <f t="shared" si="96"/>
        <v>109.18129672292095</v>
      </c>
      <c r="AF248" s="10">
        <f t="shared" si="96"/>
        <v>108.5591761157214</v>
      </c>
      <c r="AG248" s="10">
        <f t="shared" si="96"/>
        <v>107.95111996168353</v>
      </c>
      <c r="AH248" s="10">
        <f t="shared" si="96"/>
        <v>107.34912657541049</v>
      </c>
      <c r="AI248" s="10">
        <f t="shared" si="96"/>
        <v>106.75554269377911</v>
      </c>
      <c r="AJ248" s="10">
        <f t="shared" si="96"/>
        <v>106.15457620485212</v>
      </c>
      <c r="AK248" s="10">
        <f t="shared" si="96"/>
        <v>105.56054557317145</v>
      </c>
      <c r="AL248" s="10">
        <f t="shared" si="96"/>
        <v>104.98231902777255</v>
      </c>
      <c r="AM248" s="10">
        <f>INDEX($J$233:$AV$241,MATCH($D248,$B$233:$B$241,0),MATCH(AM$247,$J$104:$AV$104,0))</f>
        <v>102.25866394953132</v>
      </c>
      <c r="AN248" s="10">
        <f>INDEX($J$233:$AV$241,MATCH($D248,$B$233:$B$241,0),MATCH(AN$247,$J$104:$AV$104,0))</f>
        <v>99.658402323241631</v>
      </c>
      <c r="AO248" s="186">
        <f>AN248</f>
        <v>99.658402323241631</v>
      </c>
      <c r="AP248" s="186">
        <f>AO248</f>
        <v>99.658402323241631</v>
      </c>
      <c r="AQ248" s="186"/>
      <c r="AR248" s="186"/>
      <c r="AS248" s="186"/>
      <c r="AT248" s="186"/>
      <c r="AU248" s="186"/>
      <c r="AV248" s="186"/>
    </row>
    <row r="249" spans="1:48" s="185" customFormat="1">
      <c r="A249" s="185" t="s">
        <v>125</v>
      </c>
      <c r="B249" s="22" t="str">
        <f t="shared" si="91"/>
        <v>COM_PROJ</v>
      </c>
      <c r="C249" s="23" t="str">
        <f t="shared" si="92"/>
        <v>-</v>
      </c>
      <c r="D249" s="22" t="str">
        <f>COM!B163</f>
        <v>CEH</v>
      </c>
      <c r="E249" s="23" t="str">
        <f t="shared" si="93"/>
        <v>-</v>
      </c>
      <c r="F249" s="23" t="str">
        <f t="shared" si="93"/>
        <v>-</v>
      </c>
      <c r="G249" s="23" t="str">
        <f t="shared" si="93"/>
        <v>-</v>
      </c>
      <c r="H249" s="23" t="str">
        <f t="shared" si="93"/>
        <v>-</v>
      </c>
      <c r="I249" s="22">
        <f t="shared" si="94"/>
        <v>0</v>
      </c>
      <c r="J249" s="10">
        <f t="shared" si="95"/>
        <v>7.8517549075018991</v>
      </c>
      <c r="K249" s="10">
        <f t="shared" si="95"/>
        <v>8.5460135786417499</v>
      </c>
      <c r="L249" s="10">
        <f t="shared" si="95"/>
        <v>9.2786471163971243</v>
      </c>
      <c r="M249" s="10">
        <f t="shared" si="95"/>
        <v>10.011796090361486</v>
      </c>
      <c r="N249" s="10">
        <f t="shared" si="95"/>
        <v>10.753166346186294</v>
      </c>
      <c r="O249" s="10">
        <f t="shared" si="95"/>
        <v>11.470981711368385</v>
      </c>
      <c r="P249" s="10">
        <f t="shared" si="95"/>
        <v>11.395717669262183</v>
      </c>
      <c r="Q249" s="10">
        <f t="shared" si="95"/>
        <v>11.317557566300676</v>
      </c>
      <c r="R249" s="10">
        <f t="shared" si="95"/>
        <v>11.22578971260973</v>
      </c>
      <c r="S249" s="10">
        <f t="shared" si="95"/>
        <v>11.157004331423655</v>
      </c>
      <c r="T249" s="10">
        <f t="shared" si="95"/>
        <v>11.089167699620091</v>
      </c>
      <c r="U249" s="10">
        <f t="shared" si="95"/>
        <v>11.023111590414988</v>
      </c>
      <c r="V249" s="10">
        <f t="shared" si="95"/>
        <v>10.958659642334844</v>
      </c>
      <c r="W249" s="10">
        <f t="shared" si="95"/>
        <v>10.894044941517684</v>
      </c>
      <c r="X249" s="10">
        <f t="shared" si="95"/>
        <v>10.832010286390272</v>
      </c>
      <c r="Y249" s="10">
        <f t="shared" si="95"/>
        <v>10.77043231698438</v>
      </c>
      <c r="Z249" s="10">
        <f t="shared" si="96"/>
        <v>10.710444748825729</v>
      </c>
      <c r="AA249" s="10">
        <f t="shared" si="96"/>
        <v>10.650864370959738</v>
      </c>
      <c r="AB249" s="10">
        <f t="shared" si="96"/>
        <v>10.587282663005645</v>
      </c>
      <c r="AC249" s="10">
        <f t="shared" si="96"/>
        <v>10.528493432088972</v>
      </c>
      <c r="AD249" s="10">
        <f t="shared" si="96"/>
        <v>10.470123465948456</v>
      </c>
      <c r="AE249" s="10">
        <f t="shared" si="96"/>
        <v>10.412220466762683</v>
      </c>
      <c r="AF249" s="10">
        <f t="shared" si="96"/>
        <v>10.352891102544589</v>
      </c>
      <c r="AG249" s="10">
        <f t="shared" si="96"/>
        <v>10.294903013723101</v>
      </c>
      <c r="AH249" s="10">
        <f t="shared" si="96"/>
        <v>10.237493108862612</v>
      </c>
      <c r="AI249" s="10">
        <f t="shared" si="96"/>
        <v>10.180885187665746</v>
      </c>
      <c r="AJ249" s="10">
        <f t="shared" si="96"/>
        <v>10.123573214244839</v>
      </c>
      <c r="AK249" s="10">
        <f t="shared" si="96"/>
        <v>10.066922688131688</v>
      </c>
      <c r="AL249" s="10">
        <f t="shared" si="96"/>
        <v>10.01177933985559</v>
      </c>
      <c r="AM249" s="10">
        <f t="shared" si="96"/>
        <v>9.7520343285645499</v>
      </c>
      <c r="AN249" s="10">
        <f t="shared" si="96"/>
        <v>9.5040568989421459</v>
      </c>
      <c r="AO249" s="186">
        <f t="shared" ref="AO249:AP264" si="97">AN249</f>
        <v>9.5040568989421459</v>
      </c>
      <c r="AP249" s="186">
        <f t="shared" si="97"/>
        <v>9.5040568989421459</v>
      </c>
      <c r="AQ249" s="186"/>
      <c r="AR249" s="186"/>
      <c r="AS249" s="186"/>
      <c r="AT249" s="186"/>
      <c r="AU249" s="186"/>
      <c r="AV249" s="186"/>
    </row>
    <row r="250" spans="1:48" s="185" customFormat="1">
      <c r="A250" s="185" t="s">
        <v>125</v>
      </c>
      <c r="B250" s="22" t="str">
        <f t="shared" si="91"/>
        <v>COM_PROJ</v>
      </c>
      <c r="C250" s="23" t="str">
        <f t="shared" si="92"/>
        <v>-</v>
      </c>
      <c r="D250" s="22" t="str">
        <f>COM!B164</f>
        <v>CEK</v>
      </c>
      <c r="E250" s="23" t="str">
        <f t="shared" si="93"/>
        <v>-</v>
      </c>
      <c r="F250" s="23" t="str">
        <f t="shared" si="93"/>
        <v>-</v>
      </c>
      <c r="G250" s="23" t="str">
        <f t="shared" si="93"/>
        <v>-</v>
      </c>
      <c r="H250" s="23" t="str">
        <f t="shared" si="93"/>
        <v>-</v>
      </c>
      <c r="I250" s="22">
        <f t="shared" si="94"/>
        <v>0</v>
      </c>
      <c r="J250" s="10">
        <f t="shared" si="95"/>
        <v>9.8944997565297612</v>
      </c>
      <c r="K250" s="10">
        <f t="shared" si="95"/>
        <v>9.5753700759835159</v>
      </c>
      <c r="L250" s="10">
        <f t="shared" si="95"/>
        <v>9.2762478476592491</v>
      </c>
      <c r="M250" s="10">
        <f t="shared" si="95"/>
        <v>8.9546526553297614</v>
      </c>
      <c r="N250" s="10">
        <f t="shared" si="95"/>
        <v>8.6207385707018886</v>
      </c>
      <c r="O250" s="10">
        <f t="shared" si="95"/>
        <v>8.2528207241540805</v>
      </c>
      <c r="P250" s="10">
        <f t="shared" si="95"/>
        <v>8.1986718585986544</v>
      </c>
      <c r="Q250" s="10">
        <f t="shared" si="95"/>
        <v>8.1424394162712925</v>
      </c>
      <c r="R250" s="10">
        <f t="shared" si="95"/>
        <v>8.0764168504780613</v>
      </c>
      <c r="S250" s="10">
        <f t="shared" si="95"/>
        <v>8.0269290704732601</v>
      </c>
      <c r="T250" s="10">
        <f t="shared" si="95"/>
        <v>7.9781238701083765</v>
      </c>
      <c r="U250" s="10">
        <f t="shared" si="95"/>
        <v>7.9305996702864388</v>
      </c>
      <c r="V250" s="10">
        <f t="shared" si="95"/>
        <v>7.8842295873927695</v>
      </c>
      <c r="W250" s="10">
        <f t="shared" si="95"/>
        <v>7.8377424117170911</v>
      </c>
      <c r="X250" s="10">
        <f t="shared" si="95"/>
        <v>7.7931114550707319</v>
      </c>
      <c r="Y250" s="10">
        <f t="shared" si="95"/>
        <v>7.748809061879693</v>
      </c>
      <c r="Z250" s="10">
        <f t="shared" si="96"/>
        <v>7.7056508860453885</v>
      </c>
      <c r="AA250" s="10">
        <f t="shared" si="96"/>
        <v>7.662785664081162</v>
      </c>
      <c r="AB250" s="10">
        <f t="shared" si="96"/>
        <v>7.617041677185898</v>
      </c>
      <c r="AC250" s="10">
        <f t="shared" si="96"/>
        <v>7.57474564747596</v>
      </c>
      <c r="AD250" s="10">
        <f t="shared" si="96"/>
        <v>7.5327512586473899</v>
      </c>
      <c r="AE250" s="10">
        <f t="shared" si="96"/>
        <v>7.4910928301279336</v>
      </c>
      <c r="AF250" s="10">
        <f t="shared" si="96"/>
        <v>7.4484082004344954</v>
      </c>
      <c r="AG250" s="10">
        <f t="shared" si="96"/>
        <v>7.4066885540065188</v>
      </c>
      <c r="AH250" s="10">
        <f t="shared" si="96"/>
        <v>7.3653848831851452</v>
      </c>
      <c r="AI250" s="10">
        <f t="shared" si="96"/>
        <v>7.3246582011138281</v>
      </c>
      <c r="AJ250" s="10">
        <f t="shared" si="96"/>
        <v>7.283424987262439</v>
      </c>
      <c r="AK250" s="10">
        <f t="shared" si="96"/>
        <v>7.2426676529989322</v>
      </c>
      <c r="AL250" s="10">
        <f t="shared" si="96"/>
        <v>7.2029946608433235</v>
      </c>
      <c r="AM250" s="10">
        <f t="shared" si="96"/>
        <v>7.0161205932076065</v>
      </c>
      <c r="AN250" s="10">
        <f t="shared" si="96"/>
        <v>6.837712735728239</v>
      </c>
      <c r="AO250" s="186">
        <f t="shared" si="97"/>
        <v>6.837712735728239</v>
      </c>
      <c r="AP250" s="186">
        <f t="shared" si="97"/>
        <v>6.837712735728239</v>
      </c>
      <c r="AQ250" s="186"/>
      <c r="AR250" s="186"/>
      <c r="AS250" s="186"/>
      <c r="AT250" s="186"/>
      <c r="AU250" s="186"/>
      <c r="AV250" s="186"/>
    </row>
    <row r="251" spans="1:48" s="185" customFormat="1">
      <c r="A251" s="185" t="s">
        <v>125</v>
      </c>
      <c r="B251" s="22" t="str">
        <f t="shared" si="91"/>
        <v>COM_PROJ</v>
      </c>
      <c r="C251" s="23" t="str">
        <f t="shared" si="92"/>
        <v>-</v>
      </c>
      <c r="D251" s="22" t="str">
        <f>COM!B165</f>
        <v>CEL</v>
      </c>
      <c r="E251" s="23" t="str">
        <f t="shared" si="93"/>
        <v>-</v>
      </c>
      <c r="F251" s="23" t="str">
        <f t="shared" si="93"/>
        <v>-</v>
      </c>
      <c r="G251" s="23" t="str">
        <f t="shared" si="93"/>
        <v>-</v>
      </c>
      <c r="H251" s="23" t="str">
        <f t="shared" si="93"/>
        <v>-</v>
      </c>
      <c r="I251" s="22">
        <f t="shared" si="94"/>
        <v>0</v>
      </c>
      <c r="J251" s="10">
        <f t="shared" si="95"/>
        <v>121.54027190568891</v>
      </c>
      <c r="K251" s="10">
        <f t="shared" si="95"/>
        <v>118.25542494127434</v>
      </c>
      <c r="L251" s="10">
        <f t="shared" si="95"/>
        <v>115.23142491714327</v>
      </c>
      <c r="M251" s="10">
        <f t="shared" si="95"/>
        <v>111.94367686603883</v>
      </c>
      <c r="N251" s="10">
        <f t="shared" si="95"/>
        <v>108.51667362925802</v>
      </c>
      <c r="O251" s="10">
        <f t="shared" si="95"/>
        <v>104.67427977141129</v>
      </c>
      <c r="P251" s="10">
        <f t="shared" si="95"/>
        <v>103.98748507516102</v>
      </c>
      <c r="Q251" s="10">
        <f t="shared" si="95"/>
        <v>103.27426342681275</v>
      </c>
      <c r="R251" s="10">
        <f t="shared" si="95"/>
        <v>102.43686918864145</v>
      </c>
      <c r="S251" s="10">
        <f t="shared" si="95"/>
        <v>101.80919316093768</v>
      </c>
      <c r="T251" s="10">
        <f t="shared" si="95"/>
        <v>101.1901746013388</v>
      </c>
      <c r="U251" s="10">
        <f t="shared" si="95"/>
        <v>100.58740355440274</v>
      </c>
      <c r="V251" s="10">
        <f t="shared" si="95"/>
        <v>99.999270697520302</v>
      </c>
      <c r="W251" s="10">
        <f t="shared" si="95"/>
        <v>99.409652699613574</v>
      </c>
      <c r="X251" s="10">
        <f t="shared" si="95"/>
        <v>98.843577972121466</v>
      </c>
      <c r="Y251" s="10">
        <f t="shared" si="95"/>
        <v>98.28167056440941</v>
      </c>
      <c r="Z251" s="10">
        <f t="shared" si="96"/>
        <v>97.734275785981467</v>
      </c>
      <c r="AA251" s="10">
        <f t="shared" si="96"/>
        <v>97.190596674763782</v>
      </c>
      <c r="AB251" s="10">
        <f t="shared" si="96"/>
        <v>96.610404878264347</v>
      </c>
      <c r="AC251" s="10">
        <f t="shared" si="96"/>
        <v>96.073945091355341</v>
      </c>
      <c r="AD251" s="10">
        <f t="shared" si="96"/>
        <v>95.54131115297281</v>
      </c>
      <c r="AE251" s="10">
        <f t="shared" si="96"/>
        <v>95.012938352032108</v>
      </c>
      <c r="AF251" s="10">
        <f t="shared" si="96"/>
        <v>94.47154977474321</v>
      </c>
      <c r="AG251" s="10">
        <f t="shared" si="96"/>
        <v>93.942400519218324</v>
      </c>
      <c r="AH251" s="10">
        <f t="shared" si="96"/>
        <v>93.418527271555362</v>
      </c>
      <c r="AI251" s="10">
        <f t="shared" si="96"/>
        <v>92.901972234703862</v>
      </c>
      <c r="AJ251" s="10">
        <f t="shared" si="96"/>
        <v>92.378992624844813</v>
      </c>
      <c r="AK251" s="10">
        <f t="shared" si="96"/>
        <v>91.862048812294859</v>
      </c>
      <c r="AL251" s="10">
        <f t="shared" si="96"/>
        <v>91.358858204008556</v>
      </c>
      <c r="AM251" s="10">
        <f t="shared" si="96"/>
        <v>88.988649387952194</v>
      </c>
      <c r="AN251" s="10">
        <f t="shared" si="96"/>
        <v>86.725821366914857</v>
      </c>
      <c r="AO251" s="186">
        <f t="shared" si="97"/>
        <v>86.725821366914857</v>
      </c>
      <c r="AP251" s="186">
        <f t="shared" si="97"/>
        <v>86.725821366914857</v>
      </c>
      <c r="AQ251" s="186"/>
      <c r="AR251" s="186"/>
      <c r="AS251" s="186"/>
      <c r="AT251" s="186"/>
      <c r="AU251" s="186"/>
      <c r="AV251" s="186"/>
    </row>
    <row r="252" spans="1:48" s="185" customFormat="1">
      <c r="A252" s="185" t="s">
        <v>125</v>
      </c>
      <c r="B252" s="22" t="str">
        <f t="shared" si="91"/>
        <v>COM_PROJ</v>
      </c>
      <c r="C252" s="23" t="str">
        <f t="shared" si="92"/>
        <v>-</v>
      </c>
      <c r="D252" s="22" t="str">
        <f>COM!B166</f>
        <v>CER</v>
      </c>
      <c r="E252" s="23" t="str">
        <f t="shared" si="93"/>
        <v>-</v>
      </c>
      <c r="F252" s="23" t="str">
        <f t="shared" si="93"/>
        <v>-</v>
      </c>
      <c r="G252" s="23" t="str">
        <f t="shared" si="93"/>
        <v>-</v>
      </c>
      <c r="H252" s="23" t="str">
        <f t="shared" si="93"/>
        <v>-</v>
      </c>
      <c r="I252" s="22">
        <f t="shared" si="94"/>
        <v>0</v>
      </c>
      <c r="J252" s="10">
        <f t="shared" si="95"/>
        <v>29.566390373747055</v>
      </c>
      <c r="K252" s="10">
        <f t="shared" si="95"/>
        <v>28.767304884262032</v>
      </c>
      <c r="L252" s="10">
        <f t="shared" si="95"/>
        <v>28.031674102778698</v>
      </c>
      <c r="M252" s="10">
        <f t="shared" si="95"/>
        <v>27.231882882919415</v>
      </c>
      <c r="N252" s="10">
        <f t="shared" si="95"/>
        <v>26.398215869327572</v>
      </c>
      <c r="O252" s="10">
        <f t="shared" si="95"/>
        <v>25.463499211305457</v>
      </c>
      <c r="P252" s="10">
        <f t="shared" si="95"/>
        <v>25.296426686474252</v>
      </c>
      <c r="Q252" s="10">
        <f t="shared" si="95"/>
        <v>25.12292543172607</v>
      </c>
      <c r="R252" s="10">
        <f t="shared" si="95"/>
        <v>24.919217438035627</v>
      </c>
      <c r="S252" s="10">
        <f t="shared" si="95"/>
        <v>24.766526365584077</v>
      </c>
      <c r="T252" s="10">
        <f t="shared" si="95"/>
        <v>24.615941344712173</v>
      </c>
      <c r="U252" s="10">
        <f t="shared" si="95"/>
        <v>24.469308761122655</v>
      </c>
      <c r="V252" s="10">
        <f t="shared" si="95"/>
        <v>24.326237124326362</v>
      </c>
      <c r="W252" s="10">
        <f t="shared" si="95"/>
        <v>24.182804205968036</v>
      </c>
      <c r="X252" s="10">
        <f t="shared" si="95"/>
        <v>24.045098521166448</v>
      </c>
      <c r="Y252" s="10">
        <f t="shared" si="95"/>
        <v>23.908406595849652</v>
      </c>
      <c r="Z252" s="10">
        <f t="shared" si="96"/>
        <v>23.775245072892808</v>
      </c>
      <c r="AA252" s="10">
        <f t="shared" si="96"/>
        <v>23.642987438544353</v>
      </c>
      <c r="AB252" s="10">
        <f t="shared" si="96"/>
        <v>23.501847577015504</v>
      </c>
      <c r="AC252" s="10">
        <f t="shared" si="96"/>
        <v>23.371346145425182</v>
      </c>
      <c r="AD252" s="10">
        <f t="shared" si="96"/>
        <v>23.24177540560699</v>
      </c>
      <c r="AE252" s="10">
        <f t="shared" si="96"/>
        <v>23.11324124774691</v>
      </c>
      <c r="AF252" s="10">
        <f t="shared" si="96"/>
        <v>22.981540818177098</v>
      </c>
      <c r="AG252" s="10">
        <f t="shared" si="96"/>
        <v>22.852817776756176</v>
      </c>
      <c r="AH252" s="10">
        <f t="shared" si="96"/>
        <v>22.725378198878772</v>
      </c>
      <c r="AI252" s="10">
        <f t="shared" si="96"/>
        <v>22.599718879300092</v>
      </c>
      <c r="AJ252" s="10">
        <f t="shared" si="96"/>
        <v>22.472496691459334</v>
      </c>
      <c r="AK252" s="10">
        <f t="shared" si="96"/>
        <v>22.346742796692624</v>
      </c>
      <c r="AL252" s="10">
        <f t="shared" si="96"/>
        <v>22.224334563407275</v>
      </c>
      <c r="AM252" s="10">
        <f t="shared" si="96"/>
        <v>21.647747741409724</v>
      </c>
      <c r="AN252" s="10">
        <f t="shared" si="96"/>
        <v>21.097282816742137</v>
      </c>
      <c r="AO252" s="186">
        <f t="shared" si="97"/>
        <v>21.097282816742137</v>
      </c>
      <c r="AP252" s="186">
        <f t="shared" si="97"/>
        <v>21.097282816742137</v>
      </c>
      <c r="AQ252" s="186"/>
      <c r="AR252" s="186"/>
      <c r="AS252" s="186"/>
      <c r="AT252" s="186"/>
      <c r="AU252" s="186"/>
      <c r="AV252" s="186"/>
    </row>
    <row r="253" spans="1:48" s="185" customFormat="1">
      <c r="A253" s="185" t="s">
        <v>125</v>
      </c>
      <c r="B253" s="22" t="str">
        <f t="shared" si="91"/>
        <v>COM_PROJ</v>
      </c>
      <c r="C253" s="23" t="str">
        <f t="shared" si="92"/>
        <v>-</v>
      </c>
      <c r="D253" s="22" t="str">
        <f>COM!B167</f>
        <v>CEW</v>
      </c>
      <c r="E253" s="23" t="str">
        <f t="shared" si="93"/>
        <v>-</v>
      </c>
      <c r="F253" s="23" t="str">
        <f t="shared" si="93"/>
        <v>-</v>
      </c>
      <c r="G253" s="23" t="str">
        <f t="shared" si="93"/>
        <v>-</v>
      </c>
      <c r="H253" s="23" t="str">
        <f t="shared" si="93"/>
        <v>-</v>
      </c>
      <c r="I253" s="22">
        <f t="shared" si="94"/>
        <v>0</v>
      </c>
      <c r="J253" s="10">
        <f t="shared" si="95"/>
        <v>9.6831090230750316</v>
      </c>
      <c r="K253" s="10">
        <f t="shared" si="95"/>
        <v>9.6736255038926586</v>
      </c>
      <c r="L253" s="10">
        <f t="shared" si="95"/>
        <v>9.6909124953046728</v>
      </c>
      <c r="M253" s="10">
        <f t="shared" si="95"/>
        <v>9.6920710399778542</v>
      </c>
      <c r="N253" s="10">
        <f t="shared" si="95"/>
        <v>9.6869258063486576</v>
      </c>
      <c r="O253" s="10">
        <f t="shared" si="95"/>
        <v>9.6495991200814473</v>
      </c>
      <c r="P253" s="10">
        <f t="shared" si="95"/>
        <v>9.5862856345615484</v>
      </c>
      <c r="Q253" s="10">
        <f t="shared" si="95"/>
        <v>9.5205359298073908</v>
      </c>
      <c r="R253" s="10">
        <f t="shared" si="95"/>
        <v>9.4433391368467383</v>
      </c>
      <c r="S253" s="10">
        <f t="shared" si="95"/>
        <v>9.3854756191052893</v>
      </c>
      <c r="T253" s="10">
        <f t="shared" si="95"/>
        <v>9.3284102066556969</v>
      </c>
      <c r="U253" s="10">
        <f t="shared" si="95"/>
        <v>9.2728426023041131</v>
      </c>
      <c r="V253" s="10">
        <f t="shared" si="95"/>
        <v>9.2186244475610621</v>
      </c>
      <c r="W253" s="10">
        <f t="shared" si="95"/>
        <v>9.1642693822459727</v>
      </c>
      <c r="X253" s="10">
        <f t="shared" si="95"/>
        <v>9.1120846984417305</v>
      </c>
      <c r="Y253" s="10">
        <f t="shared" si="95"/>
        <v>9.0602841869993114</v>
      </c>
      <c r="Z253" s="10">
        <f t="shared" si="96"/>
        <v>9.0098215501052206</v>
      </c>
      <c r="AA253" s="10">
        <f t="shared" si="96"/>
        <v>8.9597014491150837</v>
      </c>
      <c r="AB253" s="10">
        <f t="shared" si="96"/>
        <v>8.906215356244843</v>
      </c>
      <c r="AC253" s="10">
        <f t="shared" si="96"/>
        <v>8.8567607825040824</v>
      </c>
      <c r="AD253" s="10">
        <f t="shared" si="96"/>
        <v>8.8076589019431104</v>
      </c>
      <c r="AE253" s="10">
        <f t="shared" si="96"/>
        <v>8.758949842504947</v>
      </c>
      <c r="AF253" s="10">
        <f t="shared" si="96"/>
        <v>8.7090408987755268</v>
      </c>
      <c r="AG253" s="10">
        <f t="shared" si="96"/>
        <v>8.6602602603832182</v>
      </c>
      <c r="AH253" s="10">
        <f t="shared" si="96"/>
        <v>8.611966000888696</v>
      </c>
      <c r="AI253" s="10">
        <f t="shared" si="96"/>
        <v>8.5643463846853525</v>
      </c>
      <c r="AJ253" s="10">
        <f t="shared" si="96"/>
        <v>8.5161345069047076</v>
      </c>
      <c r="AK253" s="10">
        <f t="shared" si="96"/>
        <v>8.4684790506683996</v>
      </c>
      <c r="AL253" s="10">
        <f t="shared" si="96"/>
        <v>8.4220914599292378</v>
      </c>
      <c r="AM253" s="10">
        <f t="shared" si="96"/>
        <v>8.2035892170117428</v>
      </c>
      <c r="AN253" s="10">
        <f t="shared" si="96"/>
        <v>7.9949860785102702</v>
      </c>
      <c r="AO253" s="186">
        <f t="shared" si="97"/>
        <v>7.9949860785102702</v>
      </c>
      <c r="AP253" s="186">
        <f t="shared" si="97"/>
        <v>7.9949860785102702</v>
      </c>
      <c r="AQ253" s="186"/>
      <c r="AR253" s="186"/>
      <c r="AS253" s="186"/>
      <c r="AT253" s="186"/>
      <c r="AU253" s="186"/>
      <c r="AV253" s="186"/>
    </row>
    <row r="254" spans="1:48" s="185" customFormat="1">
      <c r="A254" s="185" t="s">
        <v>125</v>
      </c>
      <c r="B254" s="22" t="str">
        <f t="shared" si="91"/>
        <v>COM_PROJ</v>
      </c>
      <c r="C254" s="23" t="str">
        <f t="shared" si="92"/>
        <v>-</v>
      </c>
      <c r="D254" s="22" t="str">
        <f>COM!B168</f>
        <v>CEG</v>
      </c>
      <c r="E254" s="23" t="str">
        <f t="shared" si="93"/>
        <v>-</v>
      </c>
      <c r="F254" s="23" t="str">
        <f t="shared" si="93"/>
        <v>-</v>
      </c>
      <c r="G254" s="23" t="str">
        <f t="shared" si="93"/>
        <v>-</v>
      </c>
      <c r="H254" s="23" t="str">
        <f t="shared" si="93"/>
        <v>-</v>
      </c>
      <c r="I254" s="22">
        <f t="shared" si="94"/>
        <v>0</v>
      </c>
      <c r="J254" s="10">
        <f t="shared" si="95"/>
        <v>10.30055287377321</v>
      </c>
      <c r="K254" s="10">
        <f t="shared" si="95"/>
        <v>10.022161692737667</v>
      </c>
      <c r="L254" s="10">
        <f t="shared" si="95"/>
        <v>9.765877321718456</v>
      </c>
      <c r="M254" s="10">
        <f t="shared" si="95"/>
        <v>9.4872402732319685</v>
      </c>
      <c r="N254" s="10">
        <f t="shared" si="95"/>
        <v>9.1968013307681549</v>
      </c>
      <c r="O254" s="10">
        <f t="shared" si="95"/>
        <v>8.8711579824850144</v>
      </c>
      <c r="P254" s="10">
        <f t="shared" si="95"/>
        <v>8.9349746302512507</v>
      </c>
      <c r="Q254" s="10">
        <f t="shared" si="95"/>
        <v>8.9875928409435009</v>
      </c>
      <c r="R254" s="10">
        <f t="shared" si="95"/>
        <v>8.9875928409435009</v>
      </c>
      <c r="S254" s="10">
        <f t="shared" si="95"/>
        <v>9.0764610605732052</v>
      </c>
      <c r="T254" s="10">
        <f t="shared" si="95"/>
        <v>9.1689978875940721</v>
      </c>
      <c r="U254" s="10">
        <f t="shared" si="95"/>
        <v>9.2684196080180303</v>
      </c>
      <c r="V254" s="10">
        <f t="shared" si="95"/>
        <v>9.3740442704076212</v>
      </c>
      <c r="W254" s="10">
        <f t="shared" si="95"/>
        <v>9.479039603382132</v>
      </c>
      <c r="X254" s="10">
        <f t="shared" si="95"/>
        <v>9.5940114115580197</v>
      </c>
      <c r="Y254" s="10">
        <f t="shared" si="95"/>
        <v>9.7107491240330788</v>
      </c>
      <c r="Z254" s="10">
        <f t="shared" si="96"/>
        <v>9.8336365720211045</v>
      </c>
      <c r="AA254" s="10">
        <f t="shared" si="96"/>
        <v>9.9580985362563066</v>
      </c>
      <c r="AB254" s="10">
        <f t="shared" si="96"/>
        <v>10.067088227827853</v>
      </c>
      <c r="AC254" s="10">
        <f t="shared" si="96"/>
        <v>10.194609385143192</v>
      </c>
      <c r="AD254" s="10">
        <f t="shared" si="96"/>
        <v>10.323751748105698</v>
      </c>
      <c r="AE254" s="10">
        <f t="shared" si="96"/>
        <v>10.454699770658788</v>
      </c>
      <c r="AF254" s="10">
        <f t="shared" si="96"/>
        <v>10.580132350043721</v>
      </c>
      <c r="AG254" s="10">
        <f t="shared" si="96"/>
        <v>10.710751349493071</v>
      </c>
      <c r="AH254" s="10">
        <f t="shared" si="96"/>
        <v>10.843606060492677</v>
      </c>
      <c r="AI254" s="10">
        <f t="shared" si="96"/>
        <v>10.979561867788309</v>
      </c>
      <c r="AJ254" s="10">
        <f t="shared" si="96"/>
        <v>11.112795258352513</v>
      </c>
      <c r="AK254" s="10">
        <f t="shared" si="96"/>
        <v>11.248586321708745</v>
      </c>
      <c r="AL254" s="10">
        <f t="shared" si="96"/>
        <v>11.390205313762191</v>
      </c>
      <c r="AM254" s="10">
        <f t="shared" si="96"/>
        <v>12.160059478447263</v>
      </c>
      <c r="AN254" s="10">
        <f t="shared" si="96"/>
        <v>12.975416320532121</v>
      </c>
      <c r="AO254" s="186">
        <f t="shared" si="97"/>
        <v>12.975416320532121</v>
      </c>
      <c r="AP254" s="186">
        <f t="shared" si="97"/>
        <v>12.975416320532121</v>
      </c>
      <c r="AQ254" s="186"/>
      <c r="AR254" s="186"/>
      <c r="AS254" s="186"/>
      <c r="AT254" s="186"/>
      <c r="AU254" s="186"/>
      <c r="AV254" s="186"/>
    </row>
    <row r="255" spans="1:48" s="185" customFormat="1">
      <c r="B255" s="22" t="str">
        <f t="shared" si="91"/>
        <v>COM_PROJ</v>
      </c>
      <c r="C255" s="23" t="str">
        <f t="shared" si="92"/>
        <v>-</v>
      </c>
      <c r="D255" s="22" t="str">
        <f>COM!B169</f>
        <v>CET</v>
      </c>
      <c r="E255" s="23" t="str">
        <f t="shared" si="93"/>
        <v>-</v>
      </c>
      <c r="F255" s="23" t="str">
        <f t="shared" si="93"/>
        <v>-</v>
      </c>
      <c r="G255" s="23" t="str">
        <f t="shared" si="93"/>
        <v>-</v>
      </c>
      <c r="H255" s="23" t="str">
        <f t="shared" si="93"/>
        <v>-</v>
      </c>
      <c r="I255" s="22">
        <f t="shared" si="94"/>
        <v>0</v>
      </c>
      <c r="J255" s="10">
        <f t="shared" si="95"/>
        <v>3.5593512487513528</v>
      </c>
      <c r="K255" s="10">
        <f t="shared" si="95"/>
        <v>3.4631533057862538</v>
      </c>
      <c r="L255" s="10">
        <f t="shared" si="95"/>
        <v>3.3745943607275568</v>
      </c>
      <c r="M255" s="10">
        <f t="shared" si="95"/>
        <v>3.2783114583792798</v>
      </c>
      <c r="N255" s="10">
        <f t="shared" si="95"/>
        <v>3.1779504170630659</v>
      </c>
      <c r="O255" s="10">
        <f t="shared" si="95"/>
        <v>3.0654245097100388</v>
      </c>
      <c r="P255" s="10">
        <f t="shared" si="95"/>
        <v>3.087476322627404</v>
      </c>
      <c r="Q255" s="10">
        <f t="shared" si="95"/>
        <v>3.1056585208287628</v>
      </c>
      <c r="R255" s="10">
        <f t="shared" si="95"/>
        <v>3.1056585208287628</v>
      </c>
      <c r="S255" s="10">
        <f t="shared" si="95"/>
        <v>3.1363668927374868</v>
      </c>
      <c r="T255" s="10">
        <f t="shared" si="95"/>
        <v>3.1683429502218221</v>
      </c>
      <c r="U255" s="10">
        <f t="shared" si="95"/>
        <v>3.2026980794154261</v>
      </c>
      <c r="V255" s="10">
        <f t="shared" si="95"/>
        <v>3.2391966323166557</v>
      </c>
      <c r="W255" s="10">
        <f t="shared" si="95"/>
        <v>3.2754777207315735</v>
      </c>
      <c r="X255" s="10">
        <f t="shared" si="95"/>
        <v>3.3152061755064617</v>
      </c>
      <c r="Y255" s="10">
        <f t="shared" si="95"/>
        <v>3.3555448376895782</v>
      </c>
      <c r="Z255" s="10">
        <f t="shared" si="96"/>
        <v>3.3980085381153811</v>
      </c>
      <c r="AA255" s="10">
        <f t="shared" si="96"/>
        <v>3.4410163118971724</v>
      </c>
      <c r="AB255" s="10">
        <f t="shared" si="96"/>
        <v>3.4786776490651938</v>
      </c>
      <c r="AC255" s="10">
        <f t="shared" si="96"/>
        <v>3.5227425255912155</v>
      </c>
      <c r="AD255" s="10">
        <f t="shared" si="96"/>
        <v>3.5673676089736492</v>
      </c>
      <c r="AE255" s="10">
        <f t="shared" si="96"/>
        <v>3.6126166371867461</v>
      </c>
      <c r="AF255" s="10">
        <f t="shared" si="96"/>
        <v>3.6559598065815284</v>
      </c>
      <c r="AG255" s="10">
        <f t="shared" si="96"/>
        <v>3.7010951410143482</v>
      </c>
      <c r="AH255" s="10">
        <f t="shared" si="96"/>
        <v>3.7470030245322286</v>
      </c>
      <c r="AI255" s="10">
        <f t="shared" si="96"/>
        <v>3.7939824904310764</v>
      </c>
      <c r="AJ255" s="10">
        <f t="shared" si="96"/>
        <v>3.8400212264961593</v>
      </c>
      <c r="AK255" s="10">
        <f t="shared" si="96"/>
        <v>3.8869437652034651</v>
      </c>
      <c r="AL255" s="10">
        <f t="shared" si="96"/>
        <v>3.9358801419581333</v>
      </c>
      <c r="AM255" s="10">
        <f t="shared" si="96"/>
        <v>4.2019028900579141</v>
      </c>
      <c r="AN255" s="10">
        <f t="shared" si="96"/>
        <v>4.4836490671434168</v>
      </c>
      <c r="AO255" s="186">
        <f t="shared" si="97"/>
        <v>4.4836490671434168</v>
      </c>
      <c r="AP255" s="186">
        <f t="shared" si="97"/>
        <v>4.4836490671434168</v>
      </c>
      <c r="AQ255" s="186"/>
      <c r="AR255" s="186"/>
      <c r="AS255" s="186"/>
      <c r="AT255" s="186"/>
      <c r="AU255" s="186"/>
      <c r="AV255" s="186"/>
    </row>
    <row r="256" spans="1:48" s="185" customFormat="1">
      <c r="B256" s="22" t="str">
        <f t="shared" si="91"/>
        <v>COM_PROJ</v>
      </c>
      <c r="C256" s="23" t="str">
        <f t="shared" si="92"/>
        <v>-</v>
      </c>
      <c r="D256" s="22" t="str">
        <f>COM!B170</f>
        <v>CEO</v>
      </c>
      <c r="E256" s="23" t="str">
        <f t="shared" si="93"/>
        <v>-</v>
      </c>
      <c r="F256" s="23" t="str">
        <f t="shared" si="93"/>
        <v>-</v>
      </c>
      <c r="G256" s="23" t="str">
        <f t="shared" si="93"/>
        <v>-</v>
      </c>
      <c r="H256" s="23" t="str">
        <f t="shared" si="93"/>
        <v>-</v>
      </c>
      <c r="I256" s="22">
        <f t="shared" si="94"/>
        <v>0</v>
      </c>
      <c r="J256" s="10">
        <f t="shared" si="95"/>
        <v>18.760184357078931</v>
      </c>
      <c r="K256" s="10">
        <f t="shared" si="95"/>
        <v>18.415319194151312</v>
      </c>
      <c r="L256" s="10">
        <f t="shared" si="95"/>
        <v>18.114567188633565</v>
      </c>
      <c r="M256" s="10">
        <f t="shared" si="95"/>
        <v>17.776245066865727</v>
      </c>
      <c r="N256" s="10">
        <f t="shared" si="95"/>
        <v>17.41950852758735</v>
      </c>
      <c r="O256" s="10">
        <f t="shared" si="95"/>
        <v>16.999241745794041</v>
      </c>
      <c r="P256" s="10">
        <f t="shared" si="95"/>
        <v>16.887705377005229</v>
      </c>
      <c r="Q256" s="10">
        <f t="shared" si="95"/>
        <v>16.771877236175573</v>
      </c>
      <c r="R256" s="10">
        <f t="shared" si="95"/>
        <v>16.635883302209223</v>
      </c>
      <c r="S256" s="10">
        <f t="shared" si="95"/>
        <v>16.533947883534477</v>
      </c>
      <c r="T256" s="10">
        <f t="shared" si="95"/>
        <v>16.433418449152558</v>
      </c>
      <c r="U256" s="10">
        <f t="shared" si="95"/>
        <v>16.335527632357756</v>
      </c>
      <c r="V256" s="10">
        <f t="shared" si="95"/>
        <v>16.240014077025702</v>
      </c>
      <c r="W256" s="10">
        <f t="shared" si="95"/>
        <v>16.144259332823253</v>
      </c>
      <c r="X256" s="10">
        <f t="shared" si="95"/>
        <v>16.0523280469349</v>
      </c>
      <c r="Y256" s="10">
        <f t="shared" si="95"/>
        <v>15.961073539301223</v>
      </c>
      <c r="Z256" s="10">
        <f t="shared" si="96"/>
        <v>15.87217590189495</v>
      </c>
      <c r="AA256" s="10">
        <f t="shared" si="96"/>
        <v>15.783881693767498</v>
      </c>
      <c r="AB256" s="10">
        <f t="shared" si="96"/>
        <v>15.689657777164882</v>
      </c>
      <c r="AC256" s="10">
        <f t="shared" si="96"/>
        <v>15.602535996871973</v>
      </c>
      <c r="AD256" s="10">
        <f t="shared" si="96"/>
        <v>15.516035539449653</v>
      </c>
      <c r="AE256" s="10">
        <f t="shared" si="96"/>
        <v>15.430227096394603</v>
      </c>
      <c r="AF256" s="10">
        <f t="shared" si="96"/>
        <v>15.34230487401253</v>
      </c>
      <c r="AG256" s="10">
        <f t="shared" si="96"/>
        <v>15.25637033370408</v>
      </c>
      <c r="AH256" s="10">
        <f t="shared" si="96"/>
        <v>15.171292624063998</v>
      </c>
      <c r="AI256" s="10">
        <f t="shared" si="96"/>
        <v>15.087403401557548</v>
      </c>
      <c r="AJ256" s="10">
        <f t="shared" si="96"/>
        <v>15.00247081988104</v>
      </c>
      <c r="AK256" s="10">
        <f t="shared" si="96"/>
        <v>14.918518459685972</v>
      </c>
      <c r="AL256" s="10">
        <f t="shared" si="96"/>
        <v>14.83679963808861</v>
      </c>
      <c r="AM256" s="10">
        <f t="shared" si="96"/>
        <v>14.451874585438198</v>
      </c>
      <c r="AN256" s="10">
        <f t="shared" si="96"/>
        <v>14.084388316196378</v>
      </c>
      <c r="AO256" s="186">
        <f t="shared" si="97"/>
        <v>14.084388316196378</v>
      </c>
      <c r="AP256" s="186">
        <f t="shared" si="97"/>
        <v>14.084388316196378</v>
      </c>
      <c r="AQ256" s="186"/>
      <c r="AR256" s="186"/>
      <c r="AS256" s="186"/>
      <c r="AT256" s="186"/>
      <c r="AU256" s="186"/>
      <c r="AV256" s="186"/>
    </row>
    <row r="257" spans="1:48" s="185" customFormat="1">
      <c r="A257" s="185" t="s">
        <v>16</v>
      </c>
      <c r="B257" s="22"/>
      <c r="C257" s="23" t="str">
        <f t="shared" si="92"/>
        <v/>
      </c>
      <c r="D257" s="22"/>
      <c r="E257" s="23" t="str">
        <f t="shared" si="93"/>
        <v/>
      </c>
      <c r="F257" s="23" t="str">
        <f t="shared" si="93"/>
        <v/>
      </c>
      <c r="G257" s="23"/>
      <c r="H257" s="23" t="str">
        <f t="shared" si="93"/>
        <v/>
      </c>
      <c r="I257" s="22" t="str">
        <f t="shared" si="94"/>
        <v/>
      </c>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86">
        <f t="shared" si="97"/>
        <v>0</v>
      </c>
      <c r="AP257" s="186">
        <f t="shared" si="97"/>
        <v>0</v>
      </c>
      <c r="AQ257" s="186"/>
      <c r="AR257" s="186"/>
      <c r="AS257" s="186"/>
      <c r="AT257" s="186"/>
      <c r="AU257" s="186"/>
      <c r="AV257" s="186"/>
    </row>
    <row r="258" spans="1:48" s="223" customFormat="1">
      <c r="B258" s="224" t="str">
        <f t="shared" ref="B258:B266" si="98">IF(A258="*","","COM_PROJ")</f>
        <v>COM_PROJ</v>
      </c>
      <c r="C258" s="224" t="str">
        <f t="shared" si="92"/>
        <v>-</v>
      </c>
      <c r="D258" s="224" t="str">
        <f>COM!B174</f>
        <v>CNC</v>
      </c>
      <c r="E258" s="224" t="str">
        <f t="shared" si="93"/>
        <v>-</v>
      </c>
      <c r="F258" s="224" t="str">
        <f t="shared" si="93"/>
        <v>-</v>
      </c>
      <c r="G258" s="224" t="str">
        <f t="shared" si="93"/>
        <v>-</v>
      </c>
      <c r="H258" s="224" t="str">
        <f t="shared" si="93"/>
        <v>-</v>
      </c>
      <c r="I258" s="224">
        <f t="shared" si="94"/>
        <v>0</v>
      </c>
      <c r="J258" s="225">
        <f t="shared" ref="J258:Y266" si="99">INDEX($J$220:$AV$228,MATCH($D258,$B$220:$B$228,0),MATCH(J$247,$J$104:$AV$104,0))</f>
        <v>0</v>
      </c>
      <c r="K258" s="225">
        <f t="shared" si="99"/>
        <v>0</v>
      </c>
      <c r="L258" s="225">
        <f t="shared" si="99"/>
        <v>0</v>
      </c>
      <c r="M258" s="225">
        <f t="shared" si="99"/>
        <v>0</v>
      </c>
      <c r="N258" s="225">
        <f t="shared" si="99"/>
        <v>0</v>
      </c>
      <c r="O258" s="225">
        <f t="shared" si="99"/>
        <v>0</v>
      </c>
      <c r="P258" s="225">
        <f t="shared" si="99"/>
        <v>1.6544946889303713</v>
      </c>
      <c r="Q258" s="225">
        <f t="shared" si="99"/>
        <v>3.1875183888127405</v>
      </c>
      <c r="R258" s="225">
        <f t="shared" si="99"/>
        <v>4.1497851114047242</v>
      </c>
      <c r="S258" s="225">
        <f t="shared" si="99"/>
        <v>6.0760176501224006</v>
      </c>
      <c r="T258" s="225">
        <f t="shared" si="99"/>
        <v>8.042044078406013</v>
      </c>
      <c r="U258" s="225">
        <f t="shared" si="99"/>
        <v>10.082751893533009</v>
      </c>
      <c r="V258" s="225">
        <f t="shared" si="99"/>
        <v>12.190743874351574</v>
      </c>
      <c r="W258" s="225">
        <f t="shared" si="99"/>
        <v>14.291909432341567</v>
      </c>
      <c r="X258" s="225">
        <f t="shared" si="99"/>
        <v>16.501291190674277</v>
      </c>
      <c r="Y258" s="225">
        <f t="shared" si="99"/>
        <v>18.729827956118001</v>
      </c>
      <c r="Z258" s="225">
        <f t="shared" ref="Z258:AN266" si="100">INDEX($J$220:$AV$228,MATCH($D258,$B$220:$B$228,0),MATCH(Z$247,$J$104:$AV$104,0))</f>
        <v>21.025071749534352</v>
      </c>
      <c r="AA258" s="225">
        <f t="shared" si="100"/>
        <v>23.337394537506206</v>
      </c>
      <c r="AB258" s="225">
        <f t="shared" si="100"/>
        <v>25.481887453250529</v>
      </c>
      <c r="AC258" s="225">
        <f t="shared" si="100"/>
        <v>27.803938667069961</v>
      </c>
      <c r="AD258" s="225">
        <f t="shared" si="100"/>
        <v>30.143399467387027</v>
      </c>
      <c r="AE258" s="225">
        <f t="shared" si="100"/>
        <v>32.50225064355331</v>
      </c>
      <c r="AF258" s="225">
        <f t="shared" si="100"/>
        <v>34.801873315873451</v>
      </c>
      <c r="AG258" s="225">
        <f t="shared" si="100"/>
        <v>37.15719122271377</v>
      </c>
      <c r="AH258" s="225">
        <f t="shared" si="100"/>
        <v>39.53651768990288</v>
      </c>
      <c r="AI258" s="225">
        <f t="shared" si="100"/>
        <v>41.949145795472894</v>
      </c>
      <c r="AJ258" s="225">
        <f t="shared" si="100"/>
        <v>44.332538776152319</v>
      </c>
      <c r="AK258" s="225">
        <f t="shared" si="100"/>
        <v>46.743397751527191</v>
      </c>
      <c r="AL258" s="225">
        <f t="shared" si="100"/>
        <v>49.216840908577815</v>
      </c>
      <c r="AM258" s="225">
        <f>INDEX($J$220:$AV$228,MATCH($D258,$B$220:$B$228,0),MATCH(AM$247,$J$104:$AV$104,0))</f>
        <v>61.986659637407833</v>
      </c>
      <c r="AN258" s="225">
        <f t="shared" si="100"/>
        <v>75.235343674571325</v>
      </c>
      <c r="AO258" s="226">
        <f t="shared" si="97"/>
        <v>75.235343674571325</v>
      </c>
      <c r="AP258" s="226">
        <f t="shared" si="97"/>
        <v>75.235343674571325</v>
      </c>
      <c r="AQ258" s="226"/>
      <c r="AR258" s="226"/>
      <c r="AS258" s="226"/>
      <c r="AT258" s="226"/>
      <c r="AU258" s="226"/>
      <c r="AV258" s="226"/>
    </row>
    <row r="259" spans="1:48" s="185" customFormat="1">
      <c r="B259" s="22" t="str">
        <f t="shared" si="98"/>
        <v>COM_PROJ</v>
      </c>
      <c r="C259" s="23" t="str">
        <f t="shared" si="92"/>
        <v>-</v>
      </c>
      <c r="D259" s="22" t="str">
        <f>COM!B175</f>
        <v>CNH</v>
      </c>
      <c r="E259" s="23" t="str">
        <f t="shared" si="93"/>
        <v>-</v>
      </c>
      <c r="F259" s="23" t="str">
        <f t="shared" si="93"/>
        <v>-</v>
      </c>
      <c r="G259" s="23" t="str">
        <f t="shared" si="93"/>
        <v>-</v>
      </c>
      <c r="H259" s="23" t="str">
        <f t="shared" si="93"/>
        <v>-</v>
      </c>
      <c r="I259" s="22">
        <f t="shared" si="94"/>
        <v>0</v>
      </c>
      <c r="J259" s="10">
        <f t="shared" si="99"/>
        <v>0</v>
      </c>
      <c r="K259" s="10">
        <f t="shared" si="99"/>
        <v>0</v>
      </c>
      <c r="L259" s="10">
        <f t="shared" si="99"/>
        <v>0</v>
      </c>
      <c r="M259" s="10">
        <f t="shared" si="99"/>
        <v>0</v>
      </c>
      <c r="N259" s="10">
        <f t="shared" si="99"/>
        <v>0</v>
      </c>
      <c r="O259" s="10">
        <f t="shared" si="99"/>
        <v>0</v>
      </c>
      <c r="P259" s="10">
        <f t="shared" si="99"/>
        <v>0.15778310002993795</v>
      </c>
      <c r="Q259" s="10">
        <f t="shared" si="99"/>
        <v>0.30398195663864902</v>
      </c>
      <c r="R259" s="10">
        <f t="shared" si="99"/>
        <v>0.39574981032959627</v>
      </c>
      <c r="S259" s="10">
        <f t="shared" si="99"/>
        <v>0.57944755404003445</v>
      </c>
      <c r="T259" s="10">
        <f t="shared" si="99"/>
        <v>0.76694029528051699</v>
      </c>
      <c r="U259" s="10">
        <f t="shared" si="99"/>
        <v>0.96155512691483591</v>
      </c>
      <c r="V259" s="10">
        <f t="shared" si="99"/>
        <v>1.1625866030489971</v>
      </c>
      <c r="W259" s="10">
        <f t="shared" si="99"/>
        <v>1.3629670682350945</v>
      </c>
      <c r="X259" s="10">
        <f t="shared" si="99"/>
        <v>1.5736677161801793</v>
      </c>
      <c r="Y259" s="10">
        <f t="shared" si="99"/>
        <v>1.78619510701135</v>
      </c>
      <c r="Z259" s="10">
        <f t="shared" si="100"/>
        <v>2.005084102831479</v>
      </c>
      <c r="AA259" s="10">
        <f t="shared" si="100"/>
        <v>2.22560185982225</v>
      </c>
      <c r="AB259" s="10">
        <f t="shared" si="100"/>
        <v>2.4301142964606126</v>
      </c>
      <c r="AC259" s="10">
        <f t="shared" si="100"/>
        <v>2.6515598178007713</v>
      </c>
      <c r="AD259" s="10">
        <f t="shared" si="100"/>
        <v>2.8746656276545259</v>
      </c>
      <c r="AE259" s="10">
        <f t="shared" si="100"/>
        <v>3.0996206266490525</v>
      </c>
      <c r="AF259" s="10">
        <f t="shared" si="100"/>
        <v>3.3189272201155928</v>
      </c>
      <c r="AG259" s="10">
        <f t="shared" si="100"/>
        <v>3.5435452641526801</v>
      </c>
      <c r="AH259" s="10">
        <f t="shared" si="100"/>
        <v>3.7704529166753278</v>
      </c>
      <c r="AI259" s="10">
        <f t="shared" si="100"/>
        <v>4.0005364245059258</v>
      </c>
      <c r="AJ259" s="10">
        <f t="shared" si="100"/>
        <v>4.2278318855293247</v>
      </c>
      <c r="AK259" s="10">
        <f t="shared" si="100"/>
        <v>4.4577466778914392</v>
      </c>
      <c r="AL259" s="10">
        <f t="shared" si="100"/>
        <v>4.6936298944882786</v>
      </c>
      <c r="AM259" s="10">
        <f t="shared" si="100"/>
        <v>5.9114407459439384</v>
      </c>
      <c r="AN259" s="10">
        <f t="shared" si="100"/>
        <v>7.1749192283392258</v>
      </c>
      <c r="AO259" s="186">
        <f t="shared" si="97"/>
        <v>7.1749192283392258</v>
      </c>
      <c r="AP259" s="186">
        <f t="shared" si="97"/>
        <v>7.1749192283392258</v>
      </c>
      <c r="AQ259" s="186"/>
      <c r="AR259" s="186"/>
      <c r="AS259" s="186"/>
      <c r="AT259" s="186"/>
      <c r="AU259" s="186"/>
      <c r="AV259" s="186"/>
    </row>
    <row r="260" spans="1:48" s="185" customFormat="1">
      <c r="B260" s="22" t="str">
        <f t="shared" si="98"/>
        <v>COM_PROJ</v>
      </c>
      <c r="C260" s="23" t="str">
        <f t="shared" si="92"/>
        <v>-</v>
      </c>
      <c r="D260" s="22" t="str">
        <f>COM!B176</f>
        <v>CNK</v>
      </c>
      <c r="E260" s="23" t="str">
        <f t="shared" si="93"/>
        <v>-</v>
      </c>
      <c r="F260" s="23" t="str">
        <f t="shared" si="93"/>
        <v>-</v>
      </c>
      <c r="G260" s="23" t="str">
        <f t="shared" si="93"/>
        <v>-</v>
      </c>
      <c r="H260" s="23" t="str">
        <f t="shared" si="93"/>
        <v>-</v>
      </c>
      <c r="I260" s="22">
        <f t="shared" si="94"/>
        <v>0</v>
      </c>
      <c r="J260" s="10">
        <f t="shared" si="99"/>
        <v>0</v>
      </c>
      <c r="K260" s="10">
        <f t="shared" si="99"/>
        <v>0</v>
      </c>
      <c r="L260" s="10">
        <f t="shared" si="99"/>
        <v>0</v>
      </c>
      <c r="M260" s="10">
        <f t="shared" si="99"/>
        <v>0</v>
      </c>
      <c r="N260" s="10">
        <f t="shared" si="99"/>
        <v>0</v>
      </c>
      <c r="O260" s="10">
        <f t="shared" si="99"/>
        <v>0</v>
      </c>
      <c r="P260" s="10">
        <f t="shared" si="99"/>
        <v>0.11351736674445566</v>
      </c>
      <c r="Q260" s="10">
        <f t="shared" si="99"/>
        <v>0.2187004264011754</v>
      </c>
      <c r="R260" s="10">
        <f t="shared" si="99"/>
        <v>0.28472299219440816</v>
      </c>
      <c r="S260" s="10">
        <f t="shared" si="99"/>
        <v>0.4168847011413751</v>
      </c>
      <c r="T260" s="10">
        <f t="shared" si="99"/>
        <v>0.55177672864800165</v>
      </c>
      <c r="U260" s="10">
        <f t="shared" si="99"/>
        <v>0.69179275832641252</v>
      </c>
      <c r="V260" s="10">
        <f t="shared" si="99"/>
        <v>0.83642525571790027</v>
      </c>
      <c r="W260" s="10">
        <f t="shared" si="99"/>
        <v>0.98058938198135226</v>
      </c>
      <c r="X260" s="10">
        <f t="shared" si="99"/>
        <v>1.1321783843620785</v>
      </c>
      <c r="Y260" s="10">
        <f t="shared" si="99"/>
        <v>1.2850816405640841</v>
      </c>
      <c r="Z260" s="10">
        <f t="shared" si="100"/>
        <v>1.4425617661930303</v>
      </c>
      <c r="AA260" s="10">
        <f t="shared" si="100"/>
        <v>1.6012137073022896</v>
      </c>
      <c r="AB260" s="10">
        <f t="shared" si="100"/>
        <v>1.7483505886873951</v>
      </c>
      <c r="AC260" s="10">
        <f t="shared" si="100"/>
        <v>1.9076700117125371</v>
      </c>
      <c r="AD260" s="10">
        <f t="shared" si="100"/>
        <v>2.0681839326279077</v>
      </c>
      <c r="AE260" s="10">
        <f t="shared" si="100"/>
        <v>2.2300282563673641</v>
      </c>
      <c r="AF260" s="10">
        <f t="shared" si="100"/>
        <v>2.3878088234578501</v>
      </c>
      <c r="AG260" s="10">
        <f t="shared" si="100"/>
        <v>2.5494107242795625</v>
      </c>
      <c r="AH260" s="10">
        <f t="shared" si="100"/>
        <v>2.7126598885034214</v>
      </c>
      <c r="AI260" s="10">
        <f t="shared" si="100"/>
        <v>2.8781939281775122</v>
      </c>
      <c r="AJ260" s="10">
        <f t="shared" si="100"/>
        <v>3.041722102002514</v>
      </c>
      <c r="AK260" s="10">
        <f t="shared" si="100"/>
        <v>3.2071347589955215</v>
      </c>
      <c r="AL260" s="10">
        <f t="shared" si="100"/>
        <v>3.3768414107358193</v>
      </c>
      <c r="AM260" s="10">
        <f t="shared" si="100"/>
        <v>4.2529978623699902</v>
      </c>
      <c r="AN260" s="10">
        <f t="shared" si="100"/>
        <v>5.1620099823789154</v>
      </c>
      <c r="AO260" s="186">
        <f t="shared" si="97"/>
        <v>5.1620099823789154</v>
      </c>
      <c r="AP260" s="186">
        <f t="shared" si="97"/>
        <v>5.1620099823789154</v>
      </c>
      <c r="AQ260" s="186"/>
      <c r="AR260" s="186"/>
      <c r="AS260" s="186"/>
      <c r="AT260" s="186"/>
      <c r="AU260" s="186"/>
      <c r="AV260" s="186"/>
    </row>
    <row r="261" spans="1:48" s="223" customFormat="1">
      <c r="B261" s="224" t="str">
        <f t="shared" si="98"/>
        <v>COM_PROJ</v>
      </c>
      <c r="C261" s="224" t="str">
        <f t="shared" si="92"/>
        <v>-</v>
      </c>
      <c r="D261" s="224" t="str">
        <f>COM!B177</f>
        <v>CNL</v>
      </c>
      <c r="E261" s="224" t="str">
        <f t="shared" si="93"/>
        <v>-</v>
      </c>
      <c r="F261" s="224" t="str">
        <f t="shared" si="93"/>
        <v>-</v>
      </c>
      <c r="G261" s="224" t="str">
        <f t="shared" si="93"/>
        <v>-</v>
      </c>
      <c r="H261" s="224" t="str">
        <f t="shared" si="93"/>
        <v>-</v>
      </c>
      <c r="I261" s="224">
        <f t="shared" si="94"/>
        <v>0</v>
      </c>
      <c r="J261" s="225">
        <f t="shared" si="99"/>
        <v>0</v>
      </c>
      <c r="K261" s="225">
        <f t="shared" si="99"/>
        <v>0</v>
      </c>
      <c r="L261" s="225">
        <f t="shared" si="99"/>
        <v>0</v>
      </c>
      <c r="M261" s="225">
        <f t="shared" si="99"/>
        <v>0</v>
      </c>
      <c r="N261" s="225">
        <f t="shared" si="99"/>
        <v>0</v>
      </c>
      <c r="O261" s="225">
        <f t="shared" si="99"/>
        <v>0</v>
      </c>
      <c r="P261" s="225">
        <f t="shared" si="99"/>
        <v>1.439792405855393</v>
      </c>
      <c r="Q261" s="225">
        <f t="shared" si="99"/>
        <v>2.7738770033187716</v>
      </c>
      <c r="R261" s="225">
        <f t="shared" si="99"/>
        <v>3.6112712414900638</v>
      </c>
      <c r="S261" s="225">
        <f t="shared" si="99"/>
        <v>5.2875383215314313</v>
      </c>
      <c r="T261" s="225">
        <f t="shared" si="99"/>
        <v>6.9984352739923503</v>
      </c>
      <c r="U261" s="225">
        <f t="shared" si="99"/>
        <v>8.7743222771045453</v>
      </c>
      <c r="V261" s="225">
        <f t="shared" si="99"/>
        <v>10.608762040431198</v>
      </c>
      <c r="W261" s="225">
        <f t="shared" si="99"/>
        <v>12.437261239660852</v>
      </c>
      <c r="X261" s="225">
        <f t="shared" si="99"/>
        <v>14.359933520548875</v>
      </c>
      <c r="Y261" s="225">
        <f t="shared" si="99"/>
        <v>16.29927508055702</v>
      </c>
      <c r="Z261" s="225">
        <f t="shared" si="100"/>
        <v>18.296667157701762</v>
      </c>
      <c r="AA261" s="225">
        <f t="shared" si="100"/>
        <v>20.308921903687448</v>
      </c>
      <c r="AB261" s="225">
        <f t="shared" si="100"/>
        <v>22.175125908546182</v>
      </c>
      <c r="AC261" s="225">
        <f t="shared" si="100"/>
        <v>24.195846631334319</v>
      </c>
      <c r="AD261" s="225">
        <f t="shared" si="100"/>
        <v>26.231717714287456</v>
      </c>
      <c r="AE261" s="225">
        <f t="shared" si="100"/>
        <v>28.284462901510118</v>
      </c>
      <c r="AF261" s="225">
        <f t="shared" si="100"/>
        <v>30.285665614393999</v>
      </c>
      <c r="AG261" s="225">
        <f t="shared" si="100"/>
        <v>32.335336041463364</v>
      </c>
      <c r="AH261" s="225">
        <f t="shared" si="100"/>
        <v>34.405899459665903</v>
      </c>
      <c r="AI261" s="225">
        <f t="shared" si="100"/>
        <v>36.50544299268185</v>
      </c>
      <c r="AJ261" s="225">
        <f t="shared" si="100"/>
        <v>38.579545216587938</v>
      </c>
      <c r="AK261" s="225">
        <f t="shared" si="100"/>
        <v>40.677549197838026</v>
      </c>
      <c r="AL261" s="225">
        <f t="shared" si="100"/>
        <v>42.830015867972108</v>
      </c>
      <c r="AM261" s="225">
        <f t="shared" si="100"/>
        <v>53.942706741465258</v>
      </c>
      <c r="AN261" s="225">
        <f t="shared" si="100"/>
        <v>65.472121004268217</v>
      </c>
      <c r="AO261" s="226">
        <f t="shared" si="97"/>
        <v>65.472121004268217</v>
      </c>
      <c r="AP261" s="226">
        <f t="shared" si="97"/>
        <v>65.472121004268217</v>
      </c>
      <c r="AQ261" s="226"/>
      <c r="AR261" s="226"/>
      <c r="AS261" s="226"/>
      <c r="AT261" s="226"/>
      <c r="AU261" s="226"/>
      <c r="AV261" s="226"/>
    </row>
    <row r="262" spans="1:48" s="185" customFormat="1">
      <c r="B262" s="22" t="str">
        <f t="shared" si="98"/>
        <v>COM_PROJ</v>
      </c>
      <c r="C262" s="23" t="str">
        <f t="shared" si="92"/>
        <v>-</v>
      </c>
      <c r="D262" s="22" t="str">
        <f>COM!B178</f>
        <v>CNR</v>
      </c>
      <c r="E262" s="23" t="str">
        <f t="shared" si="93"/>
        <v>-</v>
      </c>
      <c r="F262" s="23" t="str">
        <f t="shared" si="93"/>
        <v>-</v>
      </c>
      <c r="G262" s="23" t="str">
        <f t="shared" si="93"/>
        <v>-</v>
      </c>
      <c r="H262" s="23" t="str">
        <f t="shared" si="93"/>
        <v>-</v>
      </c>
      <c r="I262" s="22">
        <f t="shared" si="94"/>
        <v>0</v>
      </c>
      <c r="J262" s="10">
        <f t="shared" si="99"/>
        <v>0</v>
      </c>
      <c r="K262" s="10">
        <f t="shared" si="99"/>
        <v>0</v>
      </c>
      <c r="L262" s="10">
        <f t="shared" si="99"/>
        <v>0</v>
      </c>
      <c r="M262" s="10">
        <f t="shared" si="99"/>
        <v>0</v>
      </c>
      <c r="N262" s="10">
        <f t="shared" si="99"/>
        <v>0</v>
      </c>
      <c r="O262" s="10">
        <f t="shared" si="99"/>
        <v>0</v>
      </c>
      <c r="P262" s="10">
        <f t="shared" si="99"/>
        <v>0.35024986912740697</v>
      </c>
      <c r="Q262" s="10">
        <f t="shared" si="99"/>
        <v>0.67478481858689709</v>
      </c>
      <c r="R262" s="10">
        <f t="shared" si="99"/>
        <v>0.87849281227734122</v>
      </c>
      <c r="S262" s="10">
        <f t="shared" si="99"/>
        <v>1.2862684909233619</v>
      </c>
      <c r="T262" s="10">
        <f t="shared" si="99"/>
        <v>1.7024683758879597</v>
      </c>
      <c r="U262" s="10">
        <f t="shared" si="99"/>
        <v>2.1344780099820997</v>
      </c>
      <c r="V262" s="10">
        <f t="shared" si="99"/>
        <v>2.5807314312491396</v>
      </c>
      <c r="W262" s="10">
        <f t="shared" si="99"/>
        <v>3.0255397262680797</v>
      </c>
      <c r="X262" s="10">
        <f t="shared" si="99"/>
        <v>3.4932569555139446</v>
      </c>
      <c r="Y262" s="10">
        <f t="shared" si="99"/>
        <v>3.9650292226989787</v>
      </c>
      <c r="Z262" s="10">
        <f t="shared" si="100"/>
        <v>4.4509230993238083</v>
      </c>
      <c r="AA262" s="10">
        <f t="shared" si="100"/>
        <v>4.940432530382215</v>
      </c>
      <c r="AB262" s="10">
        <f t="shared" si="100"/>
        <v>5.3944130527190337</v>
      </c>
      <c r="AC262" s="10">
        <f t="shared" si="100"/>
        <v>5.8859819523890522</v>
      </c>
      <c r="AD262" s="10">
        <f t="shared" si="100"/>
        <v>6.3812363914767287</v>
      </c>
      <c r="AE262" s="10">
        <f t="shared" si="100"/>
        <v>6.8805956951184948</v>
      </c>
      <c r="AF262" s="10">
        <f t="shared" si="100"/>
        <v>7.3674165627897388</v>
      </c>
      <c r="AG262" s="10">
        <f t="shared" si="100"/>
        <v>7.8660278875305814</v>
      </c>
      <c r="AH262" s="10">
        <f t="shared" si="100"/>
        <v>8.3697217279037552</v>
      </c>
      <c r="AI262" s="10">
        <f t="shared" si="100"/>
        <v>8.8804653911398752</v>
      </c>
      <c r="AJ262" s="10">
        <f t="shared" si="100"/>
        <v>9.3850200960581702</v>
      </c>
      <c r="AK262" s="10">
        <f t="shared" si="100"/>
        <v>9.895389241549708</v>
      </c>
      <c r="AL262" s="10">
        <f t="shared" si="100"/>
        <v>10.41900720650742</v>
      </c>
      <c r="AM262" s="10">
        <f t="shared" si="100"/>
        <v>13.122326454661049</v>
      </c>
      <c r="AN262" s="10">
        <f t="shared" si="100"/>
        <v>15.927019561972781</v>
      </c>
      <c r="AO262" s="186">
        <f t="shared" si="97"/>
        <v>15.927019561972781</v>
      </c>
      <c r="AP262" s="186">
        <f t="shared" si="97"/>
        <v>15.927019561972781</v>
      </c>
      <c r="AQ262" s="186"/>
      <c r="AR262" s="186"/>
      <c r="AS262" s="186"/>
      <c r="AT262" s="186"/>
      <c r="AU262" s="186"/>
      <c r="AV262" s="186"/>
    </row>
    <row r="263" spans="1:48" s="185" customFormat="1">
      <c r="B263" s="22" t="str">
        <f t="shared" si="98"/>
        <v>COM_PROJ</v>
      </c>
      <c r="C263" s="23" t="str">
        <f t="shared" si="92"/>
        <v>-</v>
      </c>
      <c r="D263" s="22" t="str">
        <f>COM!B179</f>
        <v>CNW</v>
      </c>
      <c r="E263" s="23" t="str">
        <f t="shared" si="93"/>
        <v>-</v>
      </c>
      <c r="F263" s="23" t="str">
        <f t="shared" si="93"/>
        <v>-</v>
      </c>
      <c r="G263" s="23" t="str">
        <f t="shared" si="93"/>
        <v>-</v>
      </c>
      <c r="H263" s="23" t="str">
        <f t="shared" si="93"/>
        <v>-</v>
      </c>
      <c r="I263" s="22">
        <f t="shared" si="94"/>
        <v>0</v>
      </c>
      <c r="J263" s="10">
        <f t="shared" si="99"/>
        <v>0</v>
      </c>
      <c r="K263" s="10">
        <f t="shared" si="99"/>
        <v>0</v>
      </c>
      <c r="L263" s="10">
        <f t="shared" si="99"/>
        <v>0</v>
      </c>
      <c r="M263" s="10">
        <f t="shared" si="99"/>
        <v>0</v>
      </c>
      <c r="N263" s="10">
        <f t="shared" si="99"/>
        <v>0</v>
      </c>
      <c r="O263" s="10">
        <f t="shared" si="99"/>
        <v>0</v>
      </c>
      <c r="P263" s="10">
        <f t="shared" si="99"/>
        <v>0.13273002272365989</v>
      </c>
      <c r="Q263" s="10">
        <f t="shared" si="99"/>
        <v>0.25571516851028336</v>
      </c>
      <c r="R263" s="10">
        <f t="shared" si="99"/>
        <v>0.3329119614709351</v>
      </c>
      <c r="S263" s="10">
        <f t="shared" si="99"/>
        <v>0.48744185530839423</v>
      </c>
      <c r="T263" s="10">
        <f t="shared" si="99"/>
        <v>0.64516417031328799</v>
      </c>
      <c r="U263" s="10">
        <f t="shared" si="99"/>
        <v>0.808877717710209</v>
      </c>
      <c r="V263" s="10">
        <f t="shared" si="99"/>
        <v>0.97798906354125981</v>
      </c>
      <c r="W263" s="10">
        <f t="shared" si="99"/>
        <v>1.1465527670841726</v>
      </c>
      <c r="X263" s="10">
        <f t="shared" si="99"/>
        <v>1.3237979966704505</v>
      </c>
      <c r="Y263" s="10">
        <f t="shared" si="99"/>
        <v>1.5025799157040418</v>
      </c>
      <c r="Z263" s="10">
        <f t="shared" si="100"/>
        <v>1.686713332930933</v>
      </c>
      <c r="AA263" s="10">
        <f t="shared" si="100"/>
        <v>1.8722168937736461</v>
      </c>
      <c r="AB263" s="10">
        <f t="shared" si="100"/>
        <v>2.0442564870959372</v>
      </c>
      <c r="AC263" s="10">
        <f t="shared" si="100"/>
        <v>2.2305405002377441</v>
      </c>
      <c r="AD263" s="10">
        <f t="shared" si="100"/>
        <v>2.4182211783715277</v>
      </c>
      <c r="AE263" s="10">
        <f t="shared" si="100"/>
        <v>2.6074574281516316</v>
      </c>
      <c r="AF263" s="10">
        <f t="shared" si="100"/>
        <v>2.7919421361383501</v>
      </c>
      <c r="AG263" s="10">
        <f t="shared" si="100"/>
        <v>2.9808949332600303</v>
      </c>
      <c r="AH263" s="10">
        <f t="shared" si="100"/>
        <v>3.1717737908169474</v>
      </c>
      <c r="AI263" s="10">
        <f t="shared" si="100"/>
        <v>3.3653242358069377</v>
      </c>
      <c r="AJ263" s="10">
        <f t="shared" si="100"/>
        <v>3.5565293249508079</v>
      </c>
      <c r="AK263" s="10">
        <f t="shared" si="100"/>
        <v>3.7499378434102546</v>
      </c>
      <c r="AL263" s="10">
        <f t="shared" si="100"/>
        <v>3.9483671092383945</v>
      </c>
      <c r="AM263" s="10">
        <f t="shared" si="100"/>
        <v>4.9728118181847867</v>
      </c>
      <c r="AN263" s="10">
        <f t="shared" si="100"/>
        <v>6.0356729715488795</v>
      </c>
      <c r="AO263" s="186">
        <f t="shared" si="97"/>
        <v>6.0356729715488795</v>
      </c>
      <c r="AP263" s="186">
        <f t="shared" si="97"/>
        <v>6.0356729715488795</v>
      </c>
      <c r="AQ263" s="186"/>
      <c r="AR263" s="186"/>
      <c r="AS263" s="186"/>
      <c r="AT263" s="186"/>
      <c r="AU263" s="186"/>
      <c r="AV263" s="186"/>
    </row>
    <row r="264" spans="1:48" s="185" customFormat="1">
      <c r="B264" s="22" t="str">
        <f t="shared" si="98"/>
        <v>COM_PROJ</v>
      </c>
      <c r="C264" s="23" t="str">
        <f t="shared" si="92"/>
        <v>-</v>
      </c>
      <c r="D264" s="22" t="str">
        <f>COM!B180</f>
        <v>CNG</v>
      </c>
      <c r="E264" s="23" t="str">
        <f t="shared" ref="E264:H266" si="101">IF($A264="*","","-")</f>
        <v>-</v>
      </c>
      <c r="F264" s="23" t="str">
        <f t="shared" si="101"/>
        <v>-</v>
      </c>
      <c r="G264" s="23" t="str">
        <f t="shared" si="101"/>
        <v>-</v>
      </c>
      <c r="H264" s="23" t="str">
        <f t="shared" si="101"/>
        <v>-</v>
      </c>
      <c r="I264" s="22">
        <f t="shared" si="94"/>
        <v>0</v>
      </c>
      <c r="J264" s="10">
        <f t="shared" si="99"/>
        <v>0</v>
      </c>
      <c r="K264" s="10">
        <f t="shared" si="99"/>
        <v>0</v>
      </c>
      <c r="L264" s="10">
        <f t="shared" si="99"/>
        <v>0</v>
      </c>
      <c r="M264" s="10">
        <f t="shared" si="99"/>
        <v>0</v>
      </c>
      <c r="N264" s="10">
        <f t="shared" si="99"/>
        <v>0</v>
      </c>
      <c r="O264" s="10">
        <f t="shared" si="99"/>
        <v>0</v>
      </c>
      <c r="P264" s="10">
        <f t="shared" si="99"/>
        <v>0</v>
      </c>
      <c r="Q264" s="10">
        <f t="shared" si="99"/>
        <v>0</v>
      </c>
      <c r="R264" s="10">
        <f t="shared" si="99"/>
        <v>0</v>
      </c>
      <c r="S264" s="10">
        <f t="shared" si="99"/>
        <v>0</v>
      </c>
      <c r="T264" s="10">
        <f t="shared" si="99"/>
        <v>0</v>
      </c>
      <c r="U264" s="10">
        <f t="shared" si="99"/>
        <v>0</v>
      </c>
      <c r="V264" s="10">
        <f t="shared" si="99"/>
        <v>0</v>
      </c>
      <c r="W264" s="10">
        <f t="shared" si="99"/>
        <v>0</v>
      </c>
      <c r="X264" s="10">
        <f t="shared" si="99"/>
        <v>0</v>
      </c>
      <c r="Y264" s="10">
        <f t="shared" si="99"/>
        <v>0</v>
      </c>
      <c r="Z264" s="10">
        <f t="shared" si="100"/>
        <v>0</v>
      </c>
      <c r="AA264" s="10">
        <f t="shared" si="100"/>
        <v>0</v>
      </c>
      <c r="AB264" s="10">
        <f t="shared" si="100"/>
        <v>0</v>
      </c>
      <c r="AC264" s="10">
        <f t="shared" si="100"/>
        <v>0</v>
      </c>
      <c r="AD264" s="10">
        <f t="shared" si="100"/>
        <v>0</v>
      </c>
      <c r="AE264" s="10">
        <f t="shared" si="100"/>
        <v>0</v>
      </c>
      <c r="AF264" s="10">
        <f t="shared" si="100"/>
        <v>0</v>
      </c>
      <c r="AG264" s="10">
        <f t="shared" si="100"/>
        <v>0</v>
      </c>
      <c r="AH264" s="10">
        <f t="shared" si="100"/>
        <v>0</v>
      </c>
      <c r="AI264" s="10">
        <f t="shared" si="100"/>
        <v>0</v>
      </c>
      <c r="AJ264" s="10">
        <f t="shared" si="100"/>
        <v>0</v>
      </c>
      <c r="AK264" s="10">
        <f t="shared" si="100"/>
        <v>0</v>
      </c>
      <c r="AL264" s="10">
        <f t="shared" si="100"/>
        <v>0</v>
      </c>
      <c r="AM264" s="10">
        <f t="shared" si="100"/>
        <v>0</v>
      </c>
      <c r="AN264" s="10">
        <f t="shared" si="100"/>
        <v>0</v>
      </c>
      <c r="AO264" s="186">
        <f t="shared" si="97"/>
        <v>0</v>
      </c>
      <c r="AP264" s="186">
        <f t="shared" si="97"/>
        <v>0</v>
      </c>
      <c r="AQ264" s="186"/>
      <c r="AR264" s="186"/>
      <c r="AS264" s="186"/>
      <c r="AT264" s="186"/>
      <c r="AU264" s="186"/>
      <c r="AV264" s="186"/>
    </row>
    <row r="265" spans="1:48" s="185" customFormat="1">
      <c r="B265" s="22" t="str">
        <f t="shared" si="98"/>
        <v>COM_PROJ</v>
      </c>
      <c r="C265" s="23" t="str">
        <f t="shared" si="92"/>
        <v>-</v>
      </c>
      <c r="D265" s="22" t="str">
        <f>COM!B181</f>
        <v>CNT</v>
      </c>
      <c r="E265" s="23" t="str">
        <f t="shared" si="101"/>
        <v>-</v>
      </c>
      <c r="F265" s="23" t="str">
        <f t="shared" si="101"/>
        <v>-</v>
      </c>
      <c r="G265" s="23" t="str">
        <f t="shared" si="101"/>
        <v>-</v>
      </c>
      <c r="H265" s="23" t="str">
        <f t="shared" si="101"/>
        <v>-</v>
      </c>
      <c r="I265" s="22">
        <f t="shared" si="94"/>
        <v>0</v>
      </c>
      <c r="J265" s="10">
        <f t="shared" si="99"/>
        <v>0</v>
      </c>
      <c r="K265" s="10">
        <f t="shared" si="99"/>
        <v>0</v>
      </c>
      <c r="L265" s="10">
        <f t="shared" si="99"/>
        <v>0</v>
      </c>
      <c r="M265" s="10">
        <f t="shared" si="99"/>
        <v>0</v>
      </c>
      <c r="N265" s="10">
        <f t="shared" si="99"/>
        <v>0</v>
      </c>
      <c r="O265" s="10">
        <f t="shared" si="99"/>
        <v>0</v>
      </c>
      <c r="P265" s="10">
        <f t="shared" si="99"/>
        <v>0</v>
      </c>
      <c r="Q265" s="10">
        <f t="shared" si="99"/>
        <v>0</v>
      </c>
      <c r="R265" s="10">
        <f t="shared" si="99"/>
        <v>0</v>
      </c>
      <c r="S265" s="10">
        <f t="shared" si="99"/>
        <v>0</v>
      </c>
      <c r="T265" s="10">
        <f t="shared" si="99"/>
        <v>0</v>
      </c>
      <c r="U265" s="10">
        <f t="shared" si="99"/>
        <v>0</v>
      </c>
      <c r="V265" s="10">
        <f t="shared" si="99"/>
        <v>0</v>
      </c>
      <c r="W265" s="10">
        <f t="shared" si="99"/>
        <v>0</v>
      </c>
      <c r="X265" s="10">
        <f t="shared" si="99"/>
        <v>0</v>
      </c>
      <c r="Y265" s="10">
        <f t="shared" si="99"/>
        <v>0</v>
      </c>
      <c r="Z265" s="10">
        <f t="shared" si="100"/>
        <v>0</v>
      </c>
      <c r="AA265" s="10">
        <f t="shared" si="100"/>
        <v>0</v>
      </c>
      <c r="AB265" s="10">
        <f t="shared" si="100"/>
        <v>0</v>
      </c>
      <c r="AC265" s="10">
        <f t="shared" si="100"/>
        <v>0</v>
      </c>
      <c r="AD265" s="10">
        <f t="shared" si="100"/>
        <v>0</v>
      </c>
      <c r="AE265" s="10">
        <f t="shared" si="100"/>
        <v>0</v>
      </c>
      <c r="AF265" s="10">
        <f t="shared" si="100"/>
        <v>0</v>
      </c>
      <c r="AG265" s="10">
        <f t="shared" si="100"/>
        <v>0</v>
      </c>
      <c r="AH265" s="10">
        <f t="shared" si="100"/>
        <v>0</v>
      </c>
      <c r="AI265" s="10">
        <f t="shared" si="100"/>
        <v>0</v>
      </c>
      <c r="AJ265" s="10">
        <f t="shared" si="100"/>
        <v>0</v>
      </c>
      <c r="AK265" s="10">
        <f t="shared" si="100"/>
        <v>0</v>
      </c>
      <c r="AL265" s="10">
        <f t="shared" si="100"/>
        <v>0</v>
      </c>
      <c r="AM265" s="10">
        <f t="shared" si="100"/>
        <v>0</v>
      </c>
      <c r="AN265" s="10">
        <f t="shared" si="100"/>
        <v>0</v>
      </c>
      <c r="AO265" s="186">
        <f>AN265</f>
        <v>0</v>
      </c>
      <c r="AP265" s="186">
        <f>AO265</f>
        <v>0</v>
      </c>
      <c r="AQ265" s="186"/>
      <c r="AR265" s="186"/>
      <c r="AS265" s="186"/>
      <c r="AT265" s="186"/>
      <c r="AU265" s="186"/>
      <c r="AV265" s="186"/>
    </row>
    <row r="266" spans="1:48" s="185" customFormat="1">
      <c r="B266" s="22" t="str">
        <f t="shared" si="98"/>
        <v>COM_PROJ</v>
      </c>
      <c r="C266" s="23" t="str">
        <f t="shared" si="92"/>
        <v>-</v>
      </c>
      <c r="D266" s="22" t="str">
        <f>COM!B182</f>
        <v>CNO</v>
      </c>
      <c r="E266" s="23" t="str">
        <f t="shared" si="101"/>
        <v>-</v>
      </c>
      <c r="F266" s="23" t="str">
        <f t="shared" si="101"/>
        <v>-</v>
      </c>
      <c r="G266" s="23" t="str">
        <f t="shared" si="101"/>
        <v>-</v>
      </c>
      <c r="H266" s="23" t="str">
        <f t="shared" si="101"/>
        <v>-</v>
      </c>
      <c r="I266" s="22">
        <f t="shared" si="94"/>
        <v>0</v>
      </c>
      <c r="J266" s="10">
        <f t="shared" si="99"/>
        <v>0</v>
      </c>
      <c r="K266" s="10">
        <f t="shared" si="99"/>
        <v>0</v>
      </c>
      <c r="L266" s="10">
        <f t="shared" si="99"/>
        <v>0</v>
      </c>
      <c r="M266" s="10">
        <f t="shared" si="99"/>
        <v>0</v>
      </c>
      <c r="N266" s="10">
        <f t="shared" si="99"/>
        <v>0</v>
      </c>
      <c r="O266" s="10">
        <f t="shared" si="99"/>
        <v>0</v>
      </c>
      <c r="P266" s="10">
        <f t="shared" si="99"/>
        <v>0.23382419467651278</v>
      </c>
      <c r="Q266" s="10">
        <f t="shared" si="99"/>
        <v>0.45048130118964741</v>
      </c>
      <c r="R266" s="10">
        <f t="shared" si="99"/>
        <v>0.58647523515600009</v>
      </c>
      <c r="S266" s="10">
        <f t="shared" si="99"/>
        <v>0.85870323028878481</v>
      </c>
      <c r="T266" s="10">
        <f t="shared" si="99"/>
        <v>1.136555162592874</v>
      </c>
      <c r="U266" s="10">
        <f t="shared" si="99"/>
        <v>1.4249615652454106</v>
      </c>
      <c r="V266" s="10">
        <f t="shared" si="99"/>
        <v>1.7228770137489693</v>
      </c>
      <c r="W266" s="10">
        <f t="shared" si="99"/>
        <v>2.0198277067709354</v>
      </c>
      <c r="X266" s="10">
        <f t="shared" si="99"/>
        <v>2.3320722330492942</v>
      </c>
      <c r="Y266" s="10">
        <f t="shared" si="99"/>
        <v>2.6470238723463417</v>
      </c>
      <c r="Z266" s="10">
        <f t="shared" si="100"/>
        <v>2.9714029925530117</v>
      </c>
      <c r="AA266" s="10">
        <f t="shared" si="100"/>
        <v>3.2981958298749707</v>
      </c>
      <c r="AB266" s="10">
        <f t="shared" si="100"/>
        <v>3.6012698332962692</v>
      </c>
      <c r="AC266" s="10">
        <f t="shared" si="100"/>
        <v>3.9294375564697805</v>
      </c>
      <c r="AD266" s="10">
        <f t="shared" si="100"/>
        <v>4.2600657182108481</v>
      </c>
      <c r="AE266" s="10">
        <f t="shared" si="100"/>
        <v>4.5934342568462956</v>
      </c>
      <c r="AF266" s="10">
        <f t="shared" si="100"/>
        <v>4.9184322293467302</v>
      </c>
      <c r="AG266" s="10">
        <f t="shared" si="100"/>
        <v>5.2513014228587096</v>
      </c>
      <c r="AH266" s="10">
        <f t="shared" si="100"/>
        <v>5.5875636658174237</v>
      </c>
      <c r="AI266" s="10">
        <f t="shared" si="100"/>
        <v>5.9285323178253302</v>
      </c>
      <c r="AJ266" s="10">
        <f t="shared" si="100"/>
        <v>6.2653692675198087</v>
      </c>
      <c r="AK266" s="10">
        <f t="shared" si="100"/>
        <v>6.6060878942807761</v>
      </c>
      <c r="AL266" s="10">
        <f t="shared" si="100"/>
        <v>6.955651333888671</v>
      </c>
      <c r="AM266" s="10">
        <f t="shared" si="100"/>
        <v>8.7603670579168362</v>
      </c>
      <c r="AN266" s="10">
        <f t="shared" si="100"/>
        <v>10.63275921259706</v>
      </c>
      <c r="AO266" s="186">
        <f>AN266</f>
        <v>10.63275921259706</v>
      </c>
      <c r="AP266" s="186">
        <f>AO266</f>
        <v>10.63275921259706</v>
      </c>
      <c r="AQ266" s="186"/>
      <c r="AR266" s="186"/>
      <c r="AS266" s="186"/>
      <c r="AT266" s="186"/>
      <c r="AU266" s="186"/>
      <c r="AV266" s="186"/>
    </row>
    <row r="267" spans="1:48">
      <c r="K267" s="87"/>
    </row>
    <row r="268" spans="1:48">
      <c r="K268" s="87"/>
    </row>
    <row r="269" spans="1:48">
      <c r="M269" s="94"/>
      <c r="AB269" s="94"/>
    </row>
  </sheetData>
  <mergeCells count="2">
    <mergeCell ref="B2:C2"/>
    <mergeCell ref="B13:C13"/>
  </mergeCells>
  <pageMargins left="0.7" right="0.7" top="0.75" bottom="0.75" header="0.3" footer="0.3"/>
  <pageSetup paperSize="9" orientation="portrait" r:id="rId1"/>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4"/>
  <dimension ref="A1:I39"/>
  <sheetViews>
    <sheetView workbookViewId="0"/>
    <sheetView workbookViewId="1"/>
  </sheetViews>
  <sheetFormatPr defaultColWidth="9.140625" defaultRowHeight="11.25"/>
  <cols>
    <col min="1" max="1" width="12.42578125" style="18" customWidth="1"/>
    <col min="2" max="2" width="9.140625" style="18"/>
    <col min="3" max="3" width="11" style="18" customWidth="1"/>
    <col min="4" max="4" width="36.85546875" style="18" customWidth="1"/>
    <col min="5" max="5" width="10.140625" style="18" customWidth="1"/>
    <col min="6" max="6" width="28.85546875" style="18" customWidth="1"/>
    <col min="7" max="16384" width="9.140625" style="18"/>
  </cols>
  <sheetData>
    <row r="1" spans="1:9">
      <c r="A1" s="16" t="s">
        <v>28</v>
      </c>
      <c r="B1" s="18" t="s">
        <v>17</v>
      </c>
      <c r="I1" s="18" t="s">
        <v>78</v>
      </c>
    </row>
    <row r="2" spans="1:9">
      <c r="A2" s="18" t="s">
        <v>16</v>
      </c>
    </row>
    <row r="3" spans="1:9">
      <c r="A3" s="18" t="s">
        <v>16</v>
      </c>
    </row>
    <row r="4" spans="1:9">
      <c r="A4" s="18" t="s">
        <v>16</v>
      </c>
      <c r="B4" s="16" t="s">
        <v>30</v>
      </c>
      <c r="C4" s="26" t="s">
        <v>31</v>
      </c>
      <c r="D4" s="16" t="s">
        <v>32</v>
      </c>
      <c r="E4" s="16" t="s">
        <v>33</v>
      </c>
      <c r="F4" s="16" t="s">
        <v>34</v>
      </c>
      <c r="G4" s="16" t="s">
        <v>35</v>
      </c>
    </row>
    <row r="5" spans="1:9">
      <c r="A5" s="18" t="s">
        <v>16</v>
      </c>
      <c r="B5" s="16" t="s">
        <v>79</v>
      </c>
      <c r="C5" s="26"/>
      <c r="D5" s="16"/>
      <c r="E5" s="16"/>
      <c r="F5" s="16"/>
      <c r="G5" s="16"/>
    </row>
    <row r="6" spans="1:9">
      <c r="A6" s="18" t="str">
        <f>[2]ITEMS_Comm!A9</f>
        <v/>
      </c>
      <c r="B6" s="19" t="str">
        <f>[2]ITEMS_Comm!B9</f>
        <v>E</v>
      </c>
      <c r="C6" s="45" t="str">
        <f>[2]ITEMS_Comm!C9</f>
        <v>TPPRSUV</v>
      </c>
      <c r="D6" s="44" t="str">
        <f>[2]ITEMS_Comm!D9</f>
        <v>Transport Passenger SUV Priv.Veh.</v>
      </c>
      <c r="E6" s="19" t="str">
        <f>[2]ITEMS_Comm!E9</f>
        <v>PJ</v>
      </c>
      <c r="F6" s="19" t="str">
        <f>[2]ITEMS_Comm!F9</f>
        <v>COM,DEM,ANNUAL,RES</v>
      </c>
    </row>
    <row r="7" spans="1:9">
      <c r="A7" s="18" t="str">
        <f>[2]ITEMS_Comm!A10</f>
        <v/>
      </c>
      <c r="B7" s="19" t="str">
        <f>[2]ITEMS_Comm!B10</f>
        <v>E</v>
      </c>
      <c r="C7" s="45" t="str">
        <f>[2]ITEMS_Comm!C10</f>
        <v>TPPRCAR</v>
      </c>
      <c r="D7" s="44" t="str">
        <f>[2]ITEMS_Comm!D10</f>
        <v>Transport Passenger Car Priv.Veh.</v>
      </c>
      <c r="E7" s="19" t="str">
        <f>[2]ITEMS_Comm!E10</f>
        <v>PJ</v>
      </c>
      <c r="F7" s="19" t="str">
        <f>[2]ITEMS_Comm!F10</f>
        <v>COM,DEM,ANNUAL,RES</v>
      </c>
    </row>
    <row r="8" spans="1:9">
      <c r="A8" s="18" t="str">
        <f>[2]ITEMS_Comm!A11</f>
        <v/>
      </c>
      <c r="B8" s="19" t="str">
        <f>[2]ITEMS_Comm!B11</f>
        <v>E</v>
      </c>
      <c r="C8" s="45" t="str">
        <f>[2]ITEMS_Comm!C11</f>
        <v>TPPRMOT</v>
      </c>
      <c r="D8" s="44" t="str">
        <f>[2]ITEMS_Comm!D11</f>
        <v>Transport Passenger Moto Priv.Veh.</v>
      </c>
      <c r="E8" s="19" t="str">
        <f>[2]ITEMS_Comm!E11</f>
        <v>PJ</v>
      </c>
      <c r="F8" s="19" t="str">
        <f>[2]ITEMS_Comm!F11</f>
        <v>COM,DEM,ANNUAL,RES</v>
      </c>
    </row>
    <row r="9" spans="1:9">
      <c r="A9" s="18" t="str">
        <f>[2]ITEMS_Comm!A12</f>
        <v/>
      </c>
      <c r="B9" s="19" t="str">
        <f>[2]ITEMS_Comm!B12</f>
        <v>E</v>
      </c>
      <c r="C9" s="45" t="str">
        <f>[2]ITEMS_Comm!C12</f>
        <v>TPPUBUS</v>
      </c>
      <c r="D9" s="44" t="str">
        <f>[2]ITEMS_Comm!D12</f>
        <v>Transport Passenger Bus</v>
      </c>
      <c r="E9" s="19" t="str">
        <f>[2]ITEMS_Comm!E12</f>
        <v>PJ</v>
      </c>
      <c r="F9" s="19" t="str">
        <f>[2]ITEMS_Comm!F12</f>
        <v>COM,DEM,ANNUAL,RES</v>
      </c>
    </row>
    <row r="10" spans="1:9">
      <c r="A10" s="18" t="str">
        <f>[2]ITEMS_Comm!A13</f>
        <v/>
      </c>
      <c r="B10" s="19" t="str">
        <f>[2]ITEMS_Comm!B13</f>
        <v>E</v>
      </c>
      <c r="C10" s="45" t="str">
        <f>[2]ITEMS_Comm!C13</f>
        <v>TPPUMBT</v>
      </c>
      <c r="D10" s="44" t="str">
        <f>[2]ITEMS_Comm!D13</f>
        <v>Transport Passenger Minibus</v>
      </c>
      <c r="E10" s="19" t="str">
        <f>[2]ITEMS_Comm!E13</f>
        <v>PJ</v>
      </c>
      <c r="F10" s="19" t="str">
        <f>[2]ITEMS_Comm!F13</f>
        <v>COM,DEM,ANNUAL,RES</v>
      </c>
    </row>
    <row r="11" spans="1:9">
      <c r="A11" s="18" t="str">
        <f>[2]ITEMS_Comm!A14</f>
        <v/>
      </c>
      <c r="B11" s="19" t="str">
        <f>[2]ITEMS_Comm!B14</f>
        <v>E</v>
      </c>
      <c r="C11" s="45" t="str">
        <f>[2]ITEMS_Comm!C14</f>
        <v>TPPUBRT</v>
      </c>
      <c r="D11" s="44" t="str">
        <f>[2]ITEMS_Comm!D14</f>
        <v>Transport Passenger BRT</v>
      </c>
      <c r="E11" s="19" t="str">
        <f>[2]ITEMS_Comm!E14</f>
        <v>PJ</v>
      </c>
      <c r="F11" s="19" t="str">
        <f>[2]ITEMS_Comm!F14</f>
        <v>COM,DEM,ANNUAL,RES</v>
      </c>
    </row>
    <row r="12" spans="1:9">
      <c r="A12" s="18" t="str">
        <f>[2]ITEMS_Comm!A15</f>
        <v/>
      </c>
      <c r="B12" s="19" t="str">
        <f>[2]ITEMS_Comm!B15</f>
        <v>E</v>
      </c>
      <c r="C12" s="45" t="str">
        <f>[2]ITEMS_Comm!C15</f>
        <v>TPPUMER</v>
      </c>
      <c r="D12" s="44" t="str">
        <f>[2]ITEMS_Comm!D15</f>
        <v>Transport Passenger Metro Rail</v>
      </c>
      <c r="E12" s="19" t="str">
        <f>[2]ITEMS_Comm!E15</f>
        <v>PJ</v>
      </c>
      <c r="F12" s="19" t="str">
        <f>[2]ITEMS_Comm!F15</f>
        <v>COM,DEM,ANNUAL,RES</v>
      </c>
    </row>
    <row r="13" spans="1:9">
      <c r="A13" s="18" t="str">
        <f>[2]ITEMS_Comm!A16</f>
        <v/>
      </c>
      <c r="B13" s="19" t="str">
        <f>[2]ITEMS_Comm!B16</f>
        <v>E</v>
      </c>
      <c r="C13" s="45" t="str">
        <f>[2]ITEMS_Comm!C16</f>
        <v>TPPUGAT</v>
      </c>
      <c r="D13" s="44" t="str">
        <f>[2]ITEMS_Comm!D16</f>
        <v>Transport Passenger Gautrain</v>
      </c>
      <c r="E13" s="19" t="str">
        <f>[2]ITEMS_Comm!E16</f>
        <v>PJ</v>
      </c>
      <c r="F13" s="19" t="str">
        <f>[2]ITEMS_Comm!F16</f>
        <v>COM,DEM,ANNUAL,RES</v>
      </c>
    </row>
    <row r="14" spans="1:9">
      <c r="A14" s="18" t="str">
        <f>[2]ITEMS_Comm!A17</f>
        <v>*</v>
      </c>
      <c r="B14" s="19"/>
      <c r="C14" s="45"/>
      <c r="D14" s="44"/>
      <c r="E14" s="19"/>
      <c r="F14" s="19"/>
    </row>
    <row r="15" spans="1:9">
      <c r="B15" s="19" t="str">
        <f>[2]ITEMS_Comm!B18</f>
        <v>E</v>
      </c>
      <c r="C15" s="45" t="str">
        <f>[2]ITEMS_Comm!C18</f>
        <v>TFLCV</v>
      </c>
      <c r="D15" s="44" t="str">
        <f>[2]ITEMS_Comm!D18</f>
        <v>Transport Freight - LCV</v>
      </c>
      <c r="E15" s="19" t="str">
        <f>[2]ITEMS_Comm!E18</f>
        <v>PJ</v>
      </c>
      <c r="F15" s="19" t="str">
        <f>[2]ITEMS_Comm!F18</f>
        <v>COM,DEM,ANNUAL,RES</v>
      </c>
    </row>
    <row r="16" spans="1:9">
      <c r="B16" s="19" t="str">
        <f>[2]ITEMS_Comm!B19</f>
        <v>E</v>
      </c>
      <c r="C16" s="45" t="str">
        <f>[2]ITEMS_Comm!C19</f>
        <v>TFHCV1</v>
      </c>
      <c r="D16" s="44" t="str">
        <f>[2]ITEMS_Comm!D19</f>
        <v>Transport Freight - HCV1</v>
      </c>
      <c r="E16" s="19" t="str">
        <f>[2]ITEMS_Comm!E19</f>
        <v>PJ</v>
      </c>
      <c r="F16" s="19" t="str">
        <f>[2]ITEMS_Comm!F19</f>
        <v>COM,DEM,ANNUAL,RES</v>
      </c>
    </row>
    <row r="17" spans="1:6">
      <c r="B17" s="19" t="str">
        <f>[2]ITEMS_Comm!B20</f>
        <v>E</v>
      </c>
      <c r="C17" s="45" t="str">
        <f>[2]ITEMS_Comm!C20</f>
        <v>TFHCV2</v>
      </c>
      <c r="D17" s="44" t="str">
        <f>[2]ITEMS_Comm!D20</f>
        <v>Transport Freight - HCV2</v>
      </c>
      <c r="E17" s="19" t="str">
        <f>[2]ITEMS_Comm!E20</f>
        <v>PJ</v>
      </c>
      <c r="F17" s="19" t="str">
        <f>[2]ITEMS_Comm!F20</f>
        <v>COM,DEM,ANNUAL,RES</v>
      </c>
    </row>
    <row r="18" spans="1:6">
      <c r="B18" s="19" t="str">
        <f>[2]ITEMS_Comm!B21</f>
        <v>E</v>
      </c>
      <c r="C18" s="45" t="str">
        <f>[2]ITEMS_Comm!C21</f>
        <v>TFHCV3</v>
      </c>
      <c r="D18" s="44" t="str">
        <f>[2]ITEMS_Comm!D21</f>
        <v>Transport Freight - HCV3</v>
      </c>
      <c r="E18" s="19" t="str">
        <f>[2]ITEMS_Comm!E21</f>
        <v>PJ</v>
      </c>
      <c r="F18" s="19" t="str">
        <f>[2]ITEMS_Comm!F21</f>
        <v>COM,DEM,ANNUAL,RES</v>
      </c>
    </row>
    <row r="19" spans="1:6">
      <c r="B19" s="19" t="str">
        <f>[2]ITEMS_Comm!B22</f>
        <v>E</v>
      </c>
      <c r="C19" s="45" t="str">
        <f>[2]ITEMS_Comm!C22</f>
        <v>TFHCV4</v>
      </c>
      <c r="D19" s="44" t="str">
        <f>[2]ITEMS_Comm!D22</f>
        <v>Transport Freight - HCV4</v>
      </c>
      <c r="E19" s="19" t="str">
        <f>[2]ITEMS_Comm!E22</f>
        <v>PJ</v>
      </c>
      <c r="F19" s="19" t="str">
        <f>[2]ITEMS_Comm!F22</f>
        <v>COM,DEM,ANNUAL,RES</v>
      </c>
    </row>
    <row r="20" spans="1:6">
      <c r="B20" s="19" t="str">
        <f>[2]ITEMS_Comm!B23</f>
        <v>E</v>
      </c>
      <c r="C20" s="45" t="str">
        <f>[2]ITEMS_Comm!C23</f>
        <v>TFHCV5</v>
      </c>
      <c r="D20" s="44" t="str">
        <f>[2]ITEMS_Comm!D23</f>
        <v>Transport Freight - HCV5</v>
      </c>
      <c r="E20" s="19" t="str">
        <f>[2]ITEMS_Comm!E23</f>
        <v>PJ</v>
      </c>
      <c r="F20" s="19" t="str">
        <f>[2]ITEMS_Comm!F23</f>
        <v>COM,DEM,ANNUAL,RES</v>
      </c>
    </row>
    <row r="21" spans="1:6">
      <c r="B21" s="19" t="str">
        <f>[2]ITEMS_Comm!B24</f>
        <v>E</v>
      </c>
      <c r="C21" s="45" t="str">
        <f>[2]ITEMS_Comm!C24</f>
        <v>TFHCV6</v>
      </c>
      <c r="D21" s="44" t="str">
        <f>[2]ITEMS_Comm!D24</f>
        <v>Transport Freight - HCV6</v>
      </c>
      <c r="E21" s="19" t="str">
        <f>[2]ITEMS_Comm!E24</f>
        <v>PJ</v>
      </c>
      <c r="F21" s="19" t="str">
        <f>[2]ITEMS_Comm!F24</f>
        <v>COM,DEM,ANNUAL,RES</v>
      </c>
    </row>
    <row r="22" spans="1:6">
      <c r="B22" s="19" t="str">
        <f>[2]ITEMS_Comm!B25</f>
        <v>E</v>
      </c>
      <c r="C22" s="45" t="str">
        <f>[2]ITEMS_Comm!C25</f>
        <v>TFHCV7</v>
      </c>
      <c r="D22" s="44" t="str">
        <f>[2]ITEMS_Comm!D25</f>
        <v>Transport Freight - HCV7</v>
      </c>
      <c r="E22" s="19" t="str">
        <f>[2]ITEMS_Comm!E25</f>
        <v>PJ</v>
      </c>
      <c r="F22" s="19" t="str">
        <f>[2]ITEMS_Comm!F25</f>
        <v>COM,DEM,ANNUAL,RES</v>
      </c>
    </row>
    <row r="23" spans="1:6">
      <c r="B23" s="19" t="str">
        <f>[2]ITEMS_Comm!B26</f>
        <v>E</v>
      </c>
      <c r="C23" s="45" t="str">
        <f>[2]ITEMS_Comm!C26</f>
        <v>TFHCV8</v>
      </c>
      <c r="D23" s="44" t="str">
        <f>[2]ITEMS_Comm!D26</f>
        <v>Transport Freight - HCV8</v>
      </c>
      <c r="E23" s="19" t="str">
        <f>[2]ITEMS_Comm!E26</f>
        <v>PJ</v>
      </c>
      <c r="F23" s="19" t="str">
        <f>[2]ITEMS_Comm!F26</f>
        <v>COM,DEM,ANNUAL,RES</v>
      </c>
    </row>
    <row r="24" spans="1:6">
      <c r="B24" s="19" t="str">
        <f>[2]ITEMS_Comm!B27</f>
        <v>E</v>
      </c>
      <c r="C24" s="45" t="str">
        <f>[2]ITEMS_Comm!C27</f>
        <v>TFHCV9</v>
      </c>
      <c r="D24" s="44" t="str">
        <f>[2]ITEMS_Comm!D27</f>
        <v>Transport Freight - HCV9</v>
      </c>
      <c r="E24" s="19" t="str">
        <f>[2]ITEMS_Comm!E27</f>
        <v>PJ</v>
      </c>
      <c r="F24" s="19" t="str">
        <f>[2]ITEMS_Comm!F27</f>
        <v>COM,DEM,ANNUAL,RES</v>
      </c>
    </row>
    <row r="25" spans="1:6">
      <c r="A25" s="18" t="str">
        <f>[2]ITEMS_Comm!A28</f>
        <v/>
      </c>
      <c r="B25" s="19" t="str">
        <f>[2]ITEMS_Comm!B28</f>
        <v>E</v>
      </c>
      <c r="C25" s="45" t="str">
        <f>[2]ITEMS_Comm!C28</f>
        <v>TFRCO</v>
      </c>
      <c r="D25" s="44" t="str">
        <f>[2]ITEMS_Comm!D28</f>
        <v>Transport Freight - Rail Corridor</v>
      </c>
      <c r="E25" s="19" t="str">
        <f>[2]ITEMS_Comm!E28</f>
        <v>PJ</v>
      </c>
      <c r="F25" s="19" t="str">
        <f>[2]ITEMS_Comm!F28</f>
        <v>COM,DEM,ANNUAL,RES</v>
      </c>
    </row>
    <row r="26" spans="1:6">
      <c r="A26" s="18" t="str">
        <f>[2]ITEMS_Comm!A29</f>
        <v/>
      </c>
      <c r="B26" s="19" t="str">
        <f>[2]ITEMS_Comm!B29</f>
        <v>E</v>
      </c>
      <c r="C26" s="45" t="str">
        <f>[2]ITEMS_Comm!C29</f>
        <v>TFROT</v>
      </c>
      <c r="D26" s="44" t="str">
        <f>[2]ITEMS_Comm!D29</f>
        <v>Transport Freight - Rail Other</v>
      </c>
      <c r="E26" s="19" t="str">
        <f>[2]ITEMS_Comm!E29</f>
        <v>PJ</v>
      </c>
      <c r="F26" s="19" t="str">
        <f>[2]ITEMS_Comm!F29</f>
        <v>COM,DEM,ANNUAL,RES</v>
      </c>
    </row>
    <row r="27" spans="1:6">
      <c r="A27" s="18" t="str">
        <f>[2]ITEMS_Comm!A30</f>
        <v/>
      </c>
      <c r="B27" s="19" t="str">
        <f>[2]ITEMS_Comm!B30</f>
        <v>E</v>
      </c>
      <c r="C27" s="45" t="str">
        <f>[2]ITEMS_Comm!C30</f>
        <v>TFREX</v>
      </c>
      <c r="D27" s="44" t="str">
        <f>[2]ITEMS_Comm!D30</f>
        <v>Transport Freight - Rail Export (bulk mining)</v>
      </c>
      <c r="E27" s="19" t="str">
        <f>[2]ITEMS_Comm!E30</f>
        <v>PJ</v>
      </c>
      <c r="F27" s="19" t="str">
        <f>[2]ITEMS_Comm!F30</f>
        <v>COM,DEM,ANNUAL,RES</v>
      </c>
    </row>
    <row r="28" spans="1:6">
      <c r="A28" s="18" t="str">
        <f>[2]ITEMS_Comm!A31</f>
        <v>*</v>
      </c>
      <c r="B28" s="19"/>
      <c r="C28" s="45"/>
      <c r="D28" s="44"/>
      <c r="E28" s="19"/>
      <c r="F28" s="19"/>
    </row>
    <row r="29" spans="1:6">
      <c r="A29" s="18" t="str">
        <f>[2]ITEMS_Comm!A32</f>
        <v/>
      </c>
      <c r="B29" s="19" t="str">
        <f>[2]ITEMS_Comm!B32</f>
        <v>E</v>
      </c>
      <c r="C29" s="45" t="str">
        <f>[2]ITEMS_Comm!C32</f>
        <v>TFPIP</v>
      </c>
      <c r="D29" s="44" t="str">
        <f>[2]ITEMS_Comm!D32</f>
        <v>Transport Other - Pipeline</v>
      </c>
      <c r="E29" s="19" t="str">
        <f>[2]ITEMS_Comm!E32</f>
        <v>PJ</v>
      </c>
      <c r="F29" s="19" t="str">
        <f>[2]ITEMS_Comm!F32</f>
        <v>COM,DEM,ANNUAL,RES</v>
      </c>
    </row>
    <row r="30" spans="1:6">
      <c r="A30" s="18" t="str">
        <f>[2]ITEMS_Comm!A33</f>
        <v/>
      </c>
      <c r="B30" s="19" t="str">
        <f>[2]ITEMS_Comm!B33</f>
        <v>E</v>
      </c>
      <c r="C30" s="45" t="str">
        <f>[2]ITEMS_Comm!C33</f>
        <v>TAIJET</v>
      </c>
      <c r="D30" s="44" t="str">
        <f>[2]ITEMS_Comm!D33</f>
        <v xml:space="preserve">Transport Other -  Aviation Int Jet Fuel </v>
      </c>
      <c r="E30" s="19" t="str">
        <f>[2]ITEMS_Comm!E33</f>
        <v>PJ</v>
      </c>
      <c r="F30" s="19" t="str">
        <f>[2]ITEMS_Comm!F33</f>
        <v>COM,DEM,ANNUAL,RES</v>
      </c>
    </row>
    <row r="31" spans="1:6">
      <c r="A31" s="18" t="str">
        <f>[2]ITEMS_Comm!A34</f>
        <v/>
      </c>
      <c r="B31" s="19" t="str">
        <f>[2]ITEMS_Comm!B34</f>
        <v>E</v>
      </c>
      <c r="C31" s="45" t="str">
        <f>[2]ITEMS_Comm!C34</f>
        <v>TADJET</v>
      </c>
      <c r="D31" s="44" t="str">
        <f>[2]ITEMS_Comm!D34</f>
        <v xml:space="preserve">Transport Other -  Aviation Dom Jet Fuel </v>
      </c>
      <c r="E31" s="19" t="str">
        <f>[2]ITEMS_Comm!E34</f>
        <v>PJ</v>
      </c>
      <c r="F31" s="19" t="str">
        <f>[2]ITEMS_Comm!F34</f>
        <v>COM,DEM,ANNUAL,RES</v>
      </c>
    </row>
    <row r="32" spans="1:6">
      <c r="A32" s="18" t="str">
        <f>[2]ITEMS_Comm!A35</f>
        <v/>
      </c>
      <c r="B32" s="19" t="str">
        <f>[2]ITEMS_Comm!B35</f>
        <v>E</v>
      </c>
      <c r="C32" s="45" t="str">
        <f>[2]ITEMS_Comm!C35</f>
        <v>TAOAG</v>
      </c>
      <c r="D32" s="44" t="str">
        <f>[2]ITEMS_Comm!D35</f>
        <v>Transport Other - Aviation Gasoline</v>
      </c>
      <c r="E32" s="19" t="str">
        <f>[2]ITEMS_Comm!E35</f>
        <v>PJ</v>
      </c>
      <c r="F32" s="19" t="str">
        <f>[2]ITEMS_Comm!F35</f>
        <v>COM,DEM,ANNUAL,RES</v>
      </c>
    </row>
    <row r="33" spans="1:6">
      <c r="A33" s="18" t="str">
        <f>[2]ITEMS_Comm!A36</f>
        <v/>
      </c>
      <c r="B33" s="19" t="str">
        <f>[2]ITEMS_Comm!B36</f>
        <v>E</v>
      </c>
      <c r="C33" s="45" t="str">
        <f>[2]ITEMS_Comm!C36</f>
        <v>TSHFO</v>
      </c>
      <c r="D33" s="44" t="str">
        <f>[2]ITEMS_Comm!D36</f>
        <v>Transport Other - HFO</v>
      </c>
      <c r="E33" s="19" t="str">
        <f>[2]ITEMS_Comm!E36</f>
        <v>PJ</v>
      </c>
      <c r="F33" s="19" t="str">
        <f>[2]ITEMS_Comm!F36</f>
        <v>COM,DEM,ANNUAL,RES</v>
      </c>
    </row>
    <row r="34" spans="1:6">
      <c r="B34" s="19"/>
      <c r="C34" s="45"/>
      <c r="D34" s="44"/>
      <c r="E34" s="19"/>
      <c r="F34" s="19"/>
    </row>
    <row r="35" spans="1:6">
      <c r="B35" s="19"/>
      <c r="C35" s="45"/>
      <c r="D35" s="44"/>
      <c r="E35" s="19"/>
      <c r="F35" s="19"/>
    </row>
    <row r="36" spans="1:6">
      <c r="B36" s="19"/>
      <c r="C36" s="45"/>
      <c r="D36" s="44"/>
      <c r="E36" s="19"/>
      <c r="F36" s="19"/>
    </row>
    <row r="37" spans="1:6">
      <c r="B37" s="19"/>
      <c r="C37" s="45"/>
      <c r="D37" s="44"/>
      <c r="E37" s="19"/>
      <c r="F37" s="19"/>
    </row>
    <row r="38" spans="1:6">
      <c r="B38" s="19"/>
      <c r="C38" s="45"/>
      <c r="D38" s="44"/>
      <c r="E38" s="19"/>
      <c r="F38" s="19"/>
    </row>
    <row r="39" spans="1:6">
      <c r="B39" s="19"/>
      <c r="C39" s="45"/>
      <c r="D39" s="44"/>
      <c r="E39" s="19"/>
      <c r="F39" s="19"/>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F9A334-AD85-4CBD-B065-3E3899CFECE6}">
  <sheetPr codeName="Sheet24">
    <tabColor theme="9" tint="-0.249977111117893"/>
  </sheetPr>
  <dimension ref="A1:BZ247"/>
  <sheetViews>
    <sheetView topLeftCell="A71" zoomScale="70" zoomScaleNormal="70" workbookViewId="0">
      <selection activeCell="G101" sqref="G101"/>
    </sheetView>
    <sheetView workbookViewId="1"/>
  </sheetViews>
  <sheetFormatPr defaultColWidth="9.140625" defaultRowHeight="15"/>
  <cols>
    <col min="1" max="1" width="9.140625" style="185"/>
    <col min="2" max="2" width="11.85546875" style="185" customWidth="1"/>
    <col min="3" max="3" width="73" style="185" customWidth="1"/>
    <col min="4" max="4" width="9.140625" style="185"/>
    <col min="5" max="5" width="13.42578125" style="185" bestFit="1" customWidth="1"/>
    <col min="6" max="9" width="9.140625" style="185"/>
    <col min="10" max="10" width="9" style="185" customWidth="1"/>
    <col min="11" max="53" width="9.140625" style="185"/>
    <col min="54" max="54" width="16" style="185" customWidth="1"/>
    <col min="55" max="16384" width="9.140625" style="185"/>
  </cols>
  <sheetData>
    <row r="1" spans="1:58">
      <c r="A1" s="185" t="str">
        <f>IF(TRA,"TS DATA","")</f>
        <v>TS DATA</v>
      </c>
      <c r="B1" s="185" t="s">
        <v>17</v>
      </c>
      <c r="D1" s="185">
        <f>DriversGams!M162</f>
        <v>0</v>
      </c>
      <c r="F1" s="185" t="s">
        <v>16</v>
      </c>
      <c r="H1" s="185" t="s">
        <v>16</v>
      </c>
      <c r="BA1" s="192" t="s">
        <v>223</v>
      </c>
      <c r="BB1" s="192" t="s">
        <v>539</v>
      </c>
      <c r="BC1" s="192" t="s">
        <v>197</v>
      </c>
      <c r="BD1" s="192" t="s">
        <v>543</v>
      </c>
      <c r="BF1" s="192"/>
    </row>
    <row r="2" spans="1:58" ht="15.75" thickBot="1">
      <c r="A2" s="185" t="s">
        <v>16</v>
      </c>
      <c r="B2" s="349" t="s">
        <v>296</v>
      </c>
      <c r="C2" s="349"/>
      <c r="BA2" s="192"/>
      <c r="BB2" s="192"/>
      <c r="BC2" s="192"/>
      <c r="BD2" s="192" t="s">
        <v>153</v>
      </c>
      <c r="BE2" s="192" t="s">
        <v>153</v>
      </c>
      <c r="BF2" s="192" t="s">
        <v>545</v>
      </c>
    </row>
    <row r="3" spans="1:58">
      <c r="A3" s="185" t="s">
        <v>16</v>
      </c>
      <c r="C3" s="192" t="str">
        <f>INDEX($BB$4:$BB$7,MATCH($D$3,$BA$4:$BA$7,0))</f>
        <v>NDC-PAMS-reference</v>
      </c>
      <c r="D3" s="196">
        <f>DriversGams!C163</f>
        <v>-1</v>
      </c>
      <c r="F3" s="185">
        <f>MATCH(F4,Drivers!$C$5:$AG$5,0)</f>
        <v>1</v>
      </c>
      <c r="G3" s="185">
        <f>MATCH(G4,Drivers!$C$5:$AG$5,0)</f>
        <v>4</v>
      </c>
      <c r="H3" s="185">
        <f>MATCH(H4,Drivers!$C$5:$AG$5,0)</f>
        <v>6</v>
      </c>
      <c r="I3" s="281">
        <f>MATCH(I4,Drivers!$C$5:$AG$5,0)</f>
        <v>8</v>
      </c>
      <c r="J3" s="281">
        <f>MATCH(J4,Drivers!$C$5:$AG$5,0)</f>
        <v>9</v>
      </c>
      <c r="K3" s="281">
        <f>MATCH(K4,Drivers!$C$5:$AG$5,0)</f>
        <v>10</v>
      </c>
      <c r="L3" s="185">
        <f>MATCH(L4,Drivers!$C$5:$AG$5,0)</f>
        <v>19</v>
      </c>
      <c r="M3" s="185">
        <f>MATCH(M4,Drivers!$C$5:$AG$5,0)</f>
        <v>29</v>
      </c>
      <c r="N3" s="185">
        <f>MATCH(N4,Drivers!$C$5:$AG$5,0)</f>
        <v>31</v>
      </c>
      <c r="BA3" s="192"/>
      <c r="BB3" s="192"/>
      <c r="BC3" s="192"/>
      <c r="BD3" s="201">
        <v>2030</v>
      </c>
      <c r="BE3" s="201">
        <v>2050</v>
      </c>
      <c r="BF3" s="192"/>
    </row>
    <row r="4" spans="1:58">
      <c r="A4" s="185" t="s">
        <v>16</v>
      </c>
      <c r="B4" s="228"/>
      <c r="C4" s="5" t="s">
        <v>198</v>
      </c>
      <c r="D4" s="195">
        <f>INDEX($BC$4:$BC$7,MATCH($D$3,BA$4:BA$7,0))</f>
        <v>0</v>
      </c>
      <c r="F4" s="185">
        <v>2012</v>
      </c>
      <c r="G4" s="185">
        <v>2015</v>
      </c>
      <c r="H4" s="185">
        <v>2017</v>
      </c>
      <c r="I4" s="188">
        <v>2019</v>
      </c>
      <c r="J4" s="185">
        <v>2020</v>
      </c>
      <c r="K4" s="185">
        <v>2021</v>
      </c>
      <c r="L4" s="185">
        <v>2030</v>
      </c>
      <c r="M4" s="185">
        <v>2040</v>
      </c>
      <c r="N4" s="185">
        <v>2050</v>
      </c>
      <c r="P4" s="7">
        <v>2015</v>
      </c>
      <c r="Q4" s="185">
        <v>2019</v>
      </c>
      <c r="R4" s="7">
        <v>2020</v>
      </c>
      <c r="S4" s="185">
        <v>2021</v>
      </c>
      <c r="T4" s="7">
        <v>2030</v>
      </c>
      <c r="U4" s="7">
        <v>2040</v>
      </c>
      <c r="V4" s="7">
        <v>2050</v>
      </c>
      <c r="X4" s="7">
        <f>P4</f>
        <v>2015</v>
      </c>
      <c r="Y4" s="7">
        <v>2019</v>
      </c>
      <c r="Z4" s="7">
        <f>R4</f>
        <v>2020</v>
      </c>
      <c r="AA4" s="7">
        <f>S4</f>
        <v>2021</v>
      </c>
      <c r="AB4" s="7">
        <f>T4</f>
        <v>2030</v>
      </c>
      <c r="AC4" s="7">
        <f>U4</f>
        <v>2040</v>
      </c>
      <c r="AD4" s="7">
        <f>V4</f>
        <v>2050</v>
      </c>
      <c r="BA4" s="192">
        <v>-1</v>
      </c>
      <c r="BB4" s="192" t="s">
        <v>623</v>
      </c>
      <c r="BC4" s="192">
        <v>0</v>
      </c>
      <c r="BD4" s="257">
        <v>0.95</v>
      </c>
      <c r="BE4" s="257">
        <v>0.95</v>
      </c>
      <c r="BF4" s="201">
        <v>1</v>
      </c>
    </row>
    <row r="5" spans="1:58" ht="15.75" thickBot="1">
      <c r="A5" s="185" t="s">
        <v>16</v>
      </c>
      <c r="B5" s="14" t="s">
        <v>11</v>
      </c>
      <c r="C5" s="14"/>
      <c r="D5" s="14"/>
      <c r="E5" s="14"/>
      <c r="F5" s="14"/>
      <c r="G5" s="14"/>
      <c r="H5" s="14"/>
      <c r="I5" s="14"/>
      <c r="J5" s="14"/>
      <c r="K5" s="14"/>
      <c r="L5" s="14"/>
      <c r="M5" s="14"/>
      <c r="N5" s="14"/>
      <c r="O5" s="14"/>
      <c r="BA5" s="192">
        <v>1</v>
      </c>
      <c r="BB5" s="192" t="s">
        <v>624</v>
      </c>
      <c r="BC5" s="192">
        <v>1</v>
      </c>
      <c r="BD5" s="257">
        <v>0.8</v>
      </c>
      <c r="BE5" s="257">
        <v>0.85</v>
      </c>
      <c r="BF5" s="201">
        <v>1</v>
      </c>
    </row>
    <row r="6" spans="1:58">
      <c r="A6" s="185" t="s">
        <v>16</v>
      </c>
      <c r="B6" s="185" t="s">
        <v>9</v>
      </c>
      <c r="C6" s="185" t="s">
        <v>10</v>
      </c>
      <c r="D6" s="185" t="s">
        <v>403</v>
      </c>
      <c r="I6" s="281"/>
      <c r="J6" s="281"/>
      <c r="K6" s="281"/>
      <c r="L6" s="281"/>
      <c r="BA6" s="192">
        <v>2</v>
      </c>
      <c r="BB6" s="192" t="s">
        <v>615</v>
      </c>
      <c r="BC6" s="192">
        <v>1</v>
      </c>
      <c r="BD6" s="257">
        <v>0.92</v>
      </c>
      <c r="BE6" s="257">
        <v>0.93</v>
      </c>
      <c r="BF6" s="201">
        <v>1</v>
      </c>
    </row>
    <row r="7" spans="1:58">
      <c r="A7" s="185" t="s">
        <v>16</v>
      </c>
      <c r="B7" s="186" t="s">
        <v>594</v>
      </c>
      <c r="C7" s="186" t="s">
        <v>2</v>
      </c>
      <c r="D7" s="185">
        <f>MATCH(B7,Drivers!$A$7:$A$22,0)</f>
        <v>14</v>
      </c>
      <c r="E7" s="186"/>
      <c r="F7" s="24" cm="1">
        <f t="array" ref="F7">INDEX(Drivers!$C$7:$AG$22,$D7,F$3)</f>
        <v>135.95535691221758</v>
      </c>
      <c r="G7" s="24" cm="1">
        <f t="array" ref="G7">INDEX(Drivers!$C$7:$AG$22,$D7,G$3)</f>
        <v>145.137</v>
      </c>
      <c r="H7" s="24" cm="1">
        <f t="array" ref="H7">INDEX(Drivers!$C$7:$AG$22,$D7,H$3)</f>
        <v>148.477</v>
      </c>
      <c r="I7" s="24" cm="1">
        <f t="array" ref="I7">INDEX(Drivers!$C$7:$AG$22,$D7,I$3)</f>
        <v>150.78899999999999</v>
      </c>
      <c r="J7" s="24" cm="1">
        <f t="array" ref="J7">INDEX(Drivers!$C$7:$AG$22,$D7,J$3)</f>
        <v>140.006</v>
      </c>
      <c r="K7" s="24" cm="1">
        <f t="array" ref="K7">INDEX(Drivers!$C$7:$AG$22,$D7,K$3)</f>
        <v>142.92774302092894</v>
      </c>
      <c r="L7" s="24" cm="1">
        <f t="array" ref="L7">INDEX(Drivers!$C$7:$AG$22,$D7,L$3)</f>
        <v>177.61047399301378</v>
      </c>
      <c r="M7" s="24" cm="1">
        <f t="array" ref="M7">INDEX(Drivers!$C$7:$AG$22,$D7,M$3)</f>
        <v>226.46955752177888</v>
      </c>
      <c r="N7" s="24" cm="1">
        <f t="array" ref="N7">INDEX(Drivers!$C$7:$AG$22,$D7,N$3)</f>
        <v>294.49053369302624</v>
      </c>
      <c r="O7" s="186"/>
      <c r="P7" s="186">
        <f>G7</f>
        <v>145.137</v>
      </c>
      <c r="Q7" s="186">
        <f t="shared" ref="Q7:V7" si="0">I7</f>
        <v>150.78899999999999</v>
      </c>
      <c r="R7" s="186">
        <f t="shared" si="0"/>
        <v>140.006</v>
      </c>
      <c r="S7" s="24">
        <f t="shared" si="0"/>
        <v>142.92774302092894</v>
      </c>
      <c r="T7" s="186">
        <f t="shared" si="0"/>
        <v>177.61047399301378</v>
      </c>
      <c r="U7" s="186">
        <f t="shared" si="0"/>
        <v>226.46955752177888</v>
      </c>
      <c r="V7" s="186">
        <f t="shared" si="0"/>
        <v>294.49053369302624</v>
      </c>
      <c r="X7" s="186">
        <f t="shared" ref="X7:AD7" si="1">P7</f>
        <v>145.137</v>
      </c>
      <c r="Y7" s="186">
        <f t="shared" si="1"/>
        <v>150.78899999999999</v>
      </c>
      <c r="Z7" s="186">
        <f t="shared" si="1"/>
        <v>140.006</v>
      </c>
      <c r="AA7" s="186">
        <f t="shared" si="1"/>
        <v>142.92774302092894</v>
      </c>
      <c r="AB7" s="186">
        <f t="shared" si="1"/>
        <v>177.61047399301378</v>
      </c>
      <c r="AC7" s="186">
        <f t="shared" si="1"/>
        <v>226.46955752177888</v>
      </c>
      <c r="AD7" s="186">
        <f t="shared" si="1"/>
        <v>294.49053369302624</v>
      </c>
      <c r="BA7" s="192">
        <v>3</v>
      </c>
      <c r="BB7" s="192" t="s">
        <v>625</v>
      </c>
      <c r="BC7" s="192">
        <v>1</v>
      </c>
      <c r="BD7" s="257">
        <v>0.8</v>
      </c>
      <c r="BE7" s="257">
        <v>0.65</v>
      </c>
      <c r="BF7" s="201">
        <v>1</v>
      </c>
    </row>
    <row r="8" spans="1:58">
      <c r="A8" s="185" t="s">
        <v>16</v>
      </c>
      <c r="B8" s="186" t="s">
        <v>387</v>
      </c>
      <c r="C8" s="186" t="s">
        <v>68</v>
      </c>
      <c r="D8" s="185">
        <f>MATCH(B8,Drivers!$A$7:$A$22,0)</f>
        <v>7</v>
      </c>
      <c r="E8" s="186"/>
      <c r="F8" s="24" cm="1">
        <f t="array" ref="F8">INDEX(Drivers!$C$7:$AG$22,$D8,F$3)</f>
        <v>205.448728044604</v>
      </c>
      <c r="G8" s="24" cm="1">
        <f t="array" ref="G8">INDEX(Drivers!$C$7:$AG$22,$D8,G$3)</f>
        <v>218.495</v>
      </c>
      <c r="H8" s="24" cm="1">
        <f t="array" ref="H8">INDEX(Drivers!$C$7:$AG$22,$D8,H$3)</f>
        <v>222.273</v>
      </c>
      <c r="I8" s="24" cm="1">
        <f t="array" ref="I8">INDEX(Drivers!$C$7:$AG$22,$D8,I$3)</f>
        <v>218.15700000000001</v>
      </c>
      <c r="J8" s="24" cm="1">
        <f t="array" ref="J8">INDEX(Drivers!$C$7:$AG$22,$D8,J$3)</f>
        <v>200.386</v>
      </c>
      <c r="K8" s="24" cm="1">
        <f t="array" ref="K8">INDEX(Drivers!$C$7:$AG$22,$D8,K$3)</f>
        <v>203.29437807937791</v>
      </c>
      <c r="L8" s="24" cm="1">
        <f t="array" ref="L8">INDEX(Drivers!$C$7:$AG$22,$D8,L$3)</f>
        <v>238.25091961160444</v>
      </c>
      <c r="M8" s="24" cm="1">
        <f t="array" ref="M8">INDEX(Drivers!$C$7:$AG$22,$D8,M$3)</f>
        <v>309.57342460424826</v>
      </c>
      <c r="N8" s="24" cm="1">
        <f t="array" ref="N8">INDEX(Drivers!$C$7:$AG$22,$D8,N$3)</f>
        <v>394.35250707791403</v>
      </c>
      <c r="O8" s="186"/>
      <c r="P8" s="186">
        <f>G8</f>
        <v>218.495</v>
      </c>
      <c r="Q8" s="186">
        <f t="shared" ref="Q8:Q9" si="2">I8</f>
        <v>218.15700000000001</v>
      </c>
      <c r="R8" s="186">
        <f>J8</f>
        <v>200.386</v>
      </c>
      <c r="S8" s="24">
        <f t="shared" ref="S8:S9" si="3">K8</f>
        <v>203.29437807937791</v>
      </c>
      <c r="T8" s="186">
        <f t="shared" ref="T8:V9" si="4">L8</f>
        <v>238.25091961160444</v>
      </c>
      <c r="U8" s="186">
        <f t="shared" si="4"/>
        <v>309.57342460424826</v>
      </c>
      <c r="V8" s="186">
        <f t="shared" si="4"/>
        <v>394.35250707791403</v>
      </c>
      <c r="X8" s="186">
        <f>P8</f>
        <v>218.495</v>
      </c>
      <c r="Y8" s="186">
        <f>Q8</f>
        <v>218.15700000000001</v>
      </c>
      <c r="Z8" s="186">
        <f t="shared" ref="Z8:Z9" si="5">R8</f>
        <v>200.386</v>
      </c>
      <c r="AA8" s="186">
        <f t="shared" ref="AA8:AA9" si="6">S8</f>
        <v>203.29437807937791</v>
      </c>
      <c r="AB8" s="186">
        <f t="shared" ref="AB8:AD9" si="7">T8</f>
        <v>238.25091961160444</v>
      </c>
      <c r="AC8" s="186">
        <f t="shared" si="7"/>
        <v>309.57342460424826</v>
      </c>
      <c r="AD8" s="186">
        <f t="shared" si="7"/>
        <v>394.35250707791403</v>
      </c>
    </row>
    <row r="9" spans="1:58">
      <c r="A9" s="185" t="s">
        <v>16</v>
      </c>
      <c r="B9" s="186" t="s">
        <v>388</v>
      </c>
      <c r="C9" s="186" t="s">
        <v>69</v>
      </c>
      <c r="D9" s="185">
        <f>MATCH(B9,Drivers!$A$7:$A$22,0)</f>
        <v>6</v>
      </c>
      <c r="E9" s="186"/>
      <c r="F9" s="24" cm="1">
        <f t="array" ref="F9">INDEX(Drivers!$C$7:$AG$22,$D9,F$3)</f>
        <v>13.345629432701433</v>
      </c>
      <c r="G9" s="24" cm="1">
        <f t="array" ref="G9">INDEX(Drivers!$C$7:$AG$22,$D9,G$3)</f>
        <v>14.365</v>
      </c>
      <c r="H9" s="24" cm="1">
        <f t="array" ref="H9">INDEX(Drivers!$C$7:$AG$22,$D9,H$3)</f>
        <v>14.513</v>
      </c>
      <c r="I9" s="24" cm="1">
        <f t="array" ref="I9">INDEX(Drivers!$C$7:$AG$22,$D9,I$3)</f>
        <v>14.384</v>
      </c>
      <c r="J9" s="24" cm="1">
        <f t="array" ref="J9">INDEX(Drivers!$C$7:$AG$22,$D9,J$3)</f>
        <v>12.598000000000001</v>
      </c>
      <c r="K9" s="24" cm="1">
        <f t="array" ref="K9">INDEX(Drivers!$C$7:$AG$22,$D9,K$3)</f>
        <v>12.934494714926089</v>
      </c>
      <c r="L9" s="24" cm="1">
        <f t="array" ref="L9">INDEX(Drivers!$C$7:$AG$22,$D9,L$3)</f>
        <v>15.914985935307293</v>
      </c>
      <c r="M9" s="24" cm="1">
        <f t="array" ref="M9">INDEX(Drivers!$C$7:$AG$22,$D9,M$3)</f>
        <v>20.549589211641038</v>
      </c>
      <c r="N9" s="24" cm="1">
        <f t="array" ref="N9">INDEX(Drivers!$C$7:$AG$22,$D9,N$3)</f>
        <v>26.156893976631636</v>
      </c>
      <c r="O9" s="186"/>
      <c r="P9" s="186">
        <f>G9</f>
        <v>14.365</v>
      </c>
      <c r="Q9" s="186">
        <f t="shared" si="2"/>
        <v>14.384</v>
      </c>
      <c r="R9" s="186">
        <f>J9</f>
        <v>12.598000000000001</v>
      </c>
      <c r="S9" s="24">
        <f t="shared" si="3"/>
        <v>12.934494714926089</v>
      </c>
      <c r="T9" s="186">
        <f t="shared" si="4"/>
        <v>15.914985935307293</v>
      </c>
      <c r="U9" s="186">
        <f t="shared" si="4"/>
        <v>20.549589211641038</v>
      </c>
      <c r="V9" s="186">
        <f t="shared" si="4"/>
        <v>26.156893976631636</v>
      </c>
      <c r="X9" s="186">
        <f>P9</f>
        <v>14.365</v>
      </c>
      <c r="Y9" s="186">
        <f>Q9</f>
        <v>14.384</v>
      </c>
      <c r="Z9" s="186">
        <f t="shared" si="5"/>
        <v>12.598000000000001</v>
      </c>
      <c r="AA9" s="186">
        <f t="shared" si="6"/>
        <v>12.934494714926089</v>
      </c>
      <c r="AB9" s="186">
        <f t="shared" si="7"/>
        <v>15.914985935307293</v>
      </c>
      <c r="AC9" s="186">
        <f t="shared" si="7"/>
        <v>20.549589211641038</v>
      </c>
      <c r="AD9" s="186">
        <f t="shared" si="7"/>
        <v>26.156893976631636</v>
      </c>
    </row>
    <row r="10" spans="1:58">
      <c r="A10" s="185" t="s">
        <v>16</v>
      </c>
      <c r="B10" s="186"/>
      <c r="C10" s="186"/>
      <c r="E10" s="186"/>
      <c r="F10" s="186"/>
      <c r="G10" s="186"/>
      <c r="H10" s="186"/>
      <c r="J10" s="186"/>
      <c r="L10" s="186"/>
      <c r="M10" s="186"/>
      <c r="N10" s="186"/>
      <c r="O10" s="186"/>
    </row>
    <row r="11" spans="1:58">
      <c r="A11" s="185" t="s">
        <v>16</v>
      </c>
      <c r="P11" s="5" t="s">
        <v>41</v>
      </c>
      <c r="X11" s="5" t="s">
        <v>197</v>
      </c>
    </row>
    <row r="12" spans="1:58" ht="15.75" thickBot="1">
      <c r="A12" s="185" t="s">
        <v>16</v>
      </c>
      <c r="B12" s="14" t="s">
        <v>444</v>
      </c>
      <c r="C12" s="14"/>
      <c r="D12" s="14"/>
      <c r="F12" s="185">
        <f>F$4</f>
        <v>2012</v>
      </c>
      <c r="G12" s="281">
        <f t="shared" ref="G12:L12" si="8">G$4</f>
        <v>2015</v>
      </c>
      <c r="H12" s="281">
        <f t="shared" si="8"/>
        <v>2017</v>
      </c>
      <c r="I12" s="281">
        <f t="shared" si="8"/>
        <v>2019</v>
      </c>
      <c r="J12" s="281">
        <f t="shared" si="8"/>
        <v>2020</v>
      </c>
      <c r="K12" s="281">
        <f t="shared" si="8"/>
        <v>2021</v>
      </c>
      <c r="L12" s="281">
        <f t="shared" si="8"/>
        <v>2030</v>
      </c>
      <c r="M12" s="185">
        <f>M$4</f>
        <v>2040</v>
      </c>
      <c r="N12" s="185">
        <f>N$4</f>
        <v>2050</v>
      </c>
      <c r="P12" s="7">
        <f t="shared" ref="P12:V12" si="9">P$4</f>
        <v>2015</v>
      </c>
      <c r="Q12" s="7">
        <f t="shared" si="9"/>
        <v>2019</v>
      </c>
      <c r="R12" s="7">
        <f t="shared" si="9"/>
        <v>2020</v>
      </c>
      <c r="S12" s="7">
        <f t="shared" si="9"/>
        <v>2021</v>
      </c>
      <c r="T12" s="7">
        <f t="shared" si="9"/>
        <v>2030</v>
      </c>
      <c r="U12" s="7">
        <f t="shared" si="9"/>
        <v>2040</v>
      </c>
      <c r="V12" s="7">
        <f t="shared" si="9"/>
        <v>2050</v>
      </c>
      <c r="X12" s="7">
        <f t="shared" ref="X12:AD12" si="10">P12</f>
        <v>2015</v>
      </c>
      <c r="Y12" s="7">
        <f t="shared" si="10"/>
        <v>2019</v>
      </c>
      <c r="Z12" s="7">
        <f t="shared" si="10"/>
        <v>2020</v>
      </c>
      <c r="AA12" s="7">
        <f t="shared" si="10"/>
        <v>2021</v>
      </c>
      <c r="AB12" s="7">
        <f t="shared" si="10"/>
        <v>2030</v>
      </c>
      <c r="AC12" s="7">
        <f t="shared" si="10"/>
        <v>2040</v>
      </c>
      <c r="AD12" s="7">
        <f t="shared" si="10"/>
        <v>2050</v>
      </c>
    </row>
    <row r="13" spans="1:58">
      <c r="A13" s="185" t="s">
        <v>16</v>
      </c>
      <c r="B13" s="186" t="str">
        <f>ITEMS_TRA!C15</f>
        <v>TFLCV</v>
      </c>
      <c r="C13" s="186" t="str">
        <f>ITEMS_TRA!D15</f>
        <v>Transport Freight - LCV</v>
      </c>
      <c r="D13" s="186"/>
      <c r="F13" s="61">
        <v>0.8</v>
      </c>
      <c r="G13" s="61">
        <f t="shared" ref="G13:H25" si="11">F13</f>
        <v>0.8</v>
      </c>
      <c r="H13" s="61">
        <f t="shared" si="11"/>
        <v>0.8</v>
      </c>
      <c r="I13" s="61">
        <f t="shared" ref="I13:I25" si="12">H13</f>
        <v>0.8</v>
      </c>
      <c r="J13" s="61">
        <f t="shared" ref="J13:J25" si="13">I13</f>
        <v>0.8</v>
      </c>
      <c r="K13" s="61">
        <f t="shared" ref="K13:K25" si="14">J13</f>
        <v>0.8</v>
      </c>
      <c r="L13" s="61">
        <f t="shared" ref="L13:L25" si="15">IF($D$4,AB13,T13)</f>
        <v>0.8</v>
      </c>
      <c r="M13" s="61">
        <f t="shared" ref="M13:M25" si="16">IF($D$4,AC13,U13)</f>
        <v>0.8</v>
      </c>
      <c r="N13" s="61">
        <f t="shared" ref="N13:N25" si="17">IF($D$4,AD13,V13)</f>
        <v>0.8</v>
      </c>
      <c r="P13" s="61">
        <f t="shared" ref="P13:V25" si="18">$G13</f>
        <v>0.8</v>
      </c>
      <c r="Q13" s="61">
        <f>$I13</f>
        <v>0.8</v>
      </c>
      <c r="R13" s="61">
        <f t="shared" si="18"/>
        <v>0.8</v>
      </c>
      <c r="S13" s="61">
        <f t="shared" si="18"/>
        <v>0.8</v>
      </c>
      <c r="T13" s="61">
        <f t="shared" si="18"/>
        <v>0.8</v>
      </c>
      <c r="U13" s="61">
        <f t="shared" si="18"/>
        <v>0.8</v>
      </c>
      <c r="V13" s="61">
        <f t="shared" si="18"/>
        <v>0.8</v>
      </c>
      <c r="W13" s="229"/>
      <c r="X13" s="61">
        <f t="shared" ref="X13:AD25" si="19">$G13</f>
        <v>0.8</v>
      </c>
      <c r="Y13" s="61">
        <f>$I13</f>
        <v>0.8</v>
      </c>
      <c r="Z13" s="61">
        <f t="shared" si="19"/>
        <v>0.8</v>
      </c>
      <c r="AA13" s="61">
        <f t="shared" si="19"/>
        <v>0.8</v>
      </c>
      <c r="AB13" s="61">
        <f t="shared" si="19"/>
        <v>0.8</v>
      </c>
      <c r="AC13" s="61">
        <f t="shared" si="19"/>
        <v>0.8</v>
      </c>
      <c r="AD13" s="61">
        <f t="shared" si="19"/>
        <v>0.8</v>
      </c>
      <c r="AE13" s="229"/>
      <c r="AF13" s="229"/>
      <c r="AG13" s="229"/>
      <c r="AH13" s="229"/>
      <c r="AI13" s="229"/>
      <c r="AJ13" s="229"/>
      <c r="AK13" s="229"/>
      <c r="AL13" s="229"/>
      <c r="AM13" s="229"/>
      <c r="AN13" s="229"/>
      <c r="AO13" s="229"/>
      <c r="AP13" s="229"/>
      <c r="AQ13" s="229"/>
      <c r="AR13" s="229"/>
      <c r="AS13" s="229"/>
    </row>
    <row r="14" spans="1:58">
      <c r="A14" s="185" t="s">
        <v>16</v>
      </c>
      <c r="B14" s="186" t="str">
        <f>ITEMS_TRA!C16</f>
        <v>TFHCV1</v>
      </c>
      <c r="C14" s="186" t="str">
        <f>ITEMS_TRA!D16</f>
        <v>Transport Freight - HCV1</v>
      </c>
      <c r="D14" s="186"/>
      <c r="F14" s="61">
        <f>F13</f>
        <v>0.8</v>
      </c>
      <c r="G14" s="61">
        <f t="shared" si="11"/>
        <v>0.8</v>
      </c>
      <c r="H14" s="61">
        <f t="shared" si="11"/>
        <v>0.8</v>
      </c>
      <c r="I14" s="61">
        <f t="shared" si="12"/>
        <v>0.8</v>
      </c>
      <c r="J14" s="61">
        <f t="shared" si="13"/>
        <v>0.8</v>
      </c>
      <c r="K14" s="61">
        <f t="shared" si="14"/>
        <v>0.8</v>
      </c>
      <c r="L14" s="61">
        <f t="shared" si="15"/>
        <v>0.8</v>
      </c>
      <c r="M14" s="61">
        <f t="shared" si="16"/>
        <v>0.8</v>
      </c>
      <c r="N14" s="61">
        <f t="shared" si="17"/>
        <v>0.8</v>
      </c>
      <c r="P14" s="61">
        <f>$G14</f>
        <v>0.8</v>
      </c>
      <c r="Q14" s="61">
        <f t="shared" ref="Q14:Q25" si="20">$I14</f>
        <v>0.8</v>
      </c>
      <c r="R14" s="61">
        <f t="shared" si="18"/>
        <v>0.8</v>
      </c>
      <c r="S14" s="61">
        <f t="shared" si="18"/>
        <v>0.8</v>
      </c>
      <c r="T14" s="61">
        <f t="shared" si="18"/>
        <v>0.8</v>
      </c>
      <c r="U14" s="61">
        <f t="shared" si="18"/>
        <v>0.8</v>
      </c>
      <c r="V14" s="61">
        <f t="shared" si="18"/>
        <v>0.8</v>
      </c>
      <c r="W14" s="229"/>
      <c r="X14" s="61">
        <f t="shared" si="19"/>
        <v>0.8</v>
      </c>
      <c r="Y14" s="61">
        <f t="shared" ref="Y14:Y25" si="21">$I14</f>
        <v>0.8</v>
      </c>
      <c r="Z14" s="61">
        <f t="shared" si="19"/>
        <v>0.8</v>
      </c>
      <c r="AA14" s="61">
        <f t="shared" si="19"/>
        <v>0.8</v>
      </c>
      <c r="AB14" s="61">
        <f t="shared" si="19"/>
        <v>0.8</v>
      </c>
      <c r="AC14" s="61">
        <f t="shared" si="19"/>
        <v>0.8</v>
      </c>
      <c r="AD14" s="61">
        <f t="shared" si="19"/>
        <v>0.8</v>
      </c>
      <c r="AE14" s="229"/>
      <c r="AF14" s="229"/>
      <c r="AG14" s="229"/>
      <c r="AH14" s="229"/>
      <c r="AI14" s="229"/>
      <c r="AJ14" s="229"/>
      <c r="AK14" s="229"/>
      <c r="AL14" s="229"/>
      <c r="AM14" s="229"/>
      <c r="AN14" s="229"/>
      <c r="AO14" s="229"/>
      <c r="AP14" s="229"/>
      <c r="AQ14" s="229"/>
      <c r="AR14" s="229"/>
      <c r="AS14" s="229"/>
    </row>
    <row r="15" spans="1:58">
      <c r="A15" s="185" t="s">
        <v>16</v>
      </c>
      <c r="B15" s="186" t="str">
        <f>ITEMS_TRA!C17</f>
        <v>TFHCV2</v>
      </c>
      <c r="C15" s="186" t="str">
        <f>ITEMS_TRA!D17</f>
        <v>Transport Freight - HCV2</v>
      </c>
      <c r="D15" s="186"/>
      <c r="F15" s="61">
        <f t="shared" ref="F15:F25" si="22">F14</f>
        <v>0.8</v>
      </c>
      <c r="G15" s="61">
        <f t="shared" si="11"/>
        <v>0.8</v>
      </c>
      <c r="H15" s="61">
        <f t="shared" si="11"/>
        <v>0.8</v>
      </c>
      <c r="I15" s="61">
        <f t="shared" si="12"/>
        <v>0.8</v>
      </c>
      <c r="J15" s="61">
        <f t="shared" si="13"/>
        <v>0.8</v>
      </c>
      <c r="K15" s="61">
        <f t="shared" si="14"/>
        <v>0.8</v>
      </c>
      <c r="L15" s="61">
        <f t="shared" si="15"/>
        <v>0.8</v>
      </c>
      <c r="M15" s="61">
        <f t="shared" si="16"/>
        <v>0.8</v>
      </c>
      <c r="N15" s="61">
        <f t="shared" si="17"/>
        <v>0.8</v>
      </c>
      <c r="P15" s="61">
        <f t="shared" si="18"/>
        <v>0.8</v>
      </c>
      <c r="Q15" s="61">
        <f t="shared" si="20"/>
        <v>0.8</v>
      </c>
      <c r="R15" s="61">
        <f t="shared" si="18"/>
        <v>0.8</v>
      </c>
      <c r="S15" s="61">
        <f t="shared" si="18"/>
        <v>0.8</v>
      </c>
      <c r="T15" s="61">
        <f t="shared" si="18"/>
        <v>0.8</v>
      </c>
      <c r="U15" s="61">
        <f t="shared" si="18"/>
        <v>0.8</v>
      </c>
      <c r="V15" s="61">
        <f t="shared" si="18"/>
        <v>0.8</v>
      </c>
      <c r="W15" s="229"/>
      <c r="X15" s="61">
        <f t="shared" si="19"/>
        <v>0.8</v>
      </c>
      <c r="Y15" s="61">
        <f t="shared" si="21"/>
        <v>0.8</v>
      </c>
      <c r="Z15" s="61">
        <f t="shared" si="19"/>
        <v>0.8</v>
      </c>
      <c r="AA15" s="61">
        <f t="shared" si="19"/>
        <v>0.8</v>
      </c>
      <c r="AB15" s="61">
        <f t="shared" si="19"/>
        <v>0.8</v>
      </c>
      <c r="AC15" s="61">
        <f t="shared" si="19"/>
        <v>0.8</v>
      </c>
      <c r="AD15" s="61">
        <f t="shared" si="19"/>
        <v>0.8</v>
      </c>
      <c r="AE15" s="229"/>
      <c r="AF15" s="229"/>
      <c r="AG15" s="229"/>
      <c r="AH15" s="229"/>
      <c r="AI15" s="229"/>
      <c r="AJ15" s="229"/>
      <c r="AK15" s="229"/>
      <c r="AL15" s="229"/>
      <c r="AM15" s="229"/>
      <c r="AN15" s="229"/>
      <c r="AO15" s="229"/>
      <c r="AP15" s="229"/>
      <c r="AQ15" s="229"/>
      <c r="AR15" s="229"/>
      <c r="AS15" s="229"/>
    </row>
    <row r="16" spans="1:58">
      <c r="A16" s="185" t="s">
        <v>16</v>
      </c>
      <c r="B16" s="186" t="str">
        <f>ITEMS_TRA!C18</f>
        <v>TFHCV3</v>
      </c>
      <c r="C16" s="186" t="str">
        <f>ITEMS_TRA!D18</f>
        <v>Transport Freight - HCV3</v>
      </c>
      <c r="D16" s="186"/>
      <c r="F16" s="61">
        <f t="shared" si="22"/>
        <v>0.8</v>
      </c>
      <c r="G16" s="61">
        <f t="shared" si="11"/>
        <v>0.8</v>
      </c>
      <c r="H16" s="61">
        <f t="shared" si="11"/>
        <v>0.8</v>
      </c>
      <c r="I16" s="61">
        <f t="shared" si="12"/>
        <v>0.8</v>
      </c>
      <c r="J16" s="61">
        <f t="shared" si="13"/>
        <v>0.8</v>
      </c>
      <c r="K16" s="61">
        <f t="shared" si="14"/>
        <v>0.8</v>
      </c>
      <c r="L16" s="61">
        <f t="shared" si="15"/>
        <v>0.8</v>
      </c>
      <c r="M16" s="61">
        <f t="shared" si="16"/>
        <v>0.8</v>
      </c>
      <c r="N16" s="61">
        <f t="shared" si="17"/>
        <v>0.8</v>
      </c>
      <c r="P16" s="61">
        <f t="shared" si="18"/>
        <v>0.8</v>
      </c>
      <c r="Q16" s="61">
        <f t="shared" si="20"/>
        <v>0.8</v>
      </c>
      <c r="R16" s="61">
        <f t="shared" si="18"/>
        <v>0.8</v>
      </c>
      <c r="S16" s="61">
        <f t="shared" si="18"/>
        <v>0.8</v>
      </c>
      <c r="T16" s="61">
        <f t="shared" si="18"/>
        <v>0.8</v>
      </c>
      <c r="U16" s="61">
        <f t="shared" si="18"/>
        <v>0.8</v>
      </c>
      <c r="V16" s="61">
        <f t="shared" si="18"/>
        <v>0.8</v>
      </c>
      <c r="W16" s="229"/>
      <c r="X16" s="61">
        <f t="shared" si="19"/>
        <v>0.8</v>
      </c>
      <c r="Y16" s="61">
        <f t="shared" si="21"/>
        <v>0.8</v>
      </c>
      <c r="Z16" s="61">
        <f t="shared" si="19"/>
        <v>0.8</v>
      </c>
      <c r="AA16" s="61">
        <f t="shared" si="19"/>
        <v>0.8</v>
      </c>
      <c r="AB16" s="61">
        <f t="shared" si="19"/>
        <v>0.8</v>
      </c>
      <c r="AC16" s="61">
        <f t="shared" si="19"/>
        <v>0.8</v>
      </c>
      <c r="AD16" s="61">
        <f t="shared" si="19"/>
        <v>0.8</v>
      </c>
      <c r="AE16" s="229"/>
      <c r="AF16" s="229"/>
      <c r="AG16" s="229"/>
      <c r="AH16" s="229"/>
      <c r="AI16" s="229"/>
      <c r="AJ16" s="229"/>
      <c r="AK16" s="229"/>
      <c r="AL16" s="229"/>
      <c r="AM16" s="229"/>
      <c r="AN16" s="229"/>
      <c r="AO16" s="229"/>
      <c r="AP16" s="229"/>
      <c r="AQ16" s="229"/>
      <c r="AR16" s="229"/>
      <c r="AS16" s="229"/>
    </row>
    <row r="17" spans="1:45">
      <c r="A17" s="185" t="s">
        <v>16</v>
      </c>
      <c r="B17" s="186" t="str">
        <f>ITEMS_TRA!C19</f>
        <v>TFHCV4</v>
      </c>
      <c r="C17" s="186" t="str">
        <f>ITEMS_TRA!D19</f>
        <v>Transport Freight - HCV4</v>
      </c>
      <c r="D17" s="186"/>
      <c r="F17" s="61">
        <f t="shared" si="22"/>
        <v>0.8</v>
      </c>
      <c r="G17" s="61">
        <f t="shared" si="11"/>
        <v>0.8</v>
      </c>
      <c r="H17" s="61">
        <f t="shared" si="11"/>
        <v>0.8</v>
      </c>
      <c r="I17" s="61">
        <f t="shared" si="12"/>
        <v>0.8</v>
      </c>
      <c r="J17" s="61">
        <f t="shared" si="13"/>
        <v>0.8</v>
      </c>
      <c r="K17" s="61">
        <f t="shared" si="14"/>
        <v>0.8</v>
      </c>
      <c r="L17" s="61">
        <f t="shared" si="15"/>
        <v>0.8</v>
      </c>
      <c r="M17" s="61">
        <f t="shared" si="16"/>
        <v>0.8</v>
      </c>
      <c r="N17" s="61">
        <f t="shared" si="17"/>
        <v>0.8</v>
      </c>
      <c r="P17" s="61">
        <f t="shared" si="18"/>
        <v>0.8</v>
      </c>
      <c r="Q17" s="61">
        <f t="shared" si="20"/>
        <v>0.8</v>
      </c>
      <c r="R17" s="61">
        <f t="shared" si="18"/>
        <v>0.8</v>
      </c>
      <c r="S17" s="61">
        <f t="shared" si="18"/>
        <v>0.8</v>
      </c>
      <c r="T17" s="61">
        <f t="shared" si="18"/>
        <v>0.8</v>
      </c>
      <c r="U17" s="61">
        <f t="shared" si="18"/>
        <v>0.8</v>
      </c>
      <c r="V17" s="61">
        <f t="shared" si="18"/>
        <v>0.8</v>
      </c>
      <c r="W17" s="229"/>
      <c r="X17" s="61">
        <f t="shared" si="19"/>
        <v>0.8</v>
      </c>
      <c r="Y17" s="61">
        <f t="shared" si="21"/>
        <v>0.8</v>
      </c>
      <c r="Z17" s="61">
        <f t="shared" si="19"/>
        <v>0.8</v>
      </c>
      <c r="AA17" s="61">
        <f t="shared" si="19"/>
        <v>0.8</v>
      </c>
      <c r="AB17" s="61">
        <f t="shared" si="19"/>
        <v>0.8</v>
      </c>
      <c r="AC17" s="61">
        <f t="shared" si="19"/>
        <v>0.8</v>
      </c>
      <c r="AD17" s="61">
        <f t="shared" si="19"/>
        <v>0.8</v>
      </c>
      <c r="AE17" s="229"/>
      <c r="AF17" s="229"/>
      <c r="AG17" s="229"/>
      <c r="AH17" s="229"/>
      <c r="AI17" s="229"/>
      <c r="AJ17" s="229"/>
      <c r="AK17" s="229"/>
      <c r="AL17" s="229"/>
      <c r="AM17" s="229"/>
      <c r="AN17" s="229"/>
      <c r="AO17" s="229"/>
      <c r="AP17" s="229"/>
      <c r="AQ17" s="229"/>
      <c r="AR17" s="229"/>
      <c r="AS17" s="229"/>
    </row>
    <row r="18" spans="1:45">
      <c r="A18" s="185" t="s">
        <v>16</v>
      </c>
      <c r="B18" s="186" t="str">
        <f>ITEMS_TRA!C20</f>
        <v>TFHCV5</v>
      </c>
      <c r="C18" s="186" t="str">
        <f>ITEMS_TRA!D20</f>
        <v>Transport Freight - HCV5</v>
      </c>
      <c r="D18" s="186"/>
      <c r="F18" s="61">
        <f t="shared" si="22"/>
        <v>0.8</v>
      </c>
      <c r="G18" s="61">
        <f t="shared" si="11"/>
        <v>0.8</v>
      </c>
      <c r="H18" s="61">
        <f t="shared" si="11"/>
        <v>0.8</v>
      </c>
      <c r="I18" s="61">
        <f t="shared" si="12"/>
        <v>0.8</v>
      </c>
      <c r="J18" s="61">
        <f t="shared" si="13"/>
        <v>0.8</v>
      </c>
      <c r="K18" s="61">
        <f t="shared" si="14"/>
        <v>0.8</v>
      </c>
      <c r="L18" s="61">
        <f t="shared" si="15"/>
        <v>0.8</v>
      </c>
      <c r="M18" s="61">
        <f t="shared" si="16"/>
        <v>0.8</v>
      </c>
      <c r="N18" s="61">
        <f t="shared" si="17"/>
        <v>0.8</v>
      </c>
      <c r="P18" s="61">
        <f t="shared" si="18"/>
        <v>0.8</v>
      </c>
      <c r="Q18" s="61">
        <f t="shared" si="20"/>
        <v>0.8</v>
      </c>
      <c r="R18" s="61">
        <f t="shared" si="18"/>
        <v>0.8</v>
      </c>
      <c r="S18" s="61">
        <f t="shared" si="18"/>
        <v>0.8</v>
      </c>
      <c r="T18" s="61">
        <f t="shared" si="18"/>
        <v>0.8</v>
      </c>
      <c r="U18" s="61">
        <f t="shared" si="18"/>
        <v>0.8</v>
      </c>
      <c r="V18" s="61">
        <f t="shared" si="18"/>
        <v>0.8</v>
      </c>
      <c r="W18" s="229"/>
      <c r="X18" s="61">
        <f t="shared" si="19"/>
        <v>0.8</v>
      </c>
      <c r="Y18" s="61">
        <f t="shared" si="21"/>
        <v>0.8</v>
      </c>
      <c r="Z18" s="61">
        <f t="shared" si="19"/>
        <v>0.8</v>
      </c>
      <c r="AA18" s="61">
        <f t="shared" si="19"/>
        <v>0.8</v>
      </c>
      <c r="AB18" s="61">
        <f t="shared" si="19"/>
        <v>0.8</v>
      </c>
      <c r="AC18" s="61">
        <f t="shared" si="19"/>
        <v>0.8</v>
      </c>
      <c r="AD18" s="61">
        <f t="shared" si="19"/>
        <v>0.8</v>
      </c>
      <c r="AE18" s="229"/>
      <c r="AF18" s="229"/>
      <c r="AG18" s="229"/>
      <c r="AH18" s="229"/>
      <c r="AI18" s="229"/>
      <c r="AJ18" s="229"/>
      <c r="AK18" s="229"/>
      <c r="AL18" s="229"/>
      <c r="AM18" s="229"/>
      <c r="AN18" s="229"/>
      <c r="AO18" s="229"/>
      <c r="AP18" s="229"/>
      <c r="AQ18" s="229"/>
      <c r="AR18" s="229"/>
      <c r="AS18" s="229"/>
    </row>
    <row r="19" spans="1:45">
      <c r="A19" s="185" t="s">
        <v>16</v>
      </c>
      <c r="B19" s="186" t="str">
        <f>ITEMS_TRA!C21</f>
        <v>TFHCV6</v>
      </c>
      <c r="C19" s="186" t="str">
        <f>ITEMS_TRA!D21</f>
        <v>Transport Freight - HCV6</v>
      </c>
      <c r="D19" s="186"/>
      <c r="F19" s="61">
        <f t="shared" si="22"/>
        <v>0.8</v>
      </c>
      <c r="G19" s="61">
        <f t="shared" si="11"/>
        <v>0.8</v>
      </c>
      <c r="H19" s="61">
        <f t="shared" si="11"/>
        <v>0.8</v>
      </c>
      <c r="I19" s="61">
        <f t="shared" si="12"/>
        <v>0.8</v>
      </c>
      <c r="J19" s="61">
        <f t="shared" si="13"/>
        <v>0.8</v>
      </c>
      <c r="K19" s="61">
        <f t="shared" si="14"/>
        <v>0.8</v>
      </c>
      <c r="L19" s="61">
        <f t="shared" si="15"/>
        <v>0.8</v>
      </c>
      <c r="M19" s="61">
        <f t="shared" si="16"/>
        <v>0.8</v>
      </c>
      <c r="N19" s="61">
        <f t="shared" si="17"/>
        <v>0.8</v>
      </c>
      <c r="P19" s="61">
        <f t="shared" si="18"/>
        <v>0.8</v>
      </c>
      <c r="Q19" s="61">
        <f t="shared" si="20"/>
        <v>0.8</v>
      </c>
      <c r="R19" s="61">
        <f t="shared" si="18"/>
        <v>0.8</v>
      </c>
      <c r="S19" s="61">
        <f t="shared" si="18"/>
        <v>0.8</v>
      </c>
      <c r="T19" s="61">
        <f t="shared" si="18"/>
        <v>0.8</v>
      </c>
      <c r="U19" s="61">
        <f t="shared" si="18"/>
        <v>0.8</v>
      </c>
      <c r="V19" s="61">
        <f t="shared" si="18"/>
        <v>0.8</v>
      </c>
      <c r="W19" s="229"/>
      <c r="X19" s="61">
        <f t="shared" si="19"/>
        <v>0.8</v>
      </c>
      <c r="Y19" s="61">
        <f t="shared" si="21"/>
        <v>0.8</v>
      </c>
      <c r="Z19" s="61">
        <f t="shared" si="19"/>
        <v>0.8</v>
      </c>
      <c r="AA19" s="61">
        <f t="shared" si="19"/>
        <v>0.8</v>
      </c>
      <c r="AB19" s="61">
        <f t="shared" si="19"/>
        <v>0.8</v>
      </c>
      <c r="AC19" s="61">
        <f t="shared" si="19"/>
        <v>0.8</v>
      </c>
      <c r="AD19" s="61">
        <f t="shared" si="19"/>
        <v>0.8</v>
      </c>
      <c r="AE19" s="229"/>
      <c r="AF19" s="229"/>
      <c r="AG19" s="229"/>
      <c r="AH19" s="229"/>
      <c r="AI19" s="229"/>
      <c r="AJ19" s="229"/>
      <c r="AK19" s="229"/>
      <c r="AL19" s="229"/>
      <c r="AM19" s="229"/>
      <c r="AN19" s="229"/>
      <c r="AO19" s="229"/>
      <c r="AP19" s="229"/>
      <c r="AQ19" s="229"/>
      <c r="AR19" s="229"/>
      <c r="AS19" s="229"/>
    </row>
    <row r="20" spans="1:45">
      <c r="A20" s="185" t="s">
        <v>16</v>
      </c>
      <c r="B20" s="186" t="str">
        <f>ITEMS_TRA!C22</f>
        <v>TFHCV7</v>
      </c>
      <c r="C20" s="186" t="str">
        <f>ITEMS_TRA!D22</f>
        <v>Transport Freight - HCV7</v>
      </c>
      <c r="D20" s="186"/>
      <c r="F20" s="61">
        <f t="shared" si="22"/>
        <v>0.8</v>
      </c>
      <c r="G20" s="61">
        <f t="shared" si="11"/>
        <v>0.8</v>
      </c>
      <c r="H20" s="61">
        <f t="shared" si="11"/>
        <v>0.8</v>
      </c>
      <c r="I20" s="61">
        <f t="shared" si="12"/>
        <v>0.8</v>
      </c>
      <c r="J20" s="61">
        <f t="shared" si="13"/>
        <v>0.8</v>
      </c>
      <c r="K20" s="61">
        <f t="shared" si="14"/>
        <v>0.8</v>
      </c>
      <c r="L20" s="61">
        <f t="shared" si="15"/>
        <v>0.8</v>
      </c>
      <c r="M20" s="61">
        <f t="shared" si="16"/>
        <v>0.8</v>
      </c>
      <c r="N20" s="61">
        <f t="shared" si="17"/>
        <v>0.8</v>
      </c>
      <c r="P20" s="61">
        <f t="shared" si="18"/>
        <v>0.8</v>
      </c>
      <c r="Q20" s="61">
        <f t="shared" si="20"/>
        <v>0.8</v>
      </c>
      <c r="R20" s="61">
        <f t="shared" si="18"/>
        <v>0.8</v>
      </c>
      <c r="S20" s="61">
        <f>$G20</f>
        <v>0.8</v>
      </c>
      <c r="T20" s="61">
        <f t="shared" si="18"/>
        <v>0.8</v>
      </c>
      <c r="U20" s="61">
        <f t="shared" si="18"/>
        <v>0.8</v>
      </c>
      <c r="V20" s="61">
        <f t="shared" si="18"/>
        <v>0.8</v>
      </c>
      <c r="W20" s="229"/>
      <c r="X20" s="61">
        <f t="shared" si="19"/>
        <v>0.8</v>
      </c>
      <c r="Y20" s="61">
        <f t="shared" si="21"/>
        <v>0.8</v>
      </c>
      <c r="Z20" s="61">
        <f t="shared" si="19"/>
        <v>0.8</v>
      </c>
      <c r="AA20" s="61">
        <f t="shared" si="19"/>
        <v>0.8</v>
      </c>
      <c r="AB20" s="61">
        <f t="shared" si="19"/>
        <v>0.8</v>
      </c>
      <c r="AC20" s="61">
        <f t="shared" si="19"/>
        <v>0.8</v>
      </c>
      <c r="AD20" s="61">
        <f t="shared" si="19"/>
        <v>0.8</v>
      </c>
      <c r="AE20" s="229"/>
      <c r="AF20" s="229"/>
      <c r="AG20" s="229"/>
      <c r="AH20" s="229"/>
      <c r="AI20" s="229"/>
      <c r="AJ20" s="229"/>
      <c r="AK20" s="229"/>
      <c r="AL20" s="229"/>
      <c r="AM20" s="229"/>
      <c r="AN20" s="229"/>
      <c r="AO20" s="229"/>
      <c r="AP20" s="229"/>
      <c r="AQ20" s="229"/>
      <c r="AR20" s="229"/>
      <c r="AS20" s="229"/>
    </row>
    <row r="21" spans="1:45">
      <c r="A21" s="185" t="s">
        <v>16</v>
      </c>
      <c r="B21" s="186" t="str">
        <f>ITEMS_TRA!C23</f>
        <v>TFHCV8</v>
      </c>
      <c r="C21" s="186" t="str">
        <f>ITEMS_TRA!D23</f>
        <v>Transport Freight - HCV8</v>
      </c>
      <c r="D21" s="186"/>
      <c r="F21" s="61">
        <f t="shared" si="22"/>
        <v>0.8</v>
      </c>
      <c r="G21" s="61">
        <f t="shared" si="11"/>
        <v>0.8</v>
      </c>
      <c r="H21" s="61">
        <f t="shared" si="11"/>
        <v>0.8</v>
      </c>
      <c r="I21" s="61">
        <f t="shared" si="12"/>
        <v>0.8</v>
      </c>
      <c r="J21" s="61">
        <f t="shared" si="13"/>
        <v>0.8</v>
      </c>
      <c r="K21" s="61">
        <f t="shared" si="14"/>
        <v>0.8</v>
      </c>
      <c r="L21" s="61">
        <f t="shared" si="15"/>
        <v>0.8</v>
      </c>
      <c r="M21" s="61">
        <f t="shared" si="16"/>
        <v>0.8</v>
      </c>
      <c r="N21" s="61">
        <f t="shared" si="17"/>
        <v>0.8</v>
      </c>
      <c r="P21" s="61">
        <f t="shared" si="18"/>
        <v>0.8</v>
      </c>
      <c r="Q21" s="61">
        <f t="shared" si="20"/>
        <v>0.8</v>
      </c>
      <c r="R21" s="61">
        <f t="shared" si="18"/>
        <v>0.8</v>
      </c>
      <c r="S21" s="61">
        <f t="shared" si="18"/>
        <v>0.8</v>
      </c>
      <c r="T21" s="61">
        <f t="shared" si="18"/>
        <v>0.8</v>
      </c>
      <c r="U21" s="61">
        <f t="shared" si="18"/>
        <v>0.8</v>
      </c>
      <c r="V21" s="61">
        <f t="shared" si="18"/>
        <v>0.8</v>
      </c>
      <c r="W21" s="229"/>
      <c r="X21" s="61">
        <f t="shared" si="19"/>
        <v>0.8</v>
      </c>
      <c r="Y21" s="61">
        <f t="shared" si="21"/>
        <v>0.8</v>
      </c>
      <c r="Z21" s="61">
        <f t="shared" si="19"/>
        <v>0.8</v>
      </c>
      <c r="AA21" s="61">
        <f t="shared" si="19"/>
        <v>0.8</v>
      </c>
      <c r="AB21" s="61">
        <f t="shared" si="19"/>
        <v>0.8</v>
      </c>
      <c r="AC21" s="61">
        <f t="shared" si="19"/>
        <v>0.8</v>
      </c>
      <c r="AD21" s="61">
        <f t="shared" si="19"/>
        <v>0.8</v>
      </c>
      <c r="AE21" s="229"/>
      <c r="AF21" s="229"/>
      <c r="AG21" s="229"/>
      <c r="AH21" s="229"/>
      <c r="AI21" s="229"/>
      <c r="AJ21" s="229"/>
      <c r="AK21" s="229"/>
      <c r="AL21" s="229"/>
      <c r="AM21" s="229"/>
      <c r="AN21" s="229"/>
      <c r="AO21" s="229"/>
      <c r="AP21" s="229"/>
      <c r="AQ21" s="229"/>
      <c r="AR21" s="229"/>
      <c r="AS21" s="229"/>
    </row>
    <row r="22" spans="1:45">
      <c r="A22" s="185" t="s">
        <v>16</v>
      </c>
      <c r="B22" s="186" t="str">
        <f>ITEMS_TRA!C24</f>
        <v>TFHCV9</v>
      </c>
      <c r="C22" s="186" t="str">
        <f>ITEMS_TRA!D24</f>
        <v>Transport Freight - HCV9</v>
      </c>
      <c r="D22" s="186"/>
      <c r="F22" s="61">
        <f t="shared" si="22"/>
        <v>0.8</v>
      </c>
      <c r="G22" s="61">
        <f t="shared" si="11"/>
        <v>0.8</v>
      </c>
      <c r="H22" s="61">
        <f t="shared" si="11"/>
        <v>0.8</v>
      </c>
      <c r="I22" s="61">
        <f t="shared" si="12"/>
        <v>0.8</v>
      </c>
      <c r="J22" s="61">
        <f t="shared" si="13"/>
        <v>0.8</v>
      </c>
      <c r="K22" s="61">
        <f t="shared" si="14"/>
        <v>0.8</v>
      </c>
      <c r="L22" s="61">
        <f t="shared" si="15"/>
        <v>0.8</v>
      </c>
      <c r="M22" s="61">
        <f t="shared" si="16"/>
        <v>0.8</v>
      </c>
      <c r="N22" s="61">
        <f t="shared" si="17"/>
        <v>0.8</v>
      </c>
      <c r="P22" s="61">
        <f t="shared" si="18"/>
        <v>0.8</v>
      </c>
      <c r="Q22" s="61">
        <f t="shared" si="20"/>
        <v>0.8</v>
      </c>
      <c r="R22" s="61">
        <f t="shared" ref="R22:T25" si="23">P22</f>
        <v>0.8</v>
      </c>
      <c r="S22" s="61">
        <f t="shared" si="23"/>
        <v>0.8</v>
      </c>
      <c r="T22" s="61">
        <f t="shared" si="23"/>
        <v>0.8</v>
      </c>
      <c r="U22" s="61">
        <f>T22</f>
        <v>0.8</v>
      </c>
      <c r="V22" s="61">
        <f t="shared" si="18"/>
        <v>0.8</v>
      </c>
      <c r="W22" s="229"/>
      <c r="X22" s="61">
        <f t="shared" si="19"/>
        <v>0.8</v>
      </c>
      <c r="Y22" s="61">
        <f t="shared" si="21"/>
        <v>0.8</v>
      </c>
      <c r="Z22" s="61">
        <f t="shared" ref="Z22:AB25" si="24">X22</f>
        <v>0.8</v>
      </c>
      <c r="AA22" s="61">
        <f t="shared" si="24"/>
        <v>0.8</v>
      </c>
      <c r="AB22" s="61">
        <f t="shared" si="24"/>
        <v>0.8</v>
      </c>
      <c r="AC22" s="61">
        <f>AB22</f>
        <v>0.8</v>
      </c>
      <c r="AD22" s="61">
        <f t="shared" si="19"/>
        <v>0.8</v>
      </c>
      <c r="AE22" s="229"/>
      <c r="AF22" s="229"/>
      <c r="AG22" s="229"/>
      <c r="AH22" s="229"/>
      <c r="AI22" s="229"/>
      <c r="AJ22" s="229"/>
      <c r="AK22" s="229"/>
      <c r="AL22" s="229"/>
      <c r="AM22" s="229"/>
      <c r="AN22" s="229"/>
      <c r="AO22" s="229"/>
      <c r="AP22" s="229"/>
      <c r="AQ22" s="229"/>
      <c r="AR22" s="229"/>
      <c r="AS22" s="229"/>
    </row>
    <row r="23" spans="1:45">
      <c r="A23" s="185" t="s">
        <v>16</v>
      </c>
      <c r="B23" s="186" t="str">
        <f>ITEMS_TRA!C25</f>
        <v>TFRCO</v>
      </c>
      <c r="C23" s="186" t="str">
        <f>ITEMS_TRA!D25</f>
        <v>Transport Freight - Rail Corridor</v>
      </c>
      <c r="D23" s="186"/>
      <c r="F23" s="61">
        <f t="shared" si="22"/>
        <v>0.8</v>
      </c>
      <c r="G23" s="61">
        <f t="shared" si="11"/>
        <v>0.8</v>
      </c>
      <c r="H23" s="61">
        <f t="shared" si="11"/>
        <v>0.8</v>
      </c>
      <c r="I23" s="61">
        <f t="shared" si="12"/>
        <v>0.8</v>
      </c>
      <c r="J23" s="61">
        <f t="shared" si="13"/>
        <v>0.8</v>
      </c>
      <c r="K23" s="61">
        <f t="shared" si="14"/>
        <v>0.8</v>
      </c>
      <c r="L23" s="61">
        <f t="shared" si="15"/>
        <v>0.8</v>
      </c>
      <c r="M23" s="61">
        <f t="shared" si="16"/>
        <v>0.8</v>
      </c>
      <c r="N23" s="61">
        <f t="shared" si="17"/>
        <v>0.8</v>
      </c>
      <c r="P23" s="61">
        <f t="shared" si="18"/>
        <v>0.8</v>
      </c>
      <c r="Q23" s="61">
        <f t="shared" si="20"/>
        <v>0.8</v>
      </c>
      <c r="R23" s="61">
        <f t="shared" si="23"/>
        <v>0.8</v>
      </c>
      <c r="S23" s="61">
        <f t="shared" si="23"/>
        <v>0.8</v>
      </c>
      <c r="T23" s="61">
        <f t="shared" si="23"/>
        <v>0.8</v>
      </c>
      <c r="U23" s="61">
        <f>T23</f>
        <v>0.8</v>
      </c>
      <c r="V23" s="61">
        <f t="shared" si="18"/>
        <v>0.8</v>
      </c>
      <c r="W23" s="229"/>
      <c r="X23" s="61">
        <f t="shared" si="19"/>
        <v>0.8</v>
      </c>
      <c r="Y23" s="61">
        <f t="shared" si="21"/>
        <v>0.8</v>
      </c>
      <c r="Z23" s="61">
        <f t="shared" si="24"/>
        <v>0.8</v>
      </c>
      <c r="AA23" s="61">
        <f t="shared" si="24"/>
        <v>0.8</v>
      </c>
      <c r="AB23" s="61">
        <f t="shared" si="24"/>
        <v>0.8</v>
      </c>
      <c r="AC23" s="61">
        <f>AB23</f>
        <v>0.8</v>
      </c>
      <c r="AD23" s="61">
        <f t="shared" si="19"/>
        <v>0.8</v>
      </c>
      <c r="AE23" s="229"/>
      <c r="AF23" s="229"/>
      <c r="AG23" s="229"/>
      <c r="AH23" s="229"/>
      <c r="AI23" s="229"/>
      <c r="AJ23" s="229"/>
      <c r="AK23" s="229"/>
      <c r="AL23" s="229"/>
      <c r="AM23" s="229"/>
      <c r="AN23" s="229"/>
      <c r="AO23" s="229"/>
      <c r="AP23" s="229"/>
      <c r="AQ23" s="229"/>
      <c r="AR23" s="229"/>
      <c r="AS23" s="229"/>
    </row>
    <row r="24" spans="1:45">
      <c r="A24" s="185" t="s">
        <v>16</v>
      </c>
      <c r="B24" s="186" t="str">
        <f>ITEMS_TRA!C26</f>
        <v>TFROT</v>
      </c>
      <c r="C24" s="186" t="str">
        <f>ITEMS_TRA!D26</f>
        <v>Transport Freight - Rail Other</v>
      </c>
      <c r="F24" s="61">
        <f t="shared" si="22"/>
        <v>0.8</v>
      </c>
      <c r="G24" s="61">
        <f t="shared" si="11"/>
        <v>0.8</v>
      </c>
      <c r="H24" s="61">
        <f t="shared" si="11"/>
        <v>0.8</v>
      </c>
      <c r="I24" s="61">
        <f t="shared" si="12"/>
        <v>0.8</v>
      </c>
      <c r="J24" s="61">
        <f t="shared" si="13"/>
        <v>0.8</v>
      </c>
      <c r="K24" s="61">
        <f t="shared" si="14"/>
        <v>0.8</v>
      </c>
      <c r="L24" s="61">
        <f t="shared" si="15"/>
        <v>0.8</v>
      </c>
      <c r="M24" s="61">
        <f t="shared" si="16"/>
        <v>0.8</v>
      </c>
      <c r="N24" s="61">
        <f t="shared" si="17"/>
        <v>0.8</v>
      </c>
      <c r="P24" s="61">
        <f t="shared" si="18"/>
        <v>0.8</v>
      </c>
      <c r="Q24" s="61">
        <f t="shared" si="20"/>
        <v>0.8</v>
      </c>
      <c r="R24" s="61">
        <f t="shared" si="23"/>
        <v>0.8</v>
      </c>
      <c r="S24" s="61">
        <f t="shared" si="23"/>
        <v>0.8</v>
      </c>
      <c r="T24" s="61">
        <f t="shared" si="23"/>
        <v>0.8</v>
      </c>
      <c r="U24" s="61">
        <f>T24</f>
        <v>0.8</v>
      </c>
      <c r="V24" s="61">
        <f t="shared" si="18"/>
        <v>0.8</v>
      </c>
      <c r="W24" s="229"/>
      <c r="X24" s="61">
        <f t="shared" si="19"/>
        <v>0.8</v>
      </c>
      <c r="Y24" s="61">
        <f t="shared" si="21"/>
        <v>0.8</v>
      </c>
      <c r="Z24" s="61">
        <f t="shared" si="24"/>
        <v>0.8</v>
      </c>
      <c r="AA24" s="61">
        <f t="shared" si="24"/>
        <v>0.8</v>
      </c>
      <c r="AB24" s="61">
        <f t="shared" si="24"/>
        <v>0.8</v>
      </c>
      <c r="AC24" s="61">
        <f>AB24</f>
        <v>0.8</v>
      </c>
      <c r="AD24" s="61">
        <f t="shared" si="19"/>
        <v>0.8</v>
      </c>
      <c r="AE24" s="229"/>
      <c r="AF24" s="229"/>
      <c r="AG24" s="229"/>
      <c r="AH24" s="229"/>
      <c r="AI24" s="229"/>
      <c r="AJ24" s="229"/>
      <c r="AK24" s="229"/>
      <c r="AL24" s="229"/>
      <c r="AM24" s="229"/>
      <c r="AN24" s="229"/>
      <c r="AO24" s="229"/>
      <c r="AP24" s="229"/>
      <c r="AQ24" s="229"/>
      <c r="AR24" s="229"/>
      <c r="AS24" s="229"/>
    </row>
    <row r="25" spans="1:45">
      <c r="A25" s="185" t="s">
        <v>16</v>
      </c>
      <c r="B25" s="186" t="str">
        <f>ITEMS_TRA!C27</f>
        <v>TFREX</v>
      </c>
      <c r="C25" s="186" t="str">
        <f>ITEMS_TRA!D27</f>
        <v>Transport Freight - Rail Export (bulk mining)</v>
      </c>
      <c r="F25" s="61">
        <f t="shared" si="22"/>
        <v>0.8</v>
      </c>
      <c r="G25" s="61">
        <f t="shared" si="11"/>
        <v>0.8</v>
      </c>
      <c r="H25" s="61">
        <f t="shared" si="11"/>
        <v>0.8</v>
      </c>
      <c r="I25" s="61">
        <f t="shared" si="12"/>
        <v>0.8</v>
      </c>
      <c r="J25" s="61">
        <f t="shared" si="13"/>
        <v>0.8</v>
      </c>
      <c r="K25" s="61">
        <f t="shared" si="14"/>
        <v>0.8</v>
      </c>
      <c r="L25" s="61">
        <f t="shared" si="15"/>
        <v>0.8</v>
      </c>
      <c r="M25" s="61">
        <f t="shared" si="16"/>
        <v>0.8</v>
      </c>
      <c r="N25" s="61">
        <f t="shared" si="17"/>
        <v>0.8</v>
      </c>
      <c r="P25" s="61">
        <f t="shared" si="18"/>
        <v>0.8</v>
      </c>
      <c r="Q25" s="61">
        <f t="shared" si="20"/>
        <v>0.8</v>
      </c>
      <c r="R25" s="61">
        <f t="shared" si="23"/>
        <v>0.8</v>
      </c>
      <c r="S25" s="61">
        <f t="shared" si="23"/>
        <v>0.8</v>
      </c>
      <c r="T25" s="61">
        <f t="shared" si="23"/>
        <v>0.8</v>
      </c>
      <c r="U25" s="61">
        <f>T25</f>
        <v>0.8</v>
      </c>
      <c r="V25" s="61">
        <f t="shared" si="18"/>
        <v>0.8</v>
      </c>
      <c r="W25" s="229"/>
      <c r="X25" s="61">
        <f t="shared" si="19"/>
        <v>0.8</v>
      </c>
      <c r="Y25" s="61">
        <f t="shared" si="21"/>
        <v>0.8</v>
      </c>
      <c r="Z25" s="61">
        <f t="shared" si="24"/>
        <v>0.8</v>
      </c>
      <c r="AA25" s="61">
        <f t="shared" si="24"/>
        <v>0.8</v>
      </c>
      <c r="AB25" s="61">
        <f t="shared" si="24"/>
        <v>0.8</v>
      </c>
      <c r="AC25" s="61">
        <f>AB25</f>
        <v>0.8</v>
      </c>
      <c r="AD25" s="61">
        <f t="shared" si="19"/>
        <v>0.8</v>
      </c>
      <c r="AE25" s="229"/>
      <c r="AF25" s="229"/>
      <c r="AG25" s="229"/>
      <c r="AH25" s="229"/>
      <c r="AI25" s="229"/>
      <c r="AJ25" s="229"/>
      <c r="AK25" s="229"/>
      <c r="AL25" s="229"/>
      <c r="AM25" s="229"/>
      <c r="AN25" s="229"/>
      <c r="AO25" s="229"/>
      <c r="AP25" s="229"/>
      <c r="AQ25" s="229"/>
      <c r="AR25" s="229"/>
      <c r="AS25" s="229"/>
    </row>
    <row r="26" spans="1:45" ht="15.75" thickBot="1">
      <c r="A26" s="185" t="s">
        <v>16</v>
      </c>
      <c r="B26" s="186"/>
      <c r="C26" s="186"/>
      <c r="P26" s="186"/>
      <c r="R26" s="186"/>
      <c r="T26" s="186"/>
      <c r="U26" s="186"/>
      <c r="V26" s="186"/>
      <c r="W26" s="186"/>
      <c r="X26" s="186"/>
      <c r="Y26" s="186"/>
      <c r="Z26" s="186"/>
      <c r="AB26" s="256">
        <v>2030</v>
      </c>
      <c r="AC26" s="256">
        <v>2050</v>
      </c>
      <c r="AD26" s="186"/>
      <c r="AE26" s="186"/>
      <c r="AF26" s="186"/>
      <c r="AG26" s="186"/>
      <c r="AH26" s="186"/>
      <c r="AI26" s="186"/>
      <c r="AJ26" s="186"/>
      <c r="AK26" s="186"/>
      <c r="AL26" s="186"/>
      <c r="AM26" s="186"/>
      <c r="AN26" s="186"/>
      <c r="AO26" s="186"/>
      <c r="AP26" s="186"/>
      <c r="AQ26" s="186"/>
      <c r="AR26" s="186"/>
      <c r="AS26" s="186"/>
    </row>
    <row r="27" spans="1:45" ht="15.75" thickBot="1">
      <c r="A27" s="185" t="s">
        <v>16</v>
      </c>
      <c r="B27" s="14" t="s">
        <v>153</v>
      </c>
      <c r="C27" s="14"/>
      <c r="AB27" s="182">
        <f>INDEX($BD$4:$BD$7,MATCH($D$3,$BA$4:$BA$7,0))</f>
        <v>0.95</v>
      </c>
      <c r="AC27" s="182">
        <f>INDEX($BE$4:$BE$7,MATCH($D$3,$BA$4:$BA$7,0))</f>
        <v>0.95</v>
      </c>
    </row>
    <row r="28" spans="1:45">
      <c r="A28" s="185" t="s">
        <v>16</v>
      </c>
      <c r="B28" s="186" t="str">
        <f>B15</f>
        <v>TFHCV2</v>
      </c>
      <c r="C28" s="186" t="str">
        <f>C15</f>
        <v>Transport Freight - HCV2</v>
      </c>
      <c r="D28" s="185" t="s">
        <v>48</v>
      </c>
      <c r="F28" s="230">
        <f>F51/F$60</f>
        <v>1.223309374555521E-2</v>
      </c>
      <c r="G28" s="62">
        <f t="shared" ref="G28:H35" si="25">F28</f>
        <v>1.223309374555521E-2</v>
      </c>
      <c r="H28" s="62">
        <f t="shared" si="25"/>
        <v>1.223309374555521E-2</v>
      </c>
      <c r="I28" s="62">
        <f t="shared" ref="I28:I35" si="26">H28</f>
        <v>1.223309374555521E-2</v>
      </c>
      <c r="J28" s="62">
        <f t="shared" ref="J28:J35" si="27">I28</f>
        <v>1.223309374555521E-2</v>
      </c>
      <c r="K28" s="62">
        <f t="shared" ref="K28:K35" si="28">J28</f>
        <v>1.223309374555521E-2</v>
      </c>
      <c r="L28" s="62">
        <f t="shared" ref="L28:N35" si="29">IF($D$4,AB28,T28)</f>
        <v>1.223309374555521E-2</v>
      </c>
      <c r="M28" s="62">
        <f t="shared" si="29"/>
        <v>1.223309374555521E-2</v>
      </c>
      <c r="N28" s="62">
        <f t="shared" si="29"/>
        <v>1.223309374555521E-2</v>
      </c>
      <c r="P28" s="231">
        <f>$G28</f>
        <v>1.223309374555521E-2</v>
      </c>
      <c r="Q28" s="231">
        <f>P28</f>
        <v>1.223309374555521E-2</v>
      </c>
      <c r="R28" s="231">
        <f>Q28</f>
        <v>1.223309374555521E-2</v>
      </c>
      <c r="S28" s="231">
        <f>R28</f>
        <v>1.223309374555521E-2</v>
      </c>
      <c r="T28" s="34">
        <f t="shared" ref="T28:T35" si="30">R28</f>
        <v>1.223309374555521E-2</v>
      </c>
      <c r="U28" s="34">
        <f t="shared" ref="U28:U35" si="31">T28</f>
        <v>1.223309374555521E-2</v>
      </c>
      <c r="V28" s="34">
        <f>T28</f>
        <v>1.223309374555521E-2</v>
      </c>
      <c r="W28" s="232"/>
      <c r="X28" s="231">
        <f>P28</f>
        <v>1.223309374555521E-2</v>
      </c>
      <c r="Y28" s="231">
        <f t="shared" ref="Y28:AA28" si="32">Q28</f>
        <v>1.223309374555521E-2</v>
      </c>
      <c r="Z28" s="231">
        <f t="shared" si="32"/>
        <v>1.223309374555521E-2</v>
      </c>
      <c r="AA28" s="231">
        <f t="shared" si="32"/>
        <v>1.223309374555521E-2</v>
      </c>
      <c r="AB28" s="258">
        <f t="shared" ref="AB28:AB35" si="33">IF(INDEX($BF$4:$BF$7,MATCH($D$3,$BA$4:$BA$7,0)),Z28*$AB$27,Z28)</f>
        <v>1.162143905827745E-2</v>
      </c>
      <c r="AC28" s="258">
        <f t="shared" ref="AC28:AD35" si="34">IF(INDEX($BF$4:$BF$7,MATCH($D$3,$BA$4:$BA$7,0)),AB28*$AC$27,AB28)</f>
        <v>1.1040367105363576E-2</v>
      </c>
      <c r="AD28" s="72">
        <f t="shared" si="34"/>
        <v>1.0488348750095397E-2</v>
      </c>
      <c r="AE28" s="232"/>
      <c r="AF28" s="232"/>
      <c r="AG28" s="232"/>
      <c r="AH28" s="232"/>
      <c r="AI28" s="232"/>
      <c r="AJ28" s="232"/>
      <c r="AK28" s="232"/>
      <c r="AL28" s="232"/>
      <c r="AM28" s="232"/>
      <c r="AN28" s="232"/>
      <c r="AO28" s="232"/>
      <c r="AP28" s="232"/>
      <c r="AQ28" s="232"/>
      <c r="AR28" s="232"/>
      <c r="AS28" s="232"/>
    </row>
    <row r="29" spans="1:45">
      <c r="A29" s="185" t="s">
        <v>16</v>
      </c>
      <c r="B29" s="186" t="str">
        <f t="shared" ref="B29:C35" si="35">B16</f>
        <v>TFHCV3</v>
      </c>
      <c r="C29" s="186" t="str">
        <f t="shared" si="35"/>
        <v>Transport Freight - HCV3</v>
      </c>
      <c r="F29" s="230">
        <f>F52/F$60</f>
        <v>8.1866056980928109E-2</v>
      </c>
      <c r="G29" s="62">
        <f t="shared" si="25"/>
        <v>8.1866056980928109E-2</v>
      </c>
      <c r="H29" s="62">
        <f t="shared" si="25"/>
        <v>8.1866056980928109E-2</v>
      </c>
      <c r="I29" s="62">
        <f t="shared" si="26"/>
        <v>8.1866056980928109E-2</v>
      </c>
      <c r="J29" s="62">
        <f t="shared" si="27"/>
        <v>8.1866056980928109E-2</v>
      </c>
      <c r="K29" s="62">
        <f t="shared" si="28"/>
        <v>8.1866056980928109E-2</v>
      </c>
      <c r="L29" s="62">
        <f t="shared" si="29"/>
        <v>8.1866056980928109E-2</v>
      </c>
      <c r="M29" s="62">
        <f t="shared" si="29"/>
        <v>8.1866056980928109E-2</v>
      </c>
      <c r="N29" s="62">
        <f t="shared" si="29"/>
        <v>8.1866056980928109E-2</v>
      </c>
      <c r="P29" s="231">
        <f t="shared" ref="P29:P35" si="36">$G29</f>
        <v>8.1866056980928109E-2</v>
      </c>
      <c r="Q29" s="231">
        <f t="shared" ref="Q29:R35" si="37">P29</f>
        <v>8.1866056980928109E-2</v>
      </c>
      <c r="R29" s="231">
        <f t="shared" si="37"/>
        <v>8.1866056980928109E-2</v>
      </c>
      <c r="S29" s="231">
        <f t="shared" ref="S29" si="38">R29</f>
        <v>8.1866056980928109E-2</v>
      </c>
      <c r="T29" s="34">
        <f t="shared" si="30"/>
        <v>8.1866056980928109E-2</v>
      </c>
      <c r="U29" s="34">
        <f t="shared" si="31"/>
        <v>8.1866056980928109E-2</v>
      </c>
      <c r="V29" s="34">
        <f t="shared" ref="V29:V35" si="39">T29</f>
        <v>8.1866056980928109E-2</v>
      </c>
      <c r="W29" s="232"/>
      <c r="X29" s="231">
        <f t="shared" ref="X29:X35" si="40">P29</f>
        <v>8.1866056980928109E-2</v>
      </c>
      <c r="Y29" s="231">
        <f t="shared" ref="Y29:Y35" si="41">Q29</f>
        <v>8.1866056980928109E-2</v>
      </c>
      <c r="Z29" s="231">
        <f t="shared" ref="Z29:Z35" si="42">R29</f>
        <v>8.1866056980928109E-2</v>
      </c>
      <c r="AA29" s="231">
        <f t="shared" ref="AA29:AA35" si="43">S29</f>
        <v>8.1866056980928109E-2</v>
      </c>
      <c r="AB29" s="70">
        <f t="shared" si="33"/>
        <v>7.77727541318817E-2</v>
      </c>
      <c r="AC29" s="258">
        <f t="shared" si="34"/>
        <v>7.388411642528761E-2</v>
      </c>
      <c r="AD29" s="72">
        <f t="shared" si="34"/>
        <v>7.0189910604023228E-2</v>
      </c>
      <c r="AE29" s="232"/>
      <c r="AF29" s="232"/>
      <c r="AG29" s="232"/>
      <c r="AH29" s="232"/>
      <c r="AI29" s="232"/>
      <c r="AJ29" s="232"/>
      <c r="AK29" s="232"/>
      <c r="AL29" s="232"/>
      <c r="AM29" s="232"/>
      <c r="AN29" s="232"/>
      <c r="AO29" s="232"/>
      <c r="AP29" s="232"/>
      <c r="AQ29" s="232"/>
      <c r="AR29" s="232"/>
      <c r="AS29" s="232"/>
    </row>
    <row r="30" spans="1:45">
      <c r="A30" s="185" t="s">
        <v>16</v>
      </c>
      <c r="B30" s="186" t="str">
        <f t="shared" si="35"/>
        <v>TFHCV4</v>
      </c>
      <c r="C30" s="186" t="str">
        <f t="shared" si="35"/>
        <v>Transport Freight - HCV4</v>
      </c>
      <c r="F30" s="230">
        <f t="shared" ref="F30:F35" si="44">F53/F$60</f>
        <v>2.7304410472915146E-2</v>
      </c>
      <c r="G30" s="62">
        <f t="shared" si="25"/>
        <v>2.7304410472915146E-2</v>
      </c>
      <c r="H30" s="62">
        <f t="shared" si="25"/>
        <v>2.7304410472915146E-2</v>
      </c>
      <c r="I30" s="62">
        <f t="shared" si="26"/>
        <v>2.7304410472915146E-2</v>
      </c>
      <c r="J30" s="62">
        <f t="shared" si="27"/>
        <v>2.7304410472915146E-2</v>
      </c>
      <c r="K30" s="62">
        <f t="shared" si="28"/>
        <v>2.7304410472915146E-2</v>
      </c>
      <c r="L30" s="62">
        <f t="shared" si="29"/>
        <v>2.7304410472915146E-2</v>
      </c>
      <c r="M30" s="62">
        <f t="shared" si="29"/>
        <v>2.7304410472915146E-2</v>
      </c>
      <c r="N30" s="62">
        <f t="shared" si="29"/>
        <v>2.7304410472915146E-2</v>
      </c>
      <c r="P30" s="231">
        <f t="shared" si="36"/>
        <v>2.7304410472915146E-2</v>
      </c>
      <c r="Q30" s="231">
        <f t="shared" si="37"/>
        <v>2.7304410472915146E-2</v>
      </c>
      <c r="R30" s="231">
        <f t="shared" si="37"/>
        <v>2.7304410472915146E-2</v>
      </c>
      <c r="S30" s="231">
        <f t="shared" ref="S30" si="45">R30</f>
        <v>2.7304410472915146E-2</v>
      </c>
      <c r="T30" s="34">
        <f t="shared" si="30"/>
        <v>2.7304410472915146E-2</v>
      </c>
      <c r="U30" s="34">
        <f t="shared" si="31"/>
        <v>2.7304410472915146E-2</v>
      </c>
      <c r="V30" s="34">
        <f t="shared" si="39"/>
        <v>2.7304410472915146E-2</v>
      </c>
      <c r="W30" s="232"/>
      <c r="X30" s="231">
        <f t="shared" si="40"/>
        <v>2.7304410472915146E-2</v>
      </c>
      <c r="Y30" s="231">
        <f t="shared" si="41"/>
        <v>2.7304410472915146E-2</v>
      </c>
      <c r="Z30" s="231">
        <f t="shared" si="42"/>
        <v>2.7304410472915146E-2</v>
      </c>
      <c r="AA30" s="231">
        <f t="shared" si="43"/>
        <v>2.7304410472915146E-2</v>
      </c>
      <c r="AB30" s="70">
        <f t="shared" si="33"/>
        <v>2.5939189949269387E-2</v>
      </c>
      <c r="AC30" s="258">
        <f t="shared" si="34"/>
        <v>2.4642230451805917E-2</v>
      </c>
      <c r="AD30" s="72">
        <f t="shared" si="34"/>
        <v>2.3410118929215618E-2</v>
      </c>
      <c r="AE30" s="232"/>
      <c r="AF30" s="232"/>
      <c r="AG30" s="232"/>
      <c r="AH30" s="232"/>
      <c r="AI30" s="232"/>
      <c r="AJ30" s="232"/>
      <c r="AK30" s="232"/>
      <c r="AL30" s="232"/>
      <c r="AM30" s="232"/>
      <c r="AN30" s="232"/>
      <c r="AO30" s="232"/>
      <c r="AP30" s="232"/>
      <c r="AQ30" s="232"/>
      <c r="AR30" s="232"/>
      <c r="AS30" s="232"/>
    </row>
    <row r="31" spans="1:45">
      <c r="A31" s="185" t="s">
        <v>16</v>
      </c>
      <c r="B31" s="186" t="str">
        <f t="shared" si="35"/>
        <v>TFHCV5</v>
      </c>
      <c r="C31" s="186" t="str">
        <f t="shared" si="35"/>
        <v>Transport Freight - HCV5</v>
      </c>
      <c r="F31" s="230">
        <f t="shared" si="44"/>
        <v>1.645969810781665E-2</v>
      </c>
      <c r="G31" s="62">
        <f t="shared" si="25"/>
        <v>1.645969810781665E-2</v>
      </c>
      <c r="H31" s="62">
        <f t="shared" si="25"/>
        <v>1.645969810781665E-2</v>
      </c>
      <c r="I31" s="62">
        <f t="shared" si="26"/>
        <v>1.645969810781665E-2</v>
      </c>
      <c r="J31" s="62">
        <f t="shared" si="27"/>
        <v>1.645969810781665E-2</v>
      </c>
      <c r="K31" s="62">
        <f t="shared" si="28"/>
        <v>1.645969810781665E-2</v>
      </c>
      <c r="L31" s="62">
        <f t="shared" si="29"/>
        <v>1.645969810781665E-2</v>
      </c>
      <c r="M31" s="62">
        <f t="shared" si="29"/>
        <v>1.645969810781665E-2</v>
      </c>
      <c r="N31" s="62">
        <f t="shared" si="29"/>
        <v>1.645969810781665E-2</v>
      </c>
      <c r="P31" s="231">
        <f t="shared" si="36"/>
        <v>1.645969810781665E-2</v>
      </c>
      <c r="Q31" s="231">
        <f t="shared" si="37"/>
        <v>1.645969810781665E-2</v>
      </c>
      <c r="R31" s="231">
        <f t="shared" si="37"/>
        <v>1.645969810781665E-2</v>
      </c>
      <c r="S31" s="231">
        <f t="shared" ref="S31" si="46">R31</f>
        <v>1.645969810781665E-2</v>
      </c>
      <c r="T31" s="34">
        <f t="shared" si="30"/>
        <v>1.645969810781665E-2</v>
      </c>
      <c r="U31" s="34">
        <f t="shared" si="31"/>
        <v>1.645969810781665E-2</v>
      </c>
      <c r="V31" s="34">
        <f t="shared" si="39"/>
        <v>1.645969810781665E-2</v>
      </c>
      <c r="W31" s="232"/>
      <c r="X31" s="231">
        <f t="shared" si="40"/>
        <v>1.645969810781665E-2</v>
      </c>
      <c r="Y31" s="231">
        <f t="shared" si="41"/>
        <v>1.645969810781665E-2</v>
      </c>
      <c r="Z31" s="231">
        <f t="shared" si="42"/>
        <v>1.645969810781665E-2</v>
      </c>
      <c r="AA31" s="231">
        <f t="shared" si="43"/>
        <v>1.645969810781665E-2</v>
      </c>
      <c r="AB31" s="70">
        <f t="shared" si="33"/>
        <v>1.5636713202425816E-2</v>
      </c>
      <c r="AC31" s="258">
        <f t="shared" si="34"/>
        <v>1.4854877542304525E-2</v>
      </c>
      <c r="AD31" s="72">
        <f t="shared" si="34"/>
        <v>1.4112133665189298E-2</v>
      </c>
      <c r="AE31" s="232"/>
      <c r="AF31" s="232"/>
      <c r="AG31" s="232"/>
      <c r="AH31" s="232"/>
      <c r="AI31" s="232"/>
      <c r="AJ31" s="232"/>
      <c r="AK31" s="232"/>
      <c r="AL31" s="232"/>
      <c r="AM31" s="232"/>
      <c r="AN31" s="232"/>
      <c r="AO31" s="232"/>
      <c r="AP31" s="232"/>
      <c r="AQ31" s="232"/>
      <c r="AR31" s="232"/>
      <c r="AS31" s="232"/>
    </row>
    <row r="32" spans="1:45">
      <c r="A32" s="185" t="s">
        <v>16</v>
      </c>
      <c r="B32" s="186" t="str">
        <f t="shared" si="35"/>
        <v>TFHCV6</v>
      </c>
      <c r="C32" s="186" t="str">
        <f t="shared" si="35"/>
        <v>Transport Freight - HCV6</v>
      </c>
      <c r="F32" s="230">
        <f t="shared" si="44"/>
        <v>0.54070490636323243</v>
      </c>
      <c r="G32" s="62">
        <f t="shared" si="25"/>
        <v>0.54070490636323243</v>
      </c>
      <c r="H32" s="62">
        <f t="shared" si="25"/>
        <v>0.54070490636323243</v>
      </c>
      <c r="I32" s="62">
        <f t="shared" si="26"/>
        <v>0.54070490636323243</v>
      </c>
      <c r="J32" s="62">
        <f t="shared" si="27"/>
        <v>0.54070490636323243</v>
      </c>
      <c r="K32" s="62">
        <f t="shared" si="28"/>
        <v>0.54070490636323243</v>
      </c>
      <c r="L32" s="62">
        <f t="shared" si="29"/>
        <v>0.54070490636323243</v>
      </c>
      <c r="M32" s="62">
        <f t="shared" si="29"/>
        <v>0.54070490636323243</v>
      </c>
      <c r="N32" s="62">
        <f t="shared" si="29"/>
        <v>0.54070490636323243</v>
      </c>
      <c r="P32" s="231">
        <f t="shared" si="36"/>
        <v>0.54070490636323243</v>
      </c>
      <c r="Q32" s="231">
        <f t="shared" si="37"/>
        <v>0.54070490636323243</v>
      </c>
      <c r="R32" s="231">
        <f t="shared" si="37"/>
        <v>0.54070490636323243</v>
      </c>
      <c r="S32" s="231">
        <f t="shared" ref="S32" si="47">R32</f>
        <v>0.54070490636323243</v>
      </c>
      <c r="T32" s="34">
        <f t="shared" si="30"/>
        <v>0.54070490636323243</v>
      </c>
      <c r="U32" s="34">
        <f t="shared" si="31"/>
        <v>0.54070490636323243</v>
      </c>
      <c r="V32" s="34">
        <f t="shared" si="39"/>
        <v>0.54070490636323243</v>
      </c>
      <c r="W32" s="232"/>
      <c r="X32" s="231">
        <f t="shared" si="40"/>
        <v>0.54070490636323243</v>
      </c>
      <c r="Y32" s="231">
        <f t="shared" si="41"/>
        <v>0.54070490636323243</v>
      </c>
      <c r="Z32" s="231">
        <f t="shared" si="42"/>
        <v>0.54070490636323243</v>
      </c>
      <c r="AA32" s="231">
        <f t="shared" si="43"/>
        <v>0.54070490636323243</v>
      </c>
      <c r="AB32" s="70">
        <f t="shared" si="33"/>
        <v>0.51366966104507084</v>
      </c>
      <c r="AC32" s="258">
        <f t="shared" si="34"/>
        <v>0.48798617799281729</v>
      </c>
      <c r="AD32" s="72">
        <f t="shared" si="34"/>
        <v>0.46358686909317642</v>
      </c>
      <c r="AE32" s="232"/>
      <c r="AF32" s="232"/>
      <c r="AG32" s="232"/>
      <c r="AH32" s="232"/>
      <c r="AI32" s="232"/>
      <c r="AJ32" s="232"/>
      <c r="AK32" s="232"/>
      <c r="AL32" s="232"/>
      <c r="AM32" s="232"/>
      <c r="AN32" s="232"/>
      <c r="AO32" s="232"/>
      <c r="AP32" s="232"/>
      <c r="AQ32" s="232"/>
      <c r="AR32" s="232"/>
      <c r="AS32" s="232"/>
    </row>
    <row r="33" spans="1:45">
      <c r="A33" s="185" t="s">
        <v>16</v>
      </c>
      <c r="B33" s="186" t="str">
        <f t="shared" si="35"/>
        <v>TFHCV7</v>
      </c>
      <c r="C33" s="186" t="str">
        <f t="shared" si="35"/>
        <v>Transport Freight - HCV7</v>
      </c>
      <c r="F33" s="230">
        <f t="shared" si="44"/>
        <v>0.1899915629254573</v>
      </c>
      <c r="G33" s="62">
        <f t="shared" si="25"/>
        <v>0.1899915629254573</v>
      </c>
      <c r="H33" s="62">
        <f t="shared" si="25"/>
        <v>0.1899915629254573</v>
      </c>
      <c r="I33" s="62">
        <f t="shared" si="26"/>
        <v>0.1899915629254573</v>
      </c>
      <c r="J33" s="62">
        <f t="shared" si="27"/>
        <v>0.1899915629254573</v>
      </c>
      <c r="K33" s="62">
        <f t="shared" si="28"/>
        <v>0.1899915629254573</v>
      </c>
      <c r="L33" s="62">
        <f t="shared" si="29"/>
        <v>0.1899915629254573</v>
      </c>
      <c r="M33" s="62">
        <f t="shared" si="29"/>
        <v>0.1899915629254573</v>
      </c>
      <c r="N33" s="62">
        <f t="shared" si="29"/>
        <v>0.1899915629254573</v>
      </c>
      <c r="P33" s="231">
        <f t="shared" si="36"/>
        <v>0.1899915629254573</v>
      </c>
      <c r="Q33" s="231">
        <f t="shared" si="37"/>
        <v>0.1899915629254573</v>
      </c>
      <c r="R33" s="231">
        <f t="shared" si="37"/>
        <v>0.1899915629254573</v>
      </c>
      <c r="S33" s="231">
        <f t="shared" ref="S33" si="48">R33</f>
        <v>0.1899915629254573</v>
      </c>
      <c r="T33" s="34">
        <f t="shared" si="30"/>
        <v>0.1899915629254573</v>
      </c>
      <c r="U33" s="34">
        <f t="shared" si="31"/>
        <v>0.1899915629254573</v>
      </c>
      <c r="V33" s="34">
        <f t="shared" si="39"/>
        <v>0.1899915629254573</v>
      </c>
      <c r="W33" s="232"/>
      <c r="X33" s="231">
        <f t="shared" si="40"/>
        <v>0.1899915629254573</v>
      </c>
      <c r="Y33" s="231">
        <f t="shared" si="41"/>
        <v>0.1899915629254573</v>
      </c>
      <c r="Z33" s="231">
        <f t="shared" si="42"/>
        <v>0.1899915629254573</v>
      </c>
      <c r="AA33" s="231">
        <f t="shared" si="43"/>
        <v>0.1899915629254573</v>
      </c>
      <c r="AB33" s="70">
        <f t="shared" si="33"/>
        <v>0.18049198477918443</v>
      </c>
      <c r="AC33" s="258">
        <f t="shared" si="34"/>
        <v>0.1714673855402252</v>
      </c>
      <c r="AD33" s="72">
        <f t="shared" si="34"/>
        <v>0.16289401626321393</v>
      </c>
      <c r="AE33" s="232"/>
      <c r="AF33" s="232"/>
      <c r="AG33" s="232"/>
      <c r="AH33" s="232"/>
      <c r="AI33" s="232"/>
      <c r="AJ33" s="232"/>
      <c r="AK33" s="232"/>
      <c r="AL33" s="232"/>
      <c r="AM33" s="232"/>
      <c r="AN33" s="232"/>
      <c r="AO33" s="232"/>
      <c r="AP33" s="232"/>
      <c r="AQ33" s="232"/>
      <c r="AR33" s="232"/>
      <c r="AS33" s="232"/>
    </row>
    <row r="34" spans="1:45">
      <c r="A34" s="185" t="s">
        <v>16</v>
      </c>
      <c r="B34" s="186" t="str">
        <f t="shared" si="35"/>
        <v>TFHCV8</v>
      </c>
      <c r="C34" s="186" t="str">
        <f t="shared" si="35"/>
        <v>Transport Freight - HCV8</v>
      </c>
      <c r="F34" s="230">
        <f t="shared" si="44"/>
        <v>6.9923140692989272E-3</v>
      </c>
      <c r="G34" s="62">
        <f t="shared" si="25"/>
        <v>6.9923140692989272E-3</v>
      </c>
      <c r="H34" s="62">
        <f t="shared" si="25"/>
        <v>6.9923140692989272E-3</v>
      </c>
      <c r="I34" s="62">
        <f t="shared" si="26"/>
        <v>6.9923140692989272E-3</v>
      </c>
      <c r="J34" s="62">
        <f t="shared" si="27"/>
        <v>6.9923140692989272E-3</v>
      </c>
      <c r="K34" s="62">
        <f t="shared" si="28"/>
        <v>6.9923140692989272E-3</v>
      </c>
      <c r="L34" s="62">
        <f t="shared" si="29"/>
        <v>6.9923140692989272E-3</v>
      </c>
      <c r="M34" s="62">
        <f t="shared" si="29"/>
        <v>6.9923140692989272E-3</v>
      </c>
      <c r="N34" s="62">
        <f t="shared" si="29"/>
        <v>6.9923140692989272E-3</v>
      </c>
      <c r="P34" s="231">
        <f t="shared" si="36"/>
        <v>6.9923140692989272E-3</v>
      </c>
      <c r="Q34" s="231">
        <f t="shared" si="37"/>
        <v>6.9923140692989272E-3</v>
      </c>
      <c r="R34" s="231">
        <f t="shared" si="37"/>
        <v>6.9923140692989272E-3</v>
      </c>
      <c r="S34" s="231">
        <f t="shared" ref="S34" si="49">R34</f>
        <v>6.9923140692989272E-3</v>
      </c>
      <c r="T34" s="34">
        <f t="shared" si="30"/>
        <v>6.9923140692989272E-3</v>
      </c>
      <c r="U34" s="34">
        <f t="shared" si="31"/>
        <v>6.9923140692989272E-3</v>
      </c>
      <c r="V34" s="34">
        <f t="shared" si="39"/>
        <v>6.9923140692989272E-3</v>
      </c>
      <c r="W34" s="232"/>
      <c r="X34" s="231">
        <f t="shared" si="40"/>
        <v>6.9923140692989272E-3</v>
      </c>
      <c r="Y34" s="231">
        <f t="shared" si="41"/>
        <v>6.9923140692989272E-3</v>
      </c>
      <c r="Z34" s="231">
        <f t="shared" si="42"/>
        <v>6.9923140692989272E-3</v>
      </c>
      <c r="AA34" s="231">
        <f t="shared" si="43"/>
        <v>6.9923140692989272E-3</v>
      </c>
      <c r="AB34" s="70">
        <f t="shared" si="33"/>
        <v>6.6426983658339801E-3</v>
      </c>
      <c r="AC34" s="258">
        <f t="shared" si="34"/>
        <v>6.3105634475422809E-3</v>
      </c>
      <c r="AD34" s="72">
        <f t="shared" si="34"/>
        <v>5.9950352751651668E-3</v>
      </c>
      <c r="AE34" s="232"/>
      <c r="AF34" s="232"/>
      <c r="AG34" s="232"/>
      <c r="AH34" s="232"/>
      <c r="AI34" s="232"/>
      <c r="AJ34" s="232"/>
      <c r="AK34" s="232"/>
      <c r="AL34" s="232"/>
      <c r="AM34" s="232"/>
      <c r="AN34" s="232"/>
      <c r="AO34" s="232"/>
      <c r="AP34" s="232"/>
      <c r="AQ34" s="232"/>
      <c r="AR34" s="232"/>
      <c r="AS34" s="232"/>
    </row>
    <row r="35" spans="1:45">
      <c r="A35" s="185" t="s">
        <v>16</v>
      </c>
      <c r="B35" s="186" t="str">
        <f t="shared" si="35"/>
        <v>TFHCV9</v>
      </c>
      <c r="C35" s="186" t="str">
        <f t="shared" si="35"/>
        <v>Transport Freight - HCV9</v>
      </c>
      <c r="F35" s="230">
        <f t="shared" si="44"/>
        <v>6.2183700673103847E-3</v>
      </c>
      <c r="G35" s="62">
        <f t="shared" si="25"/>
        <v>6.2183700673103847E-3</v>
      </c>
      <c r="H35" s="62">
        <f t="shared" si="25"/>
        <v>6.2183700673103847E-3</v>
      </c>
      <c r="I35" s="62">
        <f t="shared" si="26"/>
        <v>6.2183700673103847E-3</v>
      </c>
      <c r="J35" s="62">
        <f t="shared" si="27"/>
        <v>6.2183700673103847E-3</v>
      </c>
      <c r="K35" s="62">
        <f t="shared" si="28"/>
        <v>6.2183700673103847E-3</v>
      </c>
      <c r="L35" s="62">
        <f t="shared" si="29"/>
        <v>6.2183700673103847E-3</v>
      </c>
      <c r="M35" s="62">
        <f t="shared" si="29"/>
        <v>6.2183700673103847E-3</v>
      </c>
      <c r="N35" s="62">
        <f t="shared" si="29"/>
        <v>6.2183700673103847E-3</v>
      </c>
      <c r="P35" s="231">
        <f t="shared" si="36"/>
        <v>6.2183700673103847E-3</v>
      </c>
      <c r="Q35" s="231">
        <f t="shared" si="37"/>
        <v>6.2183700673103847E-3</v>
      </c>
      <c r="R35" s="231">
        <f t="shared" si="37"/>
        <v>6.2183700673103847E-3</v>
      </c>
      <c r="S35" s="231">
        <f t="shared" ref="S35" si="50">R35</f>
        <v>6.2183700673103847E-3</v>
      </c>
      <c r="T35" s="34">
        <f t="shared" si="30"/>
        <v>6.2183700673103847E-3</v>
      </c>
      <c r="U35" s="34">
        <f t="shared" si="31"/>
        <v>6.2183700673103847E-3</v>
      </c>
      <c r="V35" s="34">
        <f t="shared" si="39"/>
        <v>6.2183700673103847E-3</v>
      </c>
      <c r="W35" s="232"/>
      <c r="X35" s="231">
        <f t="shared" si="40"/>
        <v>6.2183700673103847E-3</v>
      </c>
      <c r="Y35" s="231">
        <f t="shared" si="41"/>
        <v>6.2183700673103847E-3</v>
      </c>
      <c r="Z35" s="231">
        <f t="shared" si="42"/>
        <v>6.2183700673103847E-3</v>
      </c>
      <c r="AA35" s="231">
        <f t="shared" si="43"/>
        <v>6.2183700673103847E-3</v>
      </c>
      <c r="AB35" s="70">
        <f t="shared" si="33"/>
        <v>5.907451563944865E-3</v>
      </c>
      <c r="AC35" s="258">
        <f t="shared" si="34"/>
        <v>5.6120789857476211E-3</v>
      </c>
      <c r="AD35" s="72">
        <f t="shared" si="34"/>
        <v>5.3314750364602398E-3</v>
      </c>
      <c r="AE35" s="232"/>
      <c r="AF35" s="232"/>
      <c r="AG35" s="232"/>
      <c r="AH35" s="232"/>
      <c r="AI35" s="232"/>
      <c r="AJ35" s="232"/>
      <c r="AK35" s="232"/>
      <c r="AL35" s="232"/>
      <c r="AM35" s="232"/>
      <c r="AN35" s="232"/>
      <c r="AO35" s="232"/>
      <c r="AP35" s="232"/>
      <c r="AQ35" s="232"/>
      <c r="AR35" s="232"/>
      <c r="AS35" s="232"/>
    </row>
    <row r="36" spans="1:45">
      <c r="A36" s="185" t="s">
        <v>16</v>
      </c>
      <c r="B36" s="186" t="str">
        <f>B23</f>
        <v>TFRCO</v>
      </c>
      <c r="C36" s="186" t="str">
        <f>C23</f>
        <v>Transport Freight - Rail Corridor</v>
      </c>
      <c r="D36" s="185" t="s">
        <v>48</v>
      </c>
      <c r="F36" s="230">
        <f>F59/F$60</f>
        <v>0.11822958726748586</v>
      </c>
      <c r="G36" s="62">
        <f t="shared" ref="G36:H36" si="51">1-SUM(G28:G35)</f>
        <v>0.11822958726748589</v>
      </c>
      <c r="H36" s="62">
        <f t="shared" si="51"/>
        <v>0.11822958726748589</v>
      </c>
      <c r="I36" s="62">
        <f t="shared" ref="I36:K36" si="52">1-SUM(I28:I35)</f>
        <v>0.11822958726748589</v>
      </c>
      <c r="J36" s="62">
        <f t="shared" si="52"/>
        <v>0.11822958726748589</v>
      </c>
      <c r="K36" s="62">
        <f t="shared" si="52"/>
        <v>0.11822958726748589</v>
      </c>
      <c r="L36" s="62">
        <f>1-SUM(L28:L35)</f>
        <v>0.11822958726748589</v>
      </c>
      <c r="M36" s="62">
        <f>1-SUM(M28:M35)</f>
        <v>0.11822958726748589</v>
      </c>
      <c r="N36" s="62">
        <f>1-SUM(N28:N35)</f>
        <v>0.11822958726748589</v>
      </c>
      <c r="P36" s="231">
        <f>$G36</f>
        <v>0.11822958726748589</v>
      </c>
      <c r="Q36" s="62">
        <f t="shared" ref="Q36:V36" si="53">1-SUM(Q28:Q35)</f>
        <v>0.11822958726748589</v>
      </c>
      <c r="R36" s="62">
        <f t="shared" si="53"/>
        <v>0.11822958726748589</v>
      </c>
      <c r="S36" s="62">
        <f t="shared" si="53"/>
        <v>0.11822958726748589</v>
      </c>
      <c r="T36" s="62">
        <f t="shared" si="53"/>
        <v>0.11822958726748589</v>
      </c>
      <c r="U36" s="62">
        <f t="shared" si="53"/>
        <v>0.11822958726748589</v>
      </c>
      <c r="V36" s="62">
        <f t="shared" si="53"/>
        <v>0.11822958726748589</v>
      </c>
      <c r="W36" s="232"/>
      <c r="X36" s="231">
        <f>$G36</f>
        <v>0.11822958726748589</v>
      </c>
      <c r="Y36" s="62">
        <f t="shared" ref="Y36:AD36" si="54">1-SUM(Y28:Y35)</f>
        <v>0.11822958726748589</v>
      </c>
      <c r="Z36" s="62">
        <f t="shared" si="54"/>
        <v>0.11822958726748589</v>
      </c>
      <c r="AA36" s="62">
        <f t="shared" si="54"/>
        <v>0.11822958726748589</v>
      </c>
      <c r="AB36" s="62">
        <f t="shared" si="54"/>
        <v>0.16231810790411161</v>
      </c>
      <c r="AC36" s="62">
        <f t="shared" si="54"/>
        <v>0.20420220250890586</v>
      </c>
      <c r="AD36" s="62">
        <f t="shared" si="54"/>
        <v>0.24399209238346053</v>
      </c>
      <c r="AE36" s="232"/>
      <c r="AF36" s="232"/>
      <c r="AG36" s="232"/>
      <c r="AH36" s="232"/>
      <c r="AI36" s="232"/>
      <c r="AJ36" s="232"/>
      <c r="AK36" s="232"/>
      <c r="AL36" s="232"/>
      <c r="AM36" s="232"/>
      <c r="AN36" s="232"/>
      <c r="AO36" s="232"/>
      <c r="AP36" s="232"/>
      <c r="AQ36" s="232"/>
      <c r="AR36" s="232"/>
      <c r="AS36" s="232"/>
    </row>
    <row r="37" spans="1:45">
      <c r="A37" s="185" t="s">
        <v>16</v>
      </c>
      <c r="Q37" s="285"/>
      <c r="S37" s="285"/>
      <c r="AA37" s="285"/>
    </row>
    <row r="38" spans="1:45" ht="15.75" thickBot="1">
      <c r="A38" s="185" t="s">
        <v>16</v>
      </c>
      <c r="B38" s="14" t="s">
        <v>433</v>
      </c>
      <c r="C38" s="14"/>
      <c r="D38" s="14"/>
      <c r="Q38" s="285"/>
      <c r="S38" s="285"/>
      <c r="AA38" s="285"/>
    </row>
    <row r="39" spans="1:45">
      <c r="A39" s="185" t="s">
        <v>16</v>
      </c>
      <c r="B39" s="186" t="str">
        <f>B14</f>
        <v>TFHCV1</v>
      </c>
      <c r="C39" s="186" t="str">
        <f>C14</f>
        <v>Transport Freight - HCV1</v>
      </c>
      <c r="D39" s="185" t="s">
        <v>48</v>
      </c>
      <c r="F39" s="230">
        <f>F46/F$48</f>
        <v>0.17795233566495883</v>
      </c>
      <c r="G39" s="62">
        <f>IF($D$4,X39,P39)</f>
        <v>0.17795233566495883</v>
      </c>
      <c r="H39" s="62">
        <f>IF($D$4,Z39,R39)</f>
        <v>0.17795233566495883</v>
      </c>
      <c r="I39" s="62">
        <f>IF($D$4,AB39,T39)</f>
        <v>0.17795233566495883</v>
      </c>
      <c r="J39" s="62">
        <f>IF($D$4,Z39,R39)</f>
        <v>0.17795233566495883</v>
      </c>
      <c r="K39" s="62">
        <f>IF($D$4,AB39,T39)</f>
        <v>0.17795233566495883</v>
      </c>
      <c r="L39" s="62">
        <f>IF($D$4,AB39,T39)</f>
        <v>0.17795233566495883</v>
      </c>
      <c r="M39" s="62">
        <f>IF($D$4,AC39,U39)</f>
        <v>0.17795233566495883</v>
      </c>
      <c r="N39" s="62">
        <f>IF($D$4,AD39,V39)</f>
        <v>0.17795233566495883</v>
      </c>
      <c r="P39" s="231">
        <f>$F39</f>
        <v>0.17795233566495883</v>
      </c>
      <c r="Q39" s="231">
        <f>P39</f>
        <v>0.17795233566495883</v>
      </c>
      <c r="R39" s="231">
        <f>Q39</f>
        <v>0.17795233566495883</v>
      </c>
      <c r="S39" s="231">
        <f>R39</f>
        <v>0.17795233566495883</v>
      </c>
      <c r="T39" s="34">
        <f>R39</f>
        <v>0.17795233566495883</v>
      </c>
      <c r="U39" s="34">
        <f>T39</f>
        <v>0.17795233566495883</v>
      </c>
      <c r="V39" s="34">
        <f>T39</f>
        <v>0.17795233566495883</v>
      </c>
      <c r="W39" s="232"/>
      <c r="X39" s="231">
        <f>P39</f>
        <v>0.17795233566495883</v>
      </c>
      <c r="Y39" s="231">
        <f t="shared" ref="Y39:AA39" si="55">Q39</f>
        <v>0.17795233566495883</v>
      </c>
      <c r="Z39" s="231">
        <f t="shared" si="55"/>
        <v>0.17795233566495883</v>
      </c>
      <c r="AA39" s="231">
        <f t="shared" si="55"/>
        <v>0.17795233566495883</v>
      </c>
      <c r="AB39" s="70">
        <f>Z39*0.95</f>
        <v>0.16905471888171089</v>
      </c>
      <c r="AC39" s="70">
        <f>AB39*0.95</f>
        <v>0.16060198293762534</v>
      </c>
      <c r="AD39" s="70">
        <f>AC39*0.95</f>
        <v>0.15257188379074407</v>
      </c>
      <c r="AE39" s="232"/>
      <c r="AF39" s="232"/>
      <c r="AG39" s="232"/>
      <c r="AH39" s="232"/>
      <c r="AI39" s="232"/>
      <c r="AJ39" s="232"/>
      <c r="AK39" s="232"/>
      <c r="AL39" s="232"/>
      <c r="AM39" s="232"/>
      <c r="AN39" s="232"/>
      <c r="AO39" s="232"/>
      <c r="AP39" s="232"/>
      <c r="AQ39" s="232"/>
      <c r="AR39" s="232"/>
      <c r="AS39" s="232"/>
    </row>
    <row r="40" spans="1:45">
      <c r="A40" s="185" t="s">
        <v>16</v>
      </c>
      <c r="B40" s="186" t="str">
        <f>B24</f>
        <v>TFROT</v>
      </c>
      <c r="C40" s="186" t="str">
        <f>C24</f>
        <v>Transport Freight - Rail Other</v>
      </c>
      <c r="D40" s="185" t="s">
        <v>48</v>
      </c>
      <c r="F40" s="230">
        <f>F47/F$48</f>
        <v>0.82204766433504117</v>
      </c>
      <c r="G40" s="62">
        <f t="shared" ref="G40:H40" si="56">1-G39</f>
        <v>0.82204766433504117</v>
      </c>
      <c r="H40" s="62">
        <f t="shared" si="56"/>
        <v>0.82204766433504117</v>
      </c>
      <c r="I40" s="62">
        <f t="shared" ref="I40" si="57">1-I39</f>
        <v>0.82204766433504117</v>
      </c>
      <c r="J40" s="62">
        <f>1-J39</f>
        <v>0.82204766433504117</v>
      </c>
      <c r="K40" s="62">
        <f>1-K39</f>
        <v>0.82204766433504117</v>
      </c>
      <c r="L40" s="62">
        <f>1-L39</f>
        <v>0.82204766433504117</v>
      </c>
      <c r="M40" s="62">
        <f>1-M39</f>
        <v>0.82204766433504117</v>
      </c>
      <c r="N40" s="62">
        <f>1-N39</f>
        <v>0.82204766433504117</v>
      </c>
      <c r="P40" s="231">
        <f>$G40</f>
        <v>0.82204766433504117</v>
      </c>
      <c r="Q40" s="62">
        <f t="shared" ref="Q40:V40" si="58">1-Q39</f>
        <v>0.82204766433504117</v>
      </c>
      <c r="R40" s="62">
        <f t="shared" si="58"/>
        <v>0.82204766433504117</v>
      </c>
      <c r="S40" s="62">
        <f t="shared" si="58"/>
        <v>0.82204766433504117</v>
      </c>
      <c r="T40" s="62">
        <f t="shared" si="58"/>
        <v>0.82204766433504117</v>
      </c>
      <c r="U40" s="62">
        <f t="shared" si="58"/>
        <v>0.82204766433504117</v>
      </c>
      <c r="V40" s="62">
        <f t="shared" si="58"/>
        <v>0.82204766433504117</v>
      </c>
      <c r="W40" s="232"/>
      <c r="X40" s="231">
        <f>P40</f>
        <v>0.82204766433504117</v>
      </c>
      <c r="Y40" s="231">
        <f t="shared" ref="Y40" si="59">Q40</f>
        <v>0.82204766433504117</v>
      </c>
      <c r="Z40" s="231">
        <f t="shared" ref="Z40" si="60">R40</f>
        <v>0.82204766433504117</v>
      </c>
      <c r="AA40" s="231">
        <f t="shared" ref="AA40" si="61">S40</f>
        <v>0.82204766433504117</v>
      </c>
      <c r="AB40" s="62">
        <f>1-AB39</f>
        <v>0.83094528111828914</v>
      </c>
      <c r="AC40" s="62">
        <f>1-AC39</f>
        <v>0.83939801706237471</v>
      </c>
      <c r="AD40" s="62">
        <f>1-AD39</f>
        <v>0.84742811620925595</v>
      </c>
      <c r="AE40" s="232"/>
      <c r="AF40" s="232"/>
      <c r="AG40" s="232"/>
      <c r="AH40" s="232"/>
      <c r="AI40" s="232"/>
      <c r="AJ40" s="232"/>
      <c r="AK40" s="232"/>
      <c r="AL40" s="232"/>
      <c r="AM40" s="232"/>
      <c r="AN40" s="232"/>
      <c r="AO40" s="232"/>
      <c r="AP40" s="232"/>
      <c r="AQ40" s="232"/>
      <c r="AR40" s="232"/>
      <c r="AS40" s="232"/>
    </row>
    <row r="41" spans="1:45">
      <c r="A41" s="185" t="s">
        <v>16</v>
      </c>
      <c r="I41" s="281"/>
      <c r="K41" s="281"/>
    </row>
    <row r="42" spans="1:45" ht="15.75" thickBot="1">
      <c r="A42" s="185" t="s">
        <v>16</v>
      </c>
      <c r="B42" s="14" t="s">
        <v>207</v>
      </c>
      <c r="C42" s="14"/>
      <c r="D42" s="14"/>
      <c r="G42" s="47"/>
      <c r="H42" s="47"/>
      <c r="I42" s="47"/>
      <c r="K42" s="281"/>
    </row>
    <row r="43" spans="1:45">
      <c r="A43" s="185" t="s">
        <v>16</v>
      </c>
      <c r="B43" s="186"/>
      <c r="C43" s="3" t="s">
        <v>5</v>
      </c>
      <c r="D43" s="5" t="s">
        <v>149</v>
      </c>
      <c r="E43" s="5"/>
      <c r="F43" s="47">
        <f>F63*F92</f>
        <v>17.310372778407704</v>
      </c>
      <c r="G43" s="47">
        <f t="shared" ref="G43:H43" si="62">G63*G92</f>
        <v>18.120758900121242</v>
      </c>
      <c r="H43" s="47">
        <f t="shared" si="62"/>
        <v>18.931145021834784</v>
      </c>
      <c r="I43" s="47">
        <f>H43*(1+(H13+I13)/2*((I7/H7)^(1/(I$4-H$4))-1))^(I$4-H$4)</f>
        <v>19.166790908504293</v>
      </c>
      <c r="J43" s="47">
        <f>G43*(1+(G13+J13)/2*((J7/G7)^(1/(J$4-G$4))-1))^(J$4-G$4)</f>
        <v>17.606790705410827</v>
      </c>
      <c r="K43" s="47">
        <f>H43*(1+(H13+K13)/2*((K7/H7)^(1/(K$4-H$4))-1))^(K$4-H$4)</f>
        <v>18.363497083448415</v>
      </c>
      <c r="L43" s="47">
        <f>J43*(1+(J13+L13)/2*((L7/J7)^(1/(L$4-J$4))-1))^(L$4-J$4)</f>
        <v>21.307547009301889</v>
      </c>
      <c r="M43" s="47">
        <f>L43*(1+(L13+M13)/2*((M7/L7)^(1/(M$4-L$4))-1))^(M$4-L$4)</f>
        <v>25.892301305945971</v>
      </c>
      <c r="N43" s="47">
        <f>M43*(1+(M13+N13)/2*((N7/M7)^(1/(N$4-M$4))-1))^(N$4-M$4)</f>
        <v>31.963788883729556</v>
      </c>
      <c r="O43" s="47"/>
      <c r="P43" s="47">
        <f>$G43</f>
        <v>18.120758900121242</v>
      </c>
      <c r="Q43" s="47">
        <f>I43</f>
        <v>19.166790908504293</v>
      </c>
      <c r="R43" s="47">
        <f t="shared" ref="R43:S43" si="63">J43</f>
        <v>17.606790705410827</v>
      </c>
      <c r="S43" s="47">
        <f t="shared" si="63"/>
        <v>18.363497083448415</v>
      </c>
      <c r="T43" s="311">
        <f>R43*(1+(R13+T13)/2*((T7/R7)^(1/(T$4-R$4))-1))^(T$4-R$4)</f>
        <v>21.307547009301889</v>
      </c>
      <c r="U43" s="311">
        <f>T43*(1+(T13+U13)/2*((U7/T7)^(1/(U$4-T$4))-1))^(U$4-T$4)</f>
        <v>25.892301305945971</v>
      </c>
      <c r="V43" s="311">
        <f>U43*(1+(U13+V13)/2*((V7/U7)^(1/(V$4-U$4))-1))^(V$4-U$4)</f>
        <v>31.963788883729556</v>
      </c>
      <c r="X43" s="47">
        <f>P43</f>
        <v>18.120758900121242</v>
      </c>
      <c r="Y43" s="47">
        <f t="shared" ref="Y43:AA43" si="64">Q43</f>
        <v>19.166790908504293</v>
      </c>
      <c r="Z43" s="47">
        <f t="shared" si="64"/>
        <v>17.606790705410827</v>
      </c>
      <c r="AA43" s="47">
        <f t="shared" si="64"/>
        <v>18.363497083448415</v>
      </c>
      <c r="AB43" s="311">
        <f>Z43*(1+(Z13+AB13)/2*((AB7/Z7)^(1/(AB$4-Z$4))-1))^(AB$4-Z$4)</f>
        <v>21.307547009301889</v>
      </c>
      <c r="AC43" s="311">
        <f>AB43*(1+(AB13+AC13)/2*((AC7/AB7)^(1/(AC$4-AB$4))-1))^(AC$4-AB$4)</f>
        <v>25.892301305945971</v>
      </c>
      <c r="AD43" s="311">
        <f>AC43*(1+(AC13+AD13)/2*((AD7/AC7)^(1/(AD$4-AC$4))-1))^(AD$4-AC$4)</f>
        <v>31.963788883729556</v>
      </c>
    </row>
    <row r="44" spans="1:45">
      <c r="A44" s="185" t="s">
        <v>16</v>
      </c>
      <c r="I44" s="281"/>
      <c r="K44" s="281"/>
      <c r="Q44" s="285"/>
      <c r="R44" s="285"/>
    </row>
    <row r="45" spans="1:45" ht="15.75" thickBot="1">
      <c r="A45" s="185" t="s">
        <v>16</v>
      </c>
      <c r="B45" s="14" t="s">
        <v>411</v>
      </c>
      <c r="C45" s="14"/>
      <c r="D45" s="14"/>
      <c r="I45" s="281"/>
      <c r="K45" s="281"/>
      <c r="Q45" s="285"/>
      <c r="R45" s="285"/>
    </row>
    <row r="46" spans="1:45">
      <c r="A46" s="185" t="s">
        <v>16</v>
      </c>
      <c r="B46" s="186" t="str">
        <f>B39</f>
        <v>TFHCV1</v>
      </c>
      <c r="C46" s="186" t="str">
        <f>C39</f>
        <v>Transport Freight - HCV1</v>
      </c>
      <c r="D46" s="185" t="s">
        <v>149</v>
      </c>
      <c r="F46" s="10">
        <f>F64*F93</f>
        <v>5.4335092951131081</v>
      </c>
      <c r="G46" s="10">
        <f t="shared" ref="G46:N46" si="65">G39*G$48</f>
        <v>5.725786025053389</v>
      </c>
      <c r="H46" s="10">
        <f t="shared" si="65"/>
        <v>5.8310789276794708</v>
      </c>
      <c r="I46" s="10">
        <f t="shared" si="65"/>
        <v>5.9036614240138503</v>
      </c>
      <c r="J46" s="10">
        <f t="shared" si="65"/>
        <v>5.5633826774444142</v>
      </c>
      <c r="K46" s="10">
        <f t="shared" si="65"/>
        <v>5.6562347791587255</v>
      </c>
      <c r="L46" s="10">
        <f t="shared" si="65"/>
        <v>6.7327453318311399</v>
      </c>
      <c r="M46" s="10">
        <f t="shared" si="65"/>
        <v>8.1814331171894299</v>
      </c>
      <c r="N46" s="10">
        <f t="shared" si="65"/>
        <v>10.099897951679662</v>
      </c>
      <c r="P46" s="10">
        <f t="shared" ref="P46" si="66">P39*P$48</f>
        <v>5.725786025053389</v>
      </c>
      <c r="Q46" s="10">
        <f t="shared" ref="Q46:Q48" si="67">$I46</f>
        <v>5.9036614240138503</v>
      </c>
      <c r="R46" s="10">
        <f t="shared" ref="R46:V47" si="68">R39*R$48</f>
        <v>5.5633826774444142</v>
      </c>
      <c r="S46" s="10">
        <f t="shared" si="68"/>
        <v>5.6567763722279709</v>
      </c>
      <c r="T46" s="310">
        <f t="shared" si="68"/>
        <v>6.7327453318311399</v>
      </c>
      <c r="U46" s="310">
        <f t="shared" si="68"/>
        <v>8.1814331171894299</v>
      </c>
      <c r="V46" s="310">
        <f t="shared" si="68"/>
        <v>10.099897951679662</v>
      </c>
      <c r="W46" s="10"/>
      <c r="X46" s="10">
        <f t="shared" ref="X46:AD47" si="69">X39*X$48</f>
        <v>5.725786025053389</v>
      </c>
      <c r="Y46" s="10">
        <f t="shared" si="69"/>
        <v>5.9036614240138503</v>
      </c>
      <c r="Z46" s="10">
        <f t="shared" si="69"/>
        <v>5.5633826774444142</v>
      </c>
      <c r="AA46" s="10">
        <f t="shared" si="69"/>
        <v>5.6567763722279709</v>
      </c>
      <c r="AB46" s="310">
        <f t="shared" si="69"/>
        <v>6.3961080652395834</v>
      </c>
      <c r="AC46" s="310">
        <f t="shared" si="69"/>
        <v>7.3837433882634604</v>
      </c>
      <c r="AD46" s="310">
        <f t="shared" si="69"/>
        <v>8.6594000063213503</v>
      </c>
      <c r="AE46" s="10"/>
      <c r="AF46" s="10"/>
      <c r="AG46" s="10"/>
      <c r="AH46" s="10"/>
      <c r="AI46" s="10"/>
      <c r="AJ46" s="10"/>
      <c r="AK46" s="10"/>
      <c r="AL46" s="10"/>
      <c r="AM46" s="10"/>
      <c r="AN46" s="10"/>
      <c r="AO46" s="10"/>
      <c r="AP46" s="10"/>
      <c r="AQ46" s="10"/>
      <c r="AR46" s="10"/>
      <c r="AS46" s="10"/>
    </row>
    <row r="47" spans="1:45">
      <c r="A47" s="185" t="s">
        <v>16</v>
      </c>
      <c r="B47" s="186" t="str">
        <f>B40</f>
        <v>TFROT</v>
      </c>
      <c r="C47" s="186" t="str">
        <f>C40</f>
        <v>Transport Freight - Rail Other</v>
      </c>
      <c r="D47" s="185" t="s">
        <v>149</v>
      </c>
      <c r="F47" s="10">
        <f>F103</f>
        <v>25.1</v>
      </c>
      <c r="G47" s="10">
        <f t="shared" ref="G47:H47" si="70">G40*G$48</f>
        <v>26.450167179818607</v>
      </c>
      <c r="H47" s="10">
        <f t="shared" si="70"/>
        <v>26.936565879511939</v>
      </c>
      <c r="I47" s="10">
        <f t="shared" ref="I47" si="71">I40*I$48</f>
        <v>27.271859436409219</v>
      </c>
      <c r="J47" s="10">
        <f>J40*J$48</f>
        <v>25.699947790546279</v>
      </c>
      <c r="K47" s="10">
        <f>K40*K$48</f>
        <v>26.12887643066572</v>
      </c>
      <c r="L47" s="10">
        <f>L40*L$48</f>
        <v>31.101797871396435</v>
      </c>
      <c r="M47" s="10">
        <f>M40*M$48</f>
        <v>37.79398544990984</v>
      </c>
      <c r="N47" s="10">
        <f>N40*N$48</f>
        <v>46.656299790480489</v>
      </c>
      <c r="P47" s="10">
        <f>P40*P$48</f>
        <v>26.450167179818607</v>
      </c>
      <c r="Q47" s="10">
        <f t="shared" si="67"/>
        <v>27.271859436409219</v>
      </c>
      <c r="R47" s="10">
        <f t="shared" si="68"/>
        <v>25.699947790546279</v>
      </c>
      <c r="S47" s="10">
        <f t="shared" si="68"/>
        <v>26.131378310261344</v>
      </c>
      <c r="T47" s="310">
        <f t="shared" si="68"/>
        <v>31.101797871396435</v>
      </c>
      <c r="U47" s="310">
        <f t="shared" si="68"/>
        <v>37.79398544990984</v>
      </c>
      <c r="V47" s="310">
        <f t="shared" si="68"/>
        <v>46.656299790480489</v>
      </c>
      <c r="W47" s="10"/>
      <c r="X47" s="10">
        <f t="shared" si="69"/>
        <v>26.450167179818607</v>
      </c>
      <c r="Y47" s="10">
        <f t="shared" si="69"/>
        <v>27.271859436409219</v>
      </c>
      <c r="Z47" s="10">
        <f t="shared" si="69"/>
        <v>25.699947790546279</v>
      </c>
      <c r="AA47" s="10">
        <f t="shared" si="69"/>
        <v>26.131378310261344</v>
      </c>
      <c r="AB47" s="310">
        <f t="shared" si="69"/>
        <v>31.438435137987994</v>
      </c>
      <c r="AC47" s="310">
        <f t="shared" si="69"/>
        <v>38.591675178835814</v>
      </c>
      <c r="AD47" s="310">
        <f t="shared" si="69"/>
        <v>48.096797735838805</v>
      </c>
      <c r="AE47" s="10"/>
      <c r="AF47" s="10"/>
      <c r="AG47" s="10"/>
      <c r="AH47" s="10"/>
      <c r="AI47" s="10"/>
      <c r="AJ47" s="10"/>
      <c r="AK47" s="10"/>
      <c r="AL47" s="10"/>
      <c r="AM47" s="10"/>
      <c r="AN47" s="10"/>
      <c r="AO47" s="10"/>
      <c r="AP47" s="10"/>
      <c r="AQ47" s="10"/>
      <c r="AR47" s="10"/>
      <c r="AS47" s="10"/>
    </row>
    <row r="48" spans="1:45">
      <c r="A48" s="185" t="s">
        <v>16</v>
      </c>
      <c r="B48" s="186"/>
      <c r="C48" s="3" t="s">
        <v>5</v>
      </c>
      <c r="D48" s="5" t="s">
        <v>149</v>
      </c>
      <c r="E48" s="5"/>
      <c r="F48" s="47">
        <f>SUM(F46:F47)</f>
        <v>30.53350929511311</v>
      </c>
      <c r="G48" s="47">
        <f>F48*(1+(F21+G21)/2*((G7/F7)^(1/(G$4-F$4))-1))^(G$4-F$4)</f>
        <v>32.175953204871995</v>
      </c>
      <c r="H48" s="47">
        <f>G48*(1+(G21+H21)/2*((H7/G7)^(1/(H$4-G$4))-1))^(H$4-G$4)</f>
        <v>32.767644807191409</v>
      </c>
      <c r="I48" s="47">
        <f>H48*(1+(H21+I21)/2*((I7/H7)^(1/(I$4-H$4))-1))^(I$4-H$4)</f>
        <v>33.17552086042307</v>
      </c>
      <c r="J48" s="47">
        <f>G48*(1+(G21+J21)/2*((J7/G7)^(1/(J$4-G$4))-1))^(J$4-G$4)</f>
        <v>31.263330467990691</v>
      </c>
      <c r="K48" s="47">
        <f>H48*(1+(H21+K21)/2*((K7/H7)^(1/(K$4-H$4))-1))^(K$4-H$4)</f>
        <v>31.785111209824446</v>
      </c>
      <c r="L48" s="47">
        <f>J48*(1+(J21+L21)/2*((L7/J7)^(1/(L$4-J$4))-1))^(L$4-J$4)</f>
        <v>37.834543203227575</v>
      </c>
      <c r="M48" s="47">
        <f>L48*(1+(L21+M21)/2*((M7/L7)^(1/(M$4-L$4))-1))^(M$4-L$4)</f>
        <v>45.975418567099268</v>
      </c>
      <c r="N48" s="47">
        <f>M48*(1+(M21+N21)/2*((N7/M7)^(1/(N$4-M$4))-1))^(N$4-M$4)</f>
        <v>56.756197742160154</v>
      </c>
      <c r="P48" s="47">
        <f>$G48</f>
        <v>32.175953204871995</v>
      </c>
      <c r="Q48" s="47">
        <f t="shared" si="67"/>
        <v>33.17552086042307</v>
      </c>
      <c r="R48" s="47">
        <f>P48*(1+(P21+R21)/2*((R7/P7)^(1/(R$4-P$4))-1))^(R$4-P$4)</f>
        <v>31.263330467990691</v>
      </c>
      <c r="S48" s="47">
        <f>Q48*(1+(Q21+S21)/2*((S7/Q7)^(1/(S$4-Q$4))-1))^(S$4-Q$4)</f>
        <v>31.788154682489314</v>
      </c>
      <c r="T48" s="311">
        <f>R48*(1+(R21+T21)/2*((T7/R7)^(1/(T$4-R$4))-1))^(T$4-R$4)</f>
        <v>37.834543203227575</v>
      </c>
      <c r="U48" s="311">
        <f>T48*(1+(T21+U21)/2*((U7/T7)^(1/(U$4-T$4))-1))^(U$4-T$4)</f>
        <v>45.975418567099268</v>
      </c>
      <c r="V48" s="311">
        <f>U48*(1+(U21+V21)/2*((V7/U7)^(1/(V$4-U$4))-1))^(V$4-U$4)</f>
        <v>56.756197742160154</v>
      </c>
      <c r="W48" s="186"/>
      <c r="X48" s="47">
        <f>P48</f>
        <v>32.175953204871995</v>
      </c>
      <c r="Y48" s="47">
        <f>Q48</f>
        <v>33.17552086042307</v>
      </c>
      <c r="Z48" s="47">
        <f>R48</f>
        <v>31.263330467990691</v>
      </c>
      <c r="AA48" s="47">
        <f>S48</f>
        <v>31.788154682489314</v>
      </c>
      <c r="AB48" s="311">
        <f>Z48*(1+(Z21+AB21)/2*((AB7/Z7)^(1/(AB$4-Z$4))-1))^(AB$4-Z$4)</f>
        <v>37.834543203227575</v>
      </c>
      <c r="AC48" s="311">
        <f>AB48*(1+(AB21+AC21)/2*((AC7/AB7)^(1/(AC$4-AB$4))-1))^(AC$4-AB$4)</f>
        <v>45.975418567099268</v>
      </c>
      <c r="AD48" s="311">
        <f>AC48*(1+(AC21+AD21)/2*((AD7/AC7)^(1/(AD$4-AC$4))-1))^(AD$4-AC$4)</f>
        <v>56.756197742160154</v>
      </c>
      <c r="AE48" s="186"/>
      <c r="AF48" s="186"/>
      <c r="AG48" s="186"/>
      <c r="AH48" s="186"/>
      <c r="AI48" s="186"/>
      <c r="AJ48" s="186"/>
      <c r="AK48" s="186"/>
      <c r="AL48" s="186"/>
      <c r="AM48" s="186"/>
      <c r="AN48" s="186"/>
      <c r="AO48" s="186"/>
      <c r="AP48" s="186"/>
      <c r="AQ48" s="186"/>
      <c r="AR48" s="186"/>
      <c r="AS48" s="186"/>
    </row>
    <row r="49" spans="1:45">
      <c r="A49" s="185" t="s">
        <v>16</v>
      </c>
      <c r="B49" s="186"/>
      <c r="C49" s="3"/>
      <c r="D49" s="5"/>
      <c r="E49" s="5"/>
      <c r="F49" s="47"/>
      <c r="G49" s="47"/>
      <c r="H49" s="47"/>
      <c r="I49" s="47"/>
      <c r="J49" s="47"/>
      <c r="K49" s="47"/>
      <c r="L49" s="47"/>
      <c r="M49" s="47"/>
      <c r="N49" s="47"/>
      <c r="P49" s="10"/>
      <c r="R49" s="186"/>
      <c r="T49" s="186"/>
      <c r="U49" s="186"/>
      <c r="V49" s="186"/>
      <c r="W49" s="186"/>
      <c r="X49" s="186"/>
      <c r="Z49" s="186"/>
      <c r="AB49" s="186"/>
      <c r="AC49" s="186"/>
      <c r="AD49" s="186"/>
      <c r="AE49" s="186"/>
      <c r="AF49" s="186"/>
      <c r="AG49" s="186"/>
      <c r="AH49" s="186"/>
      <c r="AI49" s="186"/>
      <c r="AJ49" s="186"/>
      <c r="AK49" s="186"/>
      <c r="AL49" s="186"/>
      <c r="AM49" s="186"/>
      <c r="AN49" s="186"/>
      <c r="AO49" s="186"/>
      <c r="AP49" s="186"/>
      <c r="AQ49" s="186"/>
      <c r="AR49" s="186"/>
      <c r="AS49" s="186"/>
    </row>
    <row r="50" spans="1:45" ht="15.75" thickBot="1">
      <c r="A50" s="185" t="s">
        <v>16</v>
      </c>
      <c r="B50" s="14" t="s">
        <v>208</v>
      </c>
      <c r="C50" s="14"/>
      <c r="D50" s="14"/>
      <c r="I50" s="281"/>
      <c r="K50" s="281"/>
    </row>
    <row r="51" spans="1:45">
      <c r="A51" s="185" t="s">
        <v>16</v>
      </c>
      <c r="B51" s="186" t="str">
        <f>B15</f>
        <v>TFHCV2</v>
      </c>
      <c r="C51" s="186" t="str">
        <f>C28</f>
        <v>Transport Freight - HCV2</v>
      </c>
      <c r="D51" s="185" t="s">
        <v>149</v>
      </c>
      <c r="F51" s="10">
        <f>F65*F94</f>
        <v>2.2763173637182028</v>
      </c>
      <c r="G51" s="10">
        <f t="shared" ref="G51:H59" si="72">G28*G$60</f>
        <v>2.3987639372378653</v>
      </c>
      <c r="H51" s="10">
        <f t="shared" si="72"/>
        <v>2.4428754036044746</v>
      </c>
      <c r="I51" s="10">
        <f t="shared" ref="I51" si="73">I28*I$60</f>
        <v>2.473283154421531</v>
      </c>
      <c r="J51" s="10">
        <f t="shared" ref="J51:N59" si="74">J28*J$60</f>
        <v>2.3307265897319418</v>
      </c>
      <c r="K51" s="10">
        <f t="shared" si="74"/>
        <v>2.3696261001422978</v>
      </c>
      <c r="L51" s="10">
        <f t="shared" si="74"/>
        <v>2.8206200214148818</v>
      </c>
      <c r="M51" s="10">
        <f t="shared" si="74"/>
        <v>3.4275340766431426</v>
      </c>
      <c r="N51" s="10">
        <f t="shared" si="74"/>
        <v>4.2312567864507047</v>
      </c>
      <c r="P51" s="10">
        <f t="shared" ref="P51:V51" si="75">P28*P$60</f>
        <v>2.3987639372378653</v>
      </c>
      <c r="Q51" s="10">
        <f t="shared" si="75"/>
        <v>2.4732805331425385</v>
      </c>
      <c r="R51" s="10">
        <f t="shared" si="75"/>
        <v>2.3307265897319418</v>
      </c>
      <c r="S51" s="10">
        <f t="shared" si="75"/>
        <v>2.3698504837799264</v>
      </c>
      <c r="T51" s="310">
        <f t="shared" si="75"/>
        <v>2.8206200214148818</v>
      </c>
      <c r="U51" s="310">
        <f t="shared" si="75"/>
        <v>3.4275340766431426</v>
      </c>
      <c r="V51" s="310">
        <f t="shared" si="75"/>
        <v>4.2312567864507047</v>
      </c>
      <c r="W51" s="10"/>
      <c r="X51" s="10">
        <f>P51</f>
        <v>2.3987639372378653</v>
      </c>
      <c r="Y51" s="10">
        <f t="shared" ref="Y51:AA51" si="76">Q51</f>
        <v>2.4732805331425385</v>
      </c>
      <c r="Z51" s="10">
        <f t="shared" si="76"/>
        <v>2.3307265897319418</v>
      </c>
      <c r="AA51" s="10">
        <f t="shared" si="76"/>
        <v>2.3698504837799264</v>
      </c>
      <c r="AB51" s="310">
        <f t="shared" ref="AB51:AD59" si="77">AB28*AB$60</f>
        <v>2.6795890203441379</v>
      </c>
      <c r="AC51" s="310">
        <f t="shared" si="77"/>
        <v>3.093349504170436</v>
      </c>
      <c r="AD51" s="310">
        <f t="shared" si="77"/>
        <v>3.6277737872831728</v>
      </c>
      <c r="AE51" s="10"/>
      <c r="AF51" s="10"/>
      <c r="AG51" s="10"/>
      <c r="AH51" s="10"/>
      <c r="AI51" s="10"/>
      <c r="AJ51" s="10"/>
      <c r="AK51" s="10"/>
      <c r="AL51" s="10"/>
      <c r="AM51" s="10"/>
      <c r="AN51" s="10"/>
      <c r="AO51" s="10"/>
      <c r="AP51" s="10"/>
      <c r="AQ51" s="10"/>
      <c r="AR51" s="10"/>
      <c r="AS51" s="10"/>
    </row>
    <row r="52" spans="1:45">
      <c r="A52" s="185" t="s">
        <v>16</v>
      </c>
      <c r="B52" s="186" t="str">
        <f t="shared" ref="B52:B58" si="78">B16</f>
        <v>TFHCV3</v>
      </c>
      <c r="C52" s="186" t="str">
        <f t="shared" ref="C52:C58" si="79">C29</f>
        <v>Transport Freight - HCV3</v>
      </c>
      <c r="D52" s="185" t="s">
        <v>149</v>
      </c>
      <c r="F52" s="10">
        <f t="shared" ref="F52:F58" si="80">F66*F95</f>
        <v>15.233523986729871</v>
      </c>
      <c r="G52" s="10">
        <f t="shared" si="72"/>
        <v>16.052958413816011</v>
      </c>
      <c r="H52" s="10">
        <f t="shared" si="72"/>
        <v>16.34816025679978</v>
      </c>
      <c r="I52" s="10">
        <f t="shared" ref="I52" si="81">I29*I$60</f>
        <v>16.551654377978693</v>
      </c>
      <c r="J52" s="10">
        <f t="shared" si="74"/>
        <v>15.597640283864223</v>
      </c>
      <c r="K52" s="10">
        <f t="shared" si="74"/>
        <v>15.857962782981954</v>
      </c>
      <c r="L52" s="10">
        <f t="shared" si="74"/>
        <v>18.876094976268586</v>
      </c>
      <c r="M52" s="10">
        <f t="shared" si="74"/>
        <v>22.937672665550647</v>
      </c>
      <c r="N52" s="10">
        <f t="shared" si="74"/>
        <v>28.316329162961928</v>
      </c>
      <c r="P52" s="10">
        <f t="shared" ref="P52:P59" si="82">P29*P$60</f>
        <v>16.052958413816011</v>
      </c>
      <c r="Q52" s="10">
        <f t="shared" ref="Q52:V59" si="83">Q29*Q$60</f>
        <v>16.55163683590963</v>
      </c>
      <c r="R52" s="10">
        <f t="shared" si="83"/>
        <v>15.597640283864223</v>
      </c>
      <c r="S52" s="10">
        <f t="shared" si="83"/>
        <v>15.859464398521386</v>
      </c>
      <c r="T52" s="310">
        <f t="shared" si="83"/>
        <v>18.876094976268586</v>
      </c>
      <c r="U52" s="310">
        <f t="shared" si="83"/>
        <v>22.937672665550647</v>
      </c>
      <c r="V52" s="310">
        <f t="shared" si="83"/>
        <v>28.316329162961928</v>
      </c>
      <c r="W52" s="10"/>
      <c r="X52" s="10">
        <f t="shared" ref="X52:X59" si="84">P52</f>
        <v>16.052958413816011</v>
      </c>
      <c r="Y52" s="10">
        <f t="shared" ref="Y52:Y60" si="85">Q52</f>
        <v>16.55163683590963</v>
      </c>
      <c r="Z52" s="10">
        <f t="shared" ref="Z52:Z60" si="86">R52</f>
        <v>15.597640283864223</v>
      </c>
      <c r="AA52" s="10">
        <f t="shared" ref="AA52:AA60" si="87">S52</f>
        <v>15.859464398521386</v>
      </c>
      <c r="AB52" s="310">
        <f t="shared" si="77"/>
        <v>17.932290227455159</v>
      </c>
      <c r="AC52" s="310">
        <f t="shared" si="77"/>
        <v>20.701249580659457</v>
      </c>
      <c r="AD52" s="310">
        <f t="shared" si="77"/>
        <v>24.277712716094481</v>
      </c>
      <c r="AE52" s="10"/>
      <c r="AF52" s="10"/>
      <c r="AG52" s="10"/>
      <c r="AH52" s="10"/>
      <c r="AI52" s="10"/>
      <c r="AJ52" s="10"/>
      <c r="AK52" s="10"/>
      <c r="AL52" s="10"/>
      <c r="AM52" s="10"/>
      <c r="AN52" s="10"/>
      <c r="AO52" s="10"/>
      <c r="AP52" s="10"/>
      <c r="AQ52" s="10"/>
      <c r="AR52" s="10"/>
      <c r="AS52" s="10"/>
    </row>
    <row r="53" spans="1:45">
      <c r="A53" s="185" t="s">
        <v>16</v>
      </c>
      <c r="B53" s="186" t="str">
        <f t="shared" si="78"/>
        <v>TFHCV4</v>
      </c>
      <c r="C53" s="186" t="str">
        <f t="shared" si="79"/>
        <v>Transport Freight - HCV4</v>
      </c>
      <c r="D53" s="185" t="s">
        <v>149</v>
      </c>
      <c r="F53" s="10">
        <f t="shared" si="80"/>
        <v>5.0807673805466287</v>
      </c>
      <c r="G53" s="10">
        <f t="shared" si="72"/>
        <v>5.3540695863437202</v>
      </c>
      <c r="H53" s="10">
        <f t="shared" si="72"/>
        <v>5.4525269029708987</v>
      </c>
      <c r="I53" s="10">
        <f t="shared" ref="I53" si="88">I30*I$60</f>
        <v>5.5203973637992325</v>
      </c>
      <c r="J53" s="10">
        <f t="shared" si="74"/>
        <v>5.2022094189625063</v>
      </c>
      <c r="K53" s="10">
        <f t="shared" si="74"/>
        <v>5.2890335880183272</v>
      </c>
      <c r="L53" s="10">
        <f t="shared" si="74"/>
        <v>6.2956573745556001</v>
      </c>
      <c r="M53" s="10">
        <f t="shared" si="74"/>
        <v>7.6502967511854907</v>
      </c>
      <c r="N53" s="10">
        <f t="shared" si="74"/>
        <v>9.4442153813736169</v>
      </c>
      <c r="P53" s="10">
        <f t="shared" si="82"/>
        <v>5.3540695863437202</v>
      </c>
      <c r="Q53" s="10">
        <f t="shared" si="83"/>
        <v>5.5203915130734007</v>
      </c>
      <c r="R53" s="10">
        <f t="shared" si="83"/>
        <v>5.2022094189625063</v>
      </c>
      <c r="S53" s="10">
        <f t="shared" si="83"/>
        <v>5.289534414961425</v>
      </c>
      <c r="T53" s="310">
        <f t="shared" si="83"/>
        <v>6.2956573745556001</v>
      </c>
      <c r="U53" s="310">
        <f t="shared" si="83"/>
        <v>7.6502967511854907</v>
      </c>
      <c r="V53" s="310">
        <f t="shared" si="83"/>
        <v>9.4442153813736169</v>
      </c>
      <c r="W53" s="10"/>
      <c r="X53" s="10">
        <f t="shared" si="84"/>
        <v>5.3540695863437202</v>
      </c>
      <c r="Y53" s="10">
        <f t="shared" si="85"/>
        <v>5.5203915130734007</v>
      </c>
      <c r="Z53" s="10">
        <f t="shared" si="86"/>
        <v>5.2022094189625063</v>
      </c>
      <c r="AA53" s="10">
        <f t="shared" si="87"/>
        <v>5.289534414961425</v>
      </c>
      <c r="AB53" s="310">
        <f t="shared" si="77"/>
        <v>5.9808745058278197</v>
      </c>
      <c r="AC53" s="310">
        <f t="shared" si="77"/>
        <v>6.9043928179449043</v>
      </c>
      <c r="AD53" s="310">
        <f t="shared" si="77"/>
        <v>8.0972341626052042</v>
      </c>
      <c r="AE53" s="10"/>
      <c r="AF53" s="10"/>
      <c r="AG53" s="10"/>
      <c r="AH53" s="10"/>
      <c r="AI53" s="10"/>
      <c r="AJ53" s="10"/>
      <c r="AK53" s="10"/>
      <c r="AL53" s="10"/>
      <c r="AM53" s="10"/>
      <c r="AN53" s="10"/>
      <c r="AO53" s="10"/>
      <c r="AP53" s="10"/>
      <c r="AQ53" s="10"/>
      <c r="AR53" s="10"/>
      <c r="AS53" s="10"/>
    </row>
    <row r="54" spans="1:45">
      <c r="A54" s="185" t="s">
        <v>16</v>
      </c>
      <c r="B54" s="186" t="str">
        <f t="shared" si="78"/>
        <v>TFHCV5</v>
      </c>
      <c r="C54" s="186" t="str">
        <f t="shared" si="79"/>
        <v>Transport Freight - HCV5</v>
      </c>
      <c r="D54" s="185" t="s">
        <v>149</v>
      </c>
      <c r="F54" s="10">
        <f t="shared" si="80"/>
        <v>3.0627981264343846</v>
      </c>
      <c r="G54" s="10">
        <f t="shared" si="72"/>
        <v>3.2275506965029748</v>
      </c>
      <c r="H54" s="10">
        <f t="shared" si="72"/>
        <v>3.2869029286193441</v>
      </c>
      <c r="I54" s="10">
        <f t="shared" ref="I54" si="89">I31*I$60</f>
        <v>3.3278167325185679</v>
      </c>
      <c r="J54" s="10">
        <f t="shared" si="74"/>
        <v>3.1360060534799454</v>
      </c>
      <c r="K54" s="10">
        <f t="shared" si="74"/>
        <v>3.1883455688318136</v>
      </c>
      <c r="L54" s="10">
        <f t="shared" si="74"/>
        <v>3.7951604880180847</v>
      </c>
      <c r="M54" s="10">
        <f t="shared" si="74"/>
        <v>4.6117668456761853</v>
      </c>
      <c r="N54" s="10">
        <f t="shared" si="74"/>
        <v>5.693180381858352</v>
      </c>
      <c r="P54" s="10">
        <f t="shared" si="82"/>
        <v>3.2275506965029748</v>
      </c>
      <c r="Q54" s="10">
        <f t="shared" si="83"/>
        <v>3.3278132055725829</v>
      </c>
      <c r="R54" s="10">
        <f t="shared" si="83"/>
        <v>3.1360060534799454</v>
      </c>
      <c r="S54" s="10">
        <f t="shared" si="83"/>
        <v>3.1886474783088858</v>
      </c>
      <c r="T54" s="310">
        <f t="shared" si="83"/>
        <v>3.7951604880180847</v>
      </c>
      <c r="U54" s="310">
        <f t="shared" si="83"/>
        <v>4.6117668456761853</v>
      </c>
      <c r="V54" s="310">
        <f t="shared" si="83"/>
        <v>5.693180381858352</v>
      </c>
      <c r="W54" s="10"/>
      <c r="X54" s="10">
        <f t="shared" si="84"/>
        <v>3.2275506965029748</v>
      </c>
      <c r="Y54" s="10">
        <f t="shared" si="85"/>
        <v>3.3278132055725829</v>
      </c>
      <c r="Z54" s="10">
        <f t="shared" si="86"/>
        <v>3.1360060534799454</v>
      </c>
      <c r="AA54" s="10">
        <f t="shared" si="87"/>
        <v>3.1886474783088858</v>
      </c>
      <c r="AB54" s="310">
        <f t="shared" si="77"/>
        <v>3.60540246361718</v>
      </c>
      <c r="AC54" s="310">
        <f t="shared" si="77"/>
        <v>4.1621195782227574</v>
      </c>
      <c r="AD54" s="310">
        <f t="shared" si="77"/>
        <v>4.8811905298958038</v>
      </c>
      <c r="AE54" s="10"/>
      <c r="AF54" s="10"/>
      <c r="AG54" s="10"/>
      <c r="AH54" s="10"/>
      <c r="AI54" s="10"/>
      <c r="AJ54" s="10"/>
      <c r="AK54" s="10"/>
      <c r="AL54" s="10"/>
      <c r="AM54" s="10"/>
      <c r="AN54" s="10"/>
      <c r="AO54" s="10"/>
      <c r="AP54" s="10"/>
      <c r="AQ54" s="10"/>
      <c r="AR54" s="10"/>
      <c r="AS54" s="10"/>
    </row>
    <row r="55" spans="1:45">
      <c r="A55" s="185" t="s">
        <v>16</v>
      </c>
      <c r="B55" s="186" t="str">
        <f t="shared" si="78"/>
        <v>TFHCV6</v>
      </c>
      <c r="C55" s="186" t="str">
        <f t="shared" si="79"/>
        <v>Transport Freight - HCV6</v>
      </c>
      <c r="D55" s="185" t="s">
        <v>149</v>
      </c>
      <c r="F55" s="10">
        <f>F69*F98</f>
        <v>100.6136299290159</v>
      </c>
      <c r="G55" s="10">
        <f t="shared" si="72"/>
        <v>106.02579012712634</v>
      </c>
      <c r="H55" s="10">
        <f t="shared" si="72"/>
        <v>107.97552473943311</v>
      </c>
      <c r="I55" s="10">
        <f>I32*I$60</f>
        <v>109.31955270163417</v>
      </c>
      <c r="J55" s="10">
        <f t="shared" si="74"/>
        <v>103.01852733836863</v>
      </c>
      <c r="K55" s="10">
        <f t="shared" si="74"/>
        <v>104.73789257593573</v>
      </c>
      <c r="L55" s="10">
        <f t="shared" si="74"/>
        <v>124.67190363186195</v>
      </c>
      <c r="M55" s="10">
        <f t="shared" si="74"/>
        <v>151.49761217529243</v>
      </c>
      <c r="N55" s="10">
        <f t="shared" si="74"/>
        <v>187.02229804687755</v>
      </c>
      <c r="P55" s="10">
        <f t="shared" si="82"/>
        <v>106.02579012712634</v>
      </c>
      <c r="Q55" s="10">
        <f t="shared" si="83"/>
        <v>109.31943684063926</v>
      </c>
      <c r="R55" s="10">
        <f t="shared" si="83"/>
        <v>103.01852733836863</v>
      </c>
      <c r="S55" s="10">
        <f t="shared" si="83"/>
        <v>104.74781037238991</v>
      </c>
      <c r="T55" s="310">
        <f t="shared" si="83"/>
        <v>124.67190363186195</v>
      </c>
      <c r="U55" s="310">
        <f t="shared" si="83"/>
        <v>151.49761217529243</v>
      </c>
      <c r="V55" s="310">
        <f t="shared" si="83"/>
        <v>187.02229804687755</v>
      </c>
      <c r="W55" s="10"/>
      <c r="X55" s="10">
        <f t="shared" si="84"/>
        <v>106.02579012712634</v>
      </c>
      <c r="Y55" s="10">
        <f t="shared" si="85"/>
        <v>109.31943684063926</v>
      </c>
      <c r="Z55" s="10">
        <f t="shared" si="86"/>
        <v>103.01852733836863</v>
      </c>
      <c r="AA55" s="10">
        <f t="shared" si="87"/>
        <v>104.74781037238991</v>
      </c>
      <c r="AB55" s="310">
        <f t="shared" si="77"/>
        <v>118.43830845026886</v>
      </c>
      <c r="AC55" s="310">
        <f t="shared" si="77"/>
        <v>136.72659498820144</v>
      </c>
      <c r="AD55" s="310">
        <f t="shared" si="77"/>
        <v>160.34824278794164</v>
      </c>
      <c r="AE55" s="10"/>
      <c r="AF55" s="10"/>
      <c r="AG55" s="10"/>
      <c r="AH55" s="10"/>
      <c r="AI55" s="10"/>
      <c r="AJ55" s="10"/>
      <c r="AK55" s="10"/>
      <c r="AL55" s="10"/>
      <c r="AM55" s="10"/>
      <c r="AN55" s="10"/>
      <c r="AO55" s="10"/>
      <c r="AP55" s="10"/>
      <c r="AQ55" s="10"/>
      <c r="AR55" s="10"/>
      <c r="AS55" s="10"/>
    </row>
    <row r="56" spans="1:45">
      <c r="A56" s="185" t="s">
        <v>16</v>
      </c>
      <c r="B56" s="186" t="str">
        <f t="shared" si="78"/>
        <v>TFHCV7</v>
      </c>
      <c r="C56" s="186" t="str">
        <f t="shared" si="79"/>
        <v>Transport Freight - HCV7</v>
      </c>
      <c r="D56" s="185" t="s">
        <v>149</v>
      </c>
      <c r="F56" s="10">
        <f t="shared" si="80"/>
        <v>35.353370344628992</v>
      </c>
      <c r="G56" s="10">
        <f t="shared" si="72"/>
        <v>37.255081911772038</v>
      </c>
      <c r="H56" s="10">
        <f t="shared" si="72"/>
        <v>37.940174874537156</v>
      </c>
      <c r="I56" s="10">
        <f t="shared" ref="I56" si="90">I33*I$60</f>
        <v>38.412436121196819</v>
      </c>
      <c r="J56" s="10">
        <f t="shared" si="74"/>
        <v>36.198397293896896</v>
      </c>
      <c r="K56" s="10">
        <f t="shared" si="74"/>
        <v>36.802543631170238</v>
      </c>
      <c r="L56" s="10">
        <f t="shared" si="74"/>
        <v>43.806907511206049</v>
      </c>
      <c r="M56" s="10">
        <f t="shared" si="74"/>
        <v>53.232859139847896</v>
      </c>
      <c r="N56" s="10">
        <f t="shared" si="74"/>
        <v>65.715436071828407</v>
      </c>
      <c r="P56" s="10">
        <f t="shared" si="82"/>
        <v>37.255081911772038</v>
      </c>
      <c r="Q56" s="10">
        <f t="shared" si="83"/>
        <v>38.412395410244791</v>
      </c>
      <c r="R56" s="10">
        <f t="shared" si="83"/>
        <v>36.198397293896896</v>
      </c>
      <c r="S56" s="10">
        <f t="shared" si="83"/>
        <v>36.806028522146683</v>
      </c>
      <c r="T56" s="310">
        <f t="shared" si="83"/>
        <v>43.806907511206049</v>
      </c>
      <c r="U56" s="310">
        <f t="shared" si="83"/>
        <v>53.232859139847896</v>
      </c>
      <c r="V56" s="310">
        <f t="shared" si="83"/>
        <v>65.715436071828407</v>
      </c>
      <c r="W56" s="10"/>
      <c r="X56" s="10">
        <f t="shared" si="84"/>
        <v>37.255081911772038</v>
      </c>
      <c r="Y56" s="10">
        <f t="shared" si="85"/>
        <v>38.412395410244791</v>
      </c>
      <c r="Z56" s="10">
        <f t="shared" si="86"/>
        <v>36.198397293896896</v>
      </c>
      <c r="AA56" s="10">
        <f t="shared" si="87"/>
        <v>36.806028522146683</v>
      </c>
      <c r="AB56" s="310">
        <f t="shared" si="77"/>
        <v>41.616562135645744</v>
      </c>
      <c r="AC56" s="310">
        <f t="shared" si="77"/>
        <v>48.042655373712726</v>
      </c>
      <c r="AD56" s="310">
        <f t="shared" si="77"/>
        <v>56.342772002083869</v>
      </c>
      <c r="AE56" s="10"/>
      <c r="AF56" s="10"/>
      <c r="AG56" s="10"/>
      <c r="AH56" s="10"/>
      <c r="AI56" s="10"/>
      <c r="AJ56" s="10"/>
      <c r="AK56" s="10"/>
      <c r="AL56" s="10"/>
      <c r="AM56" s="10"/>
      <c r="AN56" s="10"/>
      <c r="AO56" s="10"/>
      <c r="AP56" s="10"/>
      <c r="AQ56" s="10"/>
      <c r="AR56" s="10"/>
      <c r="AS56" s="10"/>
    </row>
    <row r="57" spans="1:45">
      <c r="A57" s="185" t="s">
        <v>16</v>
      </c>
      <c r="B57" s="186" t="str">
        <f t="shared" si="78"/>
        <v>TFHCV8</v>
      </c>
      <c r="C57" s="186" t="str">
        <f t="shared" si="79"/>
        <v>Transport Freight - HCV8</v>
      </c>
      <c r="D57" s="185" t="s">
        <v>149</v>
      </c>
      <c r="F57" s="10">
        <f t="shared" si="80"/>
        <v>1.3011202447704153</v>
      </c>
      <c r="G57" s="10">
        <f t="shared" si="72"/>
        <v>1.3711094818814338</v>
      </c>
      <c r="H57" s="10">
        <f t="shared" si="72"/>
        <v>1.3963231549970117</v>
      </c>
      <c r="I57" s="10">
        <f t="shared" ref="I57" si="91">I34*I$60</f>
        <v>1.4137039213245071</v>
      </c>
      <c r="J57" s="10">
        <f t="shared" si="74"/>
        <v>1.3322200143355563</v>
      </c>
      <c r="K57" s="10">
        <f t="shared" si="74"/>
        <v>1.3544545855395904</v>
      </c>
      <c r="L57" s="10">
        <f t="shared" si="74"/>
        <v>1.6122382015630004</v>
      </c>
      <c r="M57" s="10">
        <f t="shared" si="74"/>
        <v>1.959144207148853</v>
      </c>
      <c r="N57" s="10">
        <f t="shared" si="74"/>
        <v>2.4185440718514686</v>
      </c>
      <c r="P57" s="10">
        <f t="shared" si="82"/>
        <v>1.3711094818814338</v>
      </c>
      <c r="Q57" s="10">
        <f t="shared" si="83"/>
        <v>1.4137024230276445</v>
      </c>
      <c r="R57" s="10">
        <f t="shared" si="83"/>
        <v>1.3322200143355563</v>
      </c>
      <c r="S57" s="10">
        <f t="shared" si="83"/>
        <v>1.3545828409833027</v>
      </c>
      <c r="T57" s="310">
        <f t="shared" si="83"/>
        <v>1.6122382015630004</v>
      </c>
      <c r="U57" s="310">
        <f t="shared" si="83"/>
        <v>1.959144207148853</v>
      </c>
      <c r="V57" s="310">
        <f t="shared" si="83"/>
        <v>2.4185440718514686</v>
      </c>
      <c r="W57" s="10"/>
      <c r="X57" s="10">
        <f t="shared" si="84"/>
        <v>1.3711094818814338</v>
      </c>
      <c r="Y57" s="10">
        <f t="shared" si="85"/>
        <v>1.4137024230276445</v>
      </c>
      <c r="Z57" s="10">
        <f t="shared" si="86"/>
        <v>1.3322200143355563</v>
      </c>
      <c r="AA57" s="10">
        <f t="shared" si="87"/>
        <v>1.3545828409833027</v>
      </c>
      <c r="AB57" s="310">
        <f t="shared" si="77"/>
        <v>1.5316262914848502</v>
      </c>
      <c r="AC57" s="310">
        <f t="shared" si="77"/>
        <v>1.7681276469518397</v>
      </c>
      <c r="AD57" s="310">
        <f t="shared" si="77"/>
        <v>2.0735992236036527</v>
      </c>
      <c r="AE57" s="10"/>
      <c r="AF57" s="10"/>
      <c r="AG57" s="10"/>
      <c r="AH57" s="10"/>
      <c r="AI57" s="10"/>
      <c r="AJ57" s="10"/>
      <c r="AK57" s="10"/>
      <c r="AL57" s="10"/>
      <c r="AM57" s="10"/>
      <c r="AN57" s="10"/>
      <c r="AO57" s="10"/>
      <c r="AP57" s="10"/>
      <c r="AQ57" s="10"/>
      <c r="AR57" s="10"/>
      <c r="AS57" s="10"/>
    </row>
    <row r="58" spans="1:45">
      <c r="A58" s="185" t="s">
        <v>16</v>
      </c>
      <c r="B58" s="186" t="str">
        <f t="shared" si="78"/>
        <v>TFHCV9</v>
      </c>
      <c r="C58" s="186" t="str">
        <f t="shared" si="79"/>
        <v>Transport Freight - HCV9</v>
      </c>
      <c r="D58" s="185" t="s">
        <v>149</v>
      </c>
      <c r="F58" s="10">
        <f t="shared" si="80"/>
        <v>1.1571058027236365</v>
      </c>
      <c r="G58" s="10">
        <f t="shared" si="72"/>
        <v>1.219348283935394</v>
      </c>
      <c r="H58" s="10">
        <f t="shared" si="72"/>
        <v>1.2417711826546127</v>
      </c>
      <c r="I58" s="10">
        <f t="shared" ref="I58" si="92">I35*I$60</f>
        <v>1.2572281595590626</v>
      </c>
      <c r="J58" s="10">
        <f t="shared" si="74"/>
        <v>1.1847632955432508</v>
      </c>
      <c r="K58" s="10">
        <f t="shared" si="74"/>
        <v>1.2045368341263811</v>
      </c>
      <c r="L58" s="10">
        <f t="shared" si="74"/>
        <v>1.4337876809613728</v>
      </c>
      <c r="M58" s="10">
        <f t="shared" si="74"/>
        <v>1.7422964092487396</v>
      </c>
      <c r="N58" s="10">
        <f t="shared" si="74"/>
        <v>2.150847618373648</v>
      </c>
      <c r="P58" s="10">
        <f t="shared" si="82"/>
        <v>1.219348283935394</v>
      </c>
      <c r="Q58" s="10">
        <f t="shared" si="83"/>
        <v>1.257226827101128</v>
      </c>
      <c r="R58" s="10">
        <f t="shared" si="83"/>
        <v>1.1847632955432508</v>
      </c>
      <c r="S58" s="10">
        <f t="shared" si="83"/>
        <v>1.2046508936214559</v>
      </c>
      <c r="T58" s="310">
        <f t="shared" si="83"/>
        <v>1.4337876809613728</v>
      </c>
      <c r="U58" s="310">
        <f t="shared" si="83"/>
        <v>1.7422964092487396</v>
      </c>
      <c r="V58" s="310">
        <f t="shared" si="83"/>
        <v>2.150847618373648</v>
      </c>
      <c r="W58" s="10"/>
      <c r="X58" s="10">
        <f t="shared" si="84"/>
        <v>1.219348283935394</v>
      </c>
      <c r="Y58" s="10">
        <f t="shared" si="85"/>
        <v>1.257226827101128</v>
      </c>
      <c r="Z58" s="10">
        <f t="shared" si="86"/>
        <v>1.1847632955432508</v>
      </c>
      <c r="AA58" s="10">
        <f t="shared" si="87"/>
        <v>1.2046508936214559</v>
      </c>
      <c r="AB58" s="310">
        <f t="shared" si="77"/>
        <v>1.362098296913304</v>
      </c>
      <c r="AC58" s="310">
        <f t="shared" si="77"/>
        <v>1.5724225093469872</v>
      </c>
      <c r="AD58" s="310">
        <f t="shared" si="77"/>
        <v>1.844082976803106</v>
      </c>
      <c r="AE58" s="10"/>
      <c r="AF58" s="10"/>
      <c r="AG58" s="10"/>
      <c r="AH58" s="10"/>
      <c r="AI58" s="10"/>
      <c r="AJ58" s="10"/>
      <c r="AK58" s="10"/>
      <c r="AL58" s="10"/>
      <c r="AM58" s="10"/>
      <c r="AN58" s="10"/>
      <c r="AO58" s="10"/>
      <c r="AP58" s="10"/>
      <c r="AQ58" s="10"/>
      <c r="AR58" s="10"/>
      <c r="AS58" s="10"/>
    </row>
    <row r="59" spans="1:45">
      <c r="A59" s="185" t="s">
        <v>16</v>
      </c>
      <c r="B59" s="186" t="str">
        <f>B23</f>
        <v>TFRCO</v>
      </c>
      <c r="C59" s="186" t="str">
        <f>C36</f>
        <v>Transport Freight - Rail Corridor</v>
      </c>
      <c r="D59" s="185" t="s">
        <v>149</v>
      </c>
      <c r="F59" s="10">
        <f>F102</f>
        <v>22</v>
      </c>
      <c r="G59" s="10">
        <f t="shared" si="72"/>
        <v>23.183413464382845</v>
      </c>
      <c r="H59" s="10">
        <f t="shared" si="72"/>
        <v>23.609739017898917</v>
      </c>
      <c r="I59" s="10">
        <f t="shared" ref="I59" si="93">I36*I$60</f>
        <v>23.903621816773025</v>
      </c>
      <c r="J59" s="10">
        <f t="shared" si="74"/>
        <v>22.525850653068453</v>
      </c>
      <c r="K59" s="10">
        <f t="shared" si="74"/>
        <v>22.901804042814582</v>
      </c>
      <c r="L59" s="10">
        <f t="shared" si="74"/>
        <v>27.260539966961023</v>
      </c>
      <c r="M59" s="10">
        <f t="shared" si="74"/>
        <v>33.126202386375169</v>
      </c>
      <c r="N59" s="10">
        <f t="shared" si="74"/>
        <v>40.89396794384745</v>
      </c>
      <c r="P59" s="10">
        <f t="shared" si="82"/>
        <v>23.183413464382845</v>
      </c>
      <c r="Q59" s="10">
        <f t="shared" si="83"/>
        <v>23.903596482810922</v>
      </c>
      <c r="R59" s="10">
        <f t="shared" si="83"/>
        <v>22.525850653068453</v>
      </c>
      <c r="S59" s="10">
        <f t="shared" si="83"/>
        <v>22.903972650806818</v>
      </c>
      <c r="T59" s="310">
        <f t="shared" si="83"/>
        <v>27.260539966961023</v>
      </c>
      <c r="U59" s="310">
        <f t="shared" si="83"/>
        <v>33.126202386375169</v>
      </c>
      <c r="V59" s="310">
        <f t="shared" si="83"/>
        <v>40.89396794384745</v>
      </c>
      <c r="W59" s="10"/>
      <c r="X59" s="10">
        <f t="shared" si="84"/>
        <v>23.183413464382845</v>
      </c>
      <c r="Y59" s="10">
        <f t="shared" si="85"/>
        <v>23.903596482810922</v>
      </c>
      <c r="Z59" s="10">
        <f t="shared" si="86"/>
        <v>22.525850653068453</v>
      </c>
      <c r="AA59" s="10">
        <f t="shared" si="87"/>
        <v>22.903972650806818</v>
      </c>
      <c r="AB59" s="310">
        <f t="shared" si="77"/>
        <v>37.4261584612535</v>
      </c>
      <c r="AC59" s="310">
        <f t="shared" si="77"/>
        <v>57.21447265775798</v>
      </c>
      <c r="AD59" s="310">
        <f t="shared" si="77"/>
        <v>84.393467279112116</v>
      </c>
      <c r="AE59" s="10"/>
      <c r="AF59" s="10"/>
      <c r="AG59" s="10"/>
      <c r="AH59" s="10"/>
      <c r="AI59" s="10"/>
      <c r="AJ59" s="10"/>
      <c r="AK59" s="10"/>
      <c r="AL59" s="10"/>
      <c r="AM59" s="10"/>
      <c r="AN59" s="10"/>
      <c r="AO59" s="10"/>
      <c r="AP59" s="10"/>
      <c r="AQ59" s="10"/>
      <c r="AR59" s="10"/>
      <c r="AS59" s="10"/>
    </row>
    <row r="60" spans="1:45">
      <c r="A60" s="185" t="s">
        <v>16</v>
      </c>
      <c r="B60" s="186"/>
      <c r="C60" s="3" t="s">
        <v>5</v>
      </c>
      <c r="D60" s="5" t="s">
        <v>149</v>
      </c>
      <c r="E60" s="5"/>
      <c r="F60" s="47">
        <f>SUM(F51:F59)</f>
        <v>186.07863317856803</v>
      </c>
      <c r="G60" s="47">
        <f>F60*(1+(F22+G22)/2*((G7/F7)^(1/(G$4-F$4))-1))^(G$4-F$4)</f>
        <v>196.08808590299861</v>
      </c>
      <c r="H60" s="47">
        <f>G60*(1+(G22+H22)/2*((H7/G7)^(1/(H$4-G$4))-1))^(H$4-G$4)</f>
        <v>199.69399846151529</v>
      </c>
      <c r="I60" s="47">
        <f>H60*(1+(H22+I22)/2*((I7/H7)^(1/(I$4-H$4))-1))^(I$4-H$4)</f>
        <v>202.17969434920559</v>
      </c>
      <c r="J60" s="47">
        <f>G60*(1+(G22+J22)/2*((J7/G7)^(1/(J$4-G$4))-1))^(J$4-G$4)</f>
        <v>190.52634094125139</v>
      </c>
      <c r="K60" s="47">
        <f>H60*(1+(H22+K22)/2*((K7/H7)^(1/(K$4-H$4))-1))^(K$4-H$4)</f>
        <v>193.70619970956091</v>
      </c>
      <c r="L60" s="47">
        <f>J60*(1+(J22+L22)/2*((L7/J7)^(1/(L$4-J$4))-1))^(L$4-J$4)</f>
        <v>230.57290985281054</v>
      </c>
      <c r="M60" s="47">
        <f>L60*(1+(L22+M22)/2*((M7/L7)^(1/(M$4-L$4))-1))^(M$4-L$4)</f>
        <v>280.18538465696855</v>
      </c>
      <c r="N60" s="47">
        <f>M60*(1+(M22+N22)/2*((N7/M7)^(1/(N$4-M$4))-1))^(N$4-M$4)</f>
        <v>345.88607546542312</v>
      </c>
      <c r="P60" s="78">
        <f>$G60</f>
        <v>196.08808590299861</v>
      </c>
      <c r="Q60" s="47">
        <f>P60*(1+(P22+Q22)/2*((Q7/P7)^(1/(Q$4-P$4))-1))^(Q$4-P$4)</f>
        <v>202.17948007152188</v>
      </c>
      <c r="R60" s="47">
        <f>P60*(1+(P22+R22)/2*((R7/P7)^(1/(R$4-P$4))-1))^(R$4-P$4)</f>
        <v>190.52634094125139</v>
      </c>
      <c r="S60" s="47">
        <f>Q60*(1+(Q22+S22)/2*((S7/Q7)^(1/(S$4-Q$4))-1))^(S$4-Q$4)</f>
        <v>193.72454205551978</v>
      </c>
      <c r="T60" s="311">
        <f>R60*(1+(R22+T22)/2*((T7/R7)^(1/(T$4-R$4))-1))^(T$4-R$4)</f>
        <v>230.57290985281054</v>
      </c>
      <c r="U60" s="311">
        <f>T60*(1+(T22+U22)/2*((U7/T7)^(1/(U$4-T$4))-1))^(U$4-T$4)</f>
        <v>280.18538465696855</v>
      </c>
      <c r="V60" s="311">
        <f>U60*(1+(U22+V22)/2*((V7/U7)^(1/(V$4-U$4))-1))^(V$4-U$4)</f>
        <v>345.88607546542312</v>
      </c>
      <c r="X60" s="78">
        <f>P60</f>
        <v>196.08808590299861</v>
      </c>
      <c r="Y60" s="78">
        <f t="shared" si="85"/>
        <v>202.17948007152188</v>
      </c>
      <c r="Z60" s="78">
        <f t="shared" si="86"/>
        <v>190.52634094125139</v>
      </c>
      <c r="AA60" s="78">
        <f t="shared" si="87"/>
        <v>193.72454205551978</v>
      </c>
      <c r="AB60" s="311">
        <f>Z60*(1+(Z22+AB22)/2*((AB7/Z7)^(1/(AB$4-Z$4))-1))^(AB$4-Z$4)</f>
        <v>230.57290985281054</v>
      </c>
      <c r="AC60" s="311">
        <f>AB60*(1+(AB22+AC22)/2*((AC7/AB7)^(1/(AC$4-AB$4))-1))^(AC$4-AB$4)</f>
        <v>280.18538465696855</v>
      </c>
      <c r="AD60" s="311">
        <f>AC60*(1+(AC22+AD22)/2*((AD7/AC7)^(1/(AD$4-AC$4))-1))^(AD$4-AC$4)</f>
        <v>345.88607546542312</v>
      </c>
    </row>
    <row r="61" spans="1:45">
      <c r="A61" s="185" t="s">
        <v>16</v>
      </c>
      <c r="B61" s="186"/>
      <c r="C61" s="3"/>
      <c r="D61" s="5"/>
      <c r="E61" s="5"/>
      <c r="F61" s="47"/>
      <c r="G61" s="10"/>
      <c r="H61" s="10"/>
      <c r="J61" s="10"/>
      <c r="L61" s="10"/>
      <c r="M61" s="10"/>
      <c r="N61" s="10"/>
    </row>
    <row r="62" spans="1:45" ht="15.75" thickBot="1">
      <c r="A62" s="185" t="s">
        <v>16</v>
      </c>
      <c r="B62" s="14" t="s">
        <v>148</v>
      </c>
      <c r="C62" s="14"/>
      <c r="D62" s="14"/>
    </row>
    <row r="63" spans="1:45">
      <c r="A63" s="185" t="s">
        <v>16</v>
      </c>
      <c r="B63" s="185" t="s">
        <v>151</v>
      </c>
      <c r="C63" s="185" t="s">
        <v>152</v>
      </c>
      <c r="D63" s="185" t="s">
        <v>147</v>
      </c>
      <c r="F63" s="49">
        <f>[2]Calib_1011!$AC$36</f>
        <v>0.39784000000000003</v>
      </c>
      <c r="G63" s="61">
        <f t="shared" ref="G63:I72" si="94">F63</f>
        <v>0.39784000000000003</v>
      </c>
      <c r="H63" s="61">
        <f t="shared" si="94"/>
        <v>0.39784000000000003</v>
      </c>
      <c r="I63" s="61">
        <f t="shared" si="94"/>
        <v>0.39784000000000003</v>
      </c>
      <c r="J63" s="61">
        <f t="shared" ref="J63:J72" si="95">IF($D$4,Z63,R63)</f>
        <v>0.39784000000000003</v>
      </c>
      <c r="K63" s="61">
        <f t="shared" ref="K63:K72" si="96">IF($D$4,AB63,T63)</f>
        <v>0.39784000000000003</v>
      </c>
      <c r="L63" s="61">
        <f t="shared" ref="L63:L72" si="97">IF($D$4,AB63,T63)</f>
        <v>0.39784000000000003</v>
      </c>
      <c r="M63" s="61">
        <f t="shared" ref="M63:M72" si="98">IF($D$4,AC63,U63)</f>
        <v>0.39784000000000003</v>
      </c>
      <c r="N63" s="61">
        <f t="shared" ref="N63:N72" si="99">IF($D$4,AD63,V63)</f>
        <v>0.39784000000000003</v>
      </c>
      <c r="O63" s="186"/>
      <c r="P63" s="61">
        <f>$G63</f>
        <v>0.39784000000000003</v>
      </c>
      <c r="Q63" s="61">
        <f>P63</f>
        <v>0.39784000000000003</v>
      </c>
      <c r="R63" s="61">
        <f t="shared" ref="R63:S63" si="100">Q63</f>
        <v>0.39784000000000003</v>
      </c>
      <c r="S63" s="61">
        <f t="shared" si="100"/>
        <v>0.39784000000000003</v>
      </c>
      <c r="T63" s="46">
        <f t="shared" ref="T63:T72" si="101">R63</f>
        <v>0.39784000000000003</v>
      </c>
      <c r="U63" s="46">
        <f t="shared" ref="U63:U72" si="102">T63</f>
        <v>0.39784000000000003</v>
      </c>
      <c r="V63" s="46">
        <f>T63</f>
        <v>0.39784000000000003</v>
      </c>
      <c r="W63" s="233"/>
      <c r="X63" s="61">
        <f>P63</f>
        <v>0.39784000000000003</v>
      </c>
      <c r="Y63" s="61">
        <f t="shared" ref="Y63:AA63" si="103">Q63</f>
        <v>0.39784000000000003</v>
      </c>
      <c r="Z63" s="61">
        <f t="shared" si="103"/>
        <v>0.39784000000000003</v>
      </c>
      <c r="AA63" s="61">
        <f t="shared" si="103"/>
        <v>0.39784000000000003</v>
      </c>
      <c r="AB63" s="46">
        <f t="shared" ref="AB63:AB72" si="104">Z63</f>
        <v>0.39784000000000003</v>
      </c>
      <c r="AC63" s="46">
        <f t="shared" ref="AC63:AC72" si="105">AB63</f>
        <v>0.39784000000000003</v>
      </c>
      <c r="AD63" s="46">
        <f>AB63</f>
        <v>0.39784000000000003</v>
      </c>
      <c r="AE63" s="233"/>
      <c r="AF63" s="233"/>
      <c r="AG63" s="233"/>
      <c r="AH63" s="233"/>
      <c r="AI63" s="233"/>
      <c r="AJ63" s="233"/>
      <c r="AK63" s="233"/>
      <c r="AL63" s="233"/>
      <c r="AM63" s="233"/>
      <c r="AN63" s="233"/>
      <c r="AO63" s="233"/>
      <c r="AP63" s="233"/>
      <c r="AQ63" s="233"/>
      <c r="AR63" s="233"/>
      <c r="AS63" s="233"/>
    </row>
    <row r="64" spans="1:45">
      <c r="A64" s="185" t="s">
        <v>16</v>
      </c>
      <c r="B64" s="185" t="s">
        <v>412</v>
      </c>
      <c r="C64" s="185" t="s">
        <v>421</v>
      </c>
      <c r="D64" s="185" t="s">
        <v>147</v>
      </c>
      <c r="F64" s="49">
        <f>[2]Calib_1011!$AC$35</f>
        <v>1.4841</v>
      </c>
      <c r="G64" s="61">
        <f t="shared" si="94"/>
        <v>1.4841</v>
      </c>
      <c r="H64" s="61">
        <f t="shared" si="94"/>
        <v>1.4841</v>
      </c>
      <c r="I64" s="61">
        <f t="shared" si="94"/>
        <v>1.4841</v>
      </c>
      <c r="J64" s="61">
        <f t="shared" si="95"/>
        <v>1.4841</v>
      </c>
      <c r="K64" s="61">
        <f t="shared" si="96"/>
        <v>1.4841</v>
      </c>
      <c r="L64" s="61">
        <f t="shared" si="97"/>
        <v>1.4841</v>
      </c>
      <c r="M64" s="61">
        <f t="shared" si="98"/>
        <v>1.4841</v>
      </c>
      <c r="N64" s="61">
        <f t="shared" si="99"/>
        <v>1.4841</v>
      </c>
      <c r="O64" s="186"/>
      <c r="P64" s="61">
        <f t="shared" ref="P64:P70" si="106">$G64</f>
        <v>1.4841</v>
      </c>
      <c r="Q64" s="61">
        <f t="shared" ref="Q64:Q71" si="107">P64</f>
        <v>1.4841</v>
      </c>
      <c r="R64" s="61">
        <f t="shared" ref="R64:S64" si="108">Q64</f>
        <v>1.4841</v>
      </c>
      <c r="S64" s="61">
        <f t="shared" si="108"/>
        <v>1.4841</v>
      </c>
      <c r="T64" s="46">
        <f t="shared" si="101"/>
        <v>1.4841</v>
      </c>
      <c r="U64" s="46">
        <f t="shared" si="102"/>
        <v>1.4841</v>
      </c>
      <c r="V64" s="46">
        <f t="shared" ref="V64:V70" si="109">T64</f>
        <v>1.4841</v>
      </c>
      <c r="W64" s="233"/>
      <c r="X64" s="61">
        <f t="shared" ref="X64:X72" si="110">P64</f>
        <v>1.4841</v>
      </c>
      <c r="Y64" s="61">
        <f t="shared" ref="Y64:Y72" si="111">Q64</f>
        <v>1.4841</v>
      </c>
      <c r="Z64" s="61">
        <f t="shared" ref="Z64:Z72" si="112">R64</f>
        <v>1.4841</v>
      </c>
      <c r="AA64" s="61">
        <f t="shared" ref="AA64:AA72" si="113">S64</f>
        <v>1.4841</v>
      </c>
      <c r="AB64" s="46">
        <f t="shared" si="104"/>
        <v>1.4841</v>
      </c>
      <c r="AC64" s="46">
        <f t="shared" si="105"/>
        <v>1.4841</v>
      </c>
      <c r="AD64" s="46">
        <f t="shared" ref="AD64:AD70" si="114">AB64</f>
        <v>1.4841</v>
      </c>
      <c r="AE64" s="233"/>
      <c r="AF64" s="233"/>
      <c r="AG64" s="233"/>
      <c r="AH64" s="233"/>
      <c r="AI64" s="233"/>
      <c r="AJ64" s="233"/>
      <c r="AK64" s="233"/>
      <c r="AL64" s="233"/>
      <c r="AM64" s="233"/>
      <c r="AN64" s="233"/>
      <c r="AO64" s="233"/>
      <c r="AP64" s="233"/>
      <c r="AQ64" s="233"/>
      <c r="AR64" s="233"/>
      <c r="AS64" s="233"/>
    </row>
    <row r="65" spans="1:46">
      <c r="A65" s="185" t="s">
        <v>16</v>
      </c>
      <c r="B65" s="185" t="s">
        <v>413</v>
      </c>
      <c r="C65" s="185" t="s">
        <v>422</v>
      </c>
      <c r="D65" s="185" t="s">
        <v>147</v>
      </c>
      <c r="F65" s="49">
        <f>[2]Calib_1011!$AC27</f>
        <v>2.5009999999999999</v>
      </c>
      <c r="G65" s="61">
        <f t="shared" si="94"/>
        <v>2.5009999999999999</v>
      </c>
      <c r="H65" s="61">
        <f t="shared" si="94"/>
        <v>2.5009999999999999</v>
      </c>
      <c r="I65" s="61">
        <f t="shared" si="94"/>
        <v>2.5009999999999999</v>
      </c>
      <c r="J65" s="61">
        <f t="shared" si="95"/>
        <v>2.5009999999999999</v>
      </c>
      <c r="K65" s="61">
        <f t="shared" si="96"/>
        <v>2.5009999999999999</v>
      </c>
      <c r="L65" s="61">
        <f t="shared" si="97"/>
        <v>2.5009999999999999</v>
      </c>
      <c r="M65" s="61">
        <f t="shared" si="98"/>
        <v>2.5009999999999999</v>
      </c>
      <c r="N65" s="61">
        <f t="shared" si="99"/>
        <v>2.5009999999999999</v>
      </c>
      <c r="O65" s="186"/>
      <c r="P65" s="61">
        <f>$G65</f>
        <v>2.5009999999999999</v>
      </c>
      <c r="Q65" s="61">
        <f t="shared" si="107"/>
        <v>2.5009999999999999</v>
      </c>
      <c r="R65" s="61">
        <f t="shared" ref="R65:S65" si="115">Q65</f>
        <v>2.5009999999999999</v>
      </c>
      <c r="S65" s="61">
        <f t="shared" si="115"/>
        <v>2.5009999999999999</v>
      </c>
      <c r="T65" s="46">
        <f t="shared" si="101"/>
        <v>2.5009999999999999</v>
      </c>
      <c r="U65" s="46">
        <f t="shared" si="102"/>
        <v>2.5009999999999999</v>
      </c>
      <c r="V65" s="46">
        <f t="shared" si="109"/>
        <v>2.5009999999999999</v>
      </c>
      <c r="W65" s="233"/>
      <c r="X65" s="61">
        <f t="shared" si="110"/>
        <v>2.5009999999999999</v>
      </c>
      <c r="Y65" s="61">
        <f t="shared" si="111"/>
        <v>2.5009999999999999</v>
      </c>
      <c r="Z65" s="61">
        <f t="shared" si="112"/>
        <v>2.5009999999999999</v>
      </c>
      <c r="AA65" s="61">
        <f t="shared" si="113"/>
        <v>2.5009999999999999</v>
      </c>
      <c r="AB65" s="46">
        <f t="shared" si="104"/>
        <v>2.5009999999999999</v>
      </c>
      <c r="AC65" s="46">
        <f t="shared" si="105"/>
        <v>2.5009999999999999</v>
      </c>
      <c r="AD65" s="46">
        <f t="shared" si="114"/>
        <v>2.5009999999999999</v>
      </c>
      <c r="AE65" s="233"/>
      <c r="AF65" s="233"/>
      <c r="AG65" s="233"/>
      <c r="AH65" s="233"/>
      <c r="AI65" s="233"/>
      <c r="AJ65" s="233"/>
      <c r="AK65" s="233"/>
      <c r="AL65" s="233"/>
      <c r="AM65" s="233"/>
      <c r="AN65" s="233"/>
      <c r="AO65" s="233"/>
      <c r="AP65" s="233"/>
      <c r="AQ65" s="233"/>
      <c r="AR65" s="233"/>
      <c r="AS65" s="233"/>
    </row>
    <row r="66" spans="1:46">
      <c r="A66" s="185" t="s">
        <v>16</v>
      </c>
      <c r="B66" s="185" t="s">
        <v>414</v>
      </c>
      <c r="C66" s="185" t="s">
        <v>423</v>
      </c>
      <c r="D66" s="185" t="s">
        <v>147</v>
      </c>
      <c r="F66" s="49">
        <f>[2]Calib_1011!$AC28</f>
        <v>5.0070955734014992</v>
      </c>
      <c r="G66" s="61">
        <f t="shared" si="94"/>
        <v>5.0070955734014992</v>
      </c>
      <c r="H66" s="61">
        <f t="shared" si="94"/>
        <v>5.0070955734014992</v>
      </c>
      <c r="I66" s="61">
        <f t="shared" si="94"/>
        <v>5.0070955734014992</v>
      </c>
      <c r="J66" s="61">
        <f t="shared" si="95"/>
        <v>5.0070955734014992</v>
      </c>
      <c r="K66" s="61">
        <f t="shared" si="96"/>
        <v>5.0070955734014992</v>
      </c>
      <c r="L66" s="61">
        <f t="shared" si="97"/>
        <v>5.0070955734014992</v>
      </c>
      <c r="M66" s="61">
        <f t="shared" si="98"/>
        <v>5.0070955734014992</v>
      </c>
      <c r="N66" s="61">
        <f t="shared" si="99"/>
        <v>5.0070955734014992</v>
      </c>
      <c r="O66" s="186"/>
      <c r="P66" s="61">
        <f t="shared" si="106"/>
        <v>5.0070955734014992</v>
      </c>
      <c r="Q66" s="61">
        <f t="shared" si="107"/>
        <v>5.0070955734014992</v>
      </c>
      <c r="R66" s="61">
        <f t="shared" ref="R66:S66" si="116">Q66</f>
        <v>5.0070955734014992</v>
      </c>
      <c r="S66" s="61">
        <f t="shared" si="116"/>
        <v>5.0070955734014992</v>
      </c>
      <c r="T66" s="46">
        <f t="shared" si="101"/>
        <v>5.0070955734014992</v>
      </c>
      <c r="U66" s="46">
        <f t="shared" si="102"/>
        <v>5.0070955734014992</v>
      </c>
      <c r="V66" s="46">
        <f t="shared" si="109"/>
        <v>5.0070955734014992</v>
      </c>
      <c r="W66" s="233"/>
      <c r="X66" s="61">
        <f t="shared" si="110"/>
        <v>5.0070955734014992</v>
      </c>
      <c r="Y66" s="61">
        <f t="shared" si="111"/>
        <v>5.0070955734014992</v>
      </c>
      <c r="Z66" s="61">
        <f t="shared" si="112"/>
        <v>5.0070955734014992</v>
      </c>
      <c r="AA66" s="61">
        <f t="shared" si="113"/>
        <v>5.0070955734014992</v>
      </c>
      <c r="AB66" s="46">
        <f t="shared" si="104"/>
        <v>5.0070955734014992</v>
      </c>
      <c r="AC66" s="46">
        <f t="shared" si="105"/>
        <v>5.0070955734014992</v>
      </c>
      <c r="AD66" s="46">
        <f t="shared" si="114"/>
        <v>5.0070955734014992</v>
      </c>
      <c r="AE66" s="233"/>
      <c r="AF66" s="233"/>
      <c r="AG66" s="233"/>
      <c r="AH66" s="233"/>
      <c r="AI66" s="233"/>
      <c r="AJ66" s="233"/>
      <c r="AK66" s="233"/>
      <c r="AL66" s="233"/>
      <c r="AM66" s="233"/>
      <c r="AN66" s="233"/>
      <c r="AO66" s="233"/>
      <c r="AP66" s="233"/>
      <c r="AQ66" s="233"/>
      <c r="AR66" s="233"/>
      <c r="AS66" s="233"/>
    </row>
    <row r="67" spans="1:46">
      <c r="A67" s="185" t="s">
        <v>16</v>
      </c>
      <c r="B67" s="185" t="s">
        <v>415</v>
      </c>
      <c r="C67" s="185" t="s">
        <v>424</v>
      </c>
      <c r="D67" s="185" t="s">
        <v>147</v>
      </c>
      <c r="F67" s="49">
        <f>[2]Calib_1011!$AC29</f>
        <v>7.9193584801965402</v>
      </c>
      <c r="G67" s="61">
        <f t="shared" si="94"/>
        <v>7.9193584801965402</v>
      </c>
      <c r="H67" s="61">
        <f t="shared" si="94"/>
        <v>7.9193584801965402</v>
      </c>
      <c r="I67" s="61">
        <f t="shared" si="94"/>
        <v>7.9193584801965402</v>
      </c>
      <c r="J67" s="61">
        <f t="shared" si="95"/>
        <v>7.9193584801965402</v>
      </c>
      <c r="K67" s="61">
        <f t="shared" si="96"/>
        <v>7.9193584801965402</v>
      </c>
      <c r="L67" s="61">
        <f t="shared" si="97"/>
        <v>7.9193584801965402</v>
      </c>
      <c r="M67" s="61">
        <f t="shared" si="98"/>
        <v>7.9193584801965402</v>
      </c>
      <c r="N67" s="61">
        <f t="shared" si="99"/>
        <v>7.9193584801965402</v>
      </c>
      <c r="O67" s="186"/>
      <c r="P67" s="61">
        <f t="shared" si="106"/>
        <v>7.9193584801965402</v>
      </c>
      <c r="Q67" s="61">
        <f t="shared" si="107"/>
        <v>7.9193584801965402</v>
      </c>
      <c r="R67" s="61">
        <f t="shared" ref="R67:S67" si="117">Q67</f>
        <v>7.9193584801965402</v>
      </c>
      <c r="S67" s="61">
        <f t="shared" si="117"/>
        <v>7.9193584801965402</v>
      </c>
      <c r="T67" s="46">
        <f t="shared" si="101"/>
        <v>7.9193584801965402</v>
      </c>
      <c r="U67" s="46">
        <f t="shared" si="102"/>
        <v>7.9193584801965402</v>
      </c>
      <c r="V67" s="46">
        <f t="shared" si="109"/>
        <v>7.9193584801965402</v>
      </c>
      <c r="W67" s="233"/>
      <c r="X67" s="61">
        <f t="shared" si="110"/>
        <v>7.9193584801965402</v>
      </c>
      <c r="Y67" s="61">
        <f t="shared" si="111"/>
        <v>7.9193584801965402</v>
      </c>
      <c r="Z67" s="61">
        <f t="shared" si="112"/>
        <v>7.9193584801965402</v>
      </c>
      <c r="AA67" s="61">
        <f t="shared" si="113"/>
        <v>7.9193584801965402</v>
      </c>
      <c r="AB67" s="46">
        <f t="shared" si="104"/>
        <v>7.9193584801965402</v>
      </c>
      <c r="AC67" s="46">
        <f t="shared" si="105"/>
        <v>7.9193584801965402</v>
      </c>
      <c r="AD67" s="46">
        <f t="shared" si="114"/>
        <v>7.9193584801965402</v>
      </c>
      <c r="AE67" s="233"/>
      <c r="AF67" s="233"/>
      <c r="AG67" s="233"/>
      <c r="AH67" s="233"/>
      <c r="AI67" s="233"/>
      <c r="AJ67" s="233"/>
      <c r="AK67" s="233"/>
      <c r="AL67" s="233"/>
      <c r="AM67" s="233"/>
      <c r="AN67" s="233"/>
      <c r="AO67" s="233"/>
      <c r="AP67" s="233"/>
      <c r="AQ67" s="233"/>
      <c r="AR67" s="233"/>
      <c r="AS67" s="233"/>
    </row>
    <row r="68" spans="1:46">
      <c r="A68" s="185" t="s">
        <v>16</v>
      </c>
      <c r="B68" s="185" t="s">
        <v>416</v>
      </c>
      <c r="C68" s="185" t="s">
        <v>425</v>
      </c>
      <c r="D68" s="185" t="s">
        <v>147</v>
      </c>
      <c r="F68" s="49">
        <f>[2]Calib_1011!$AC30</f>
        <v>10.886935146339562</v>
      </c>
      <c r="G68" s="61">
        <f t="shared" si="94"/>
        <v>10.886935146339562</v>
      </c>
      <c r="H68" s="61">
        <f t="shared" si="94"/>
        <v>10.886935146339562</v>
      </c>
      <c r="I68" s="61">
        <f t="shared" si="94"/>
        <v>10.886935146339562</v>
      </c>
      <c r="J68" s="61">
        <f t="shared" si="95"/>
        <v>10.886935146339562</v>
      </c>
      <c r="K68" s="61">
        <f t="shared" si="96"/>
        <v>10.886935146339562</v>
      </c>
      <c r="L68" s="61">
        <f t="shared" si="97"/>
        <v>10.886935146339562</v>
      </c>
      <c r="M68" s="61">
        <f t="shared" si="98"/>
        <v>10.886935146339562</v>
      </c>
      <c r="N68" s="61">
        <f t="shared" si="99"/>
        <v>10.886935146339562</v>
      </c>
      <c r="O68" s="186"/>
      <c r="P68" s="61">
        <f t="shared" si="106"/>
        <v>10.886935146339562</v>
      </c>
      <c r="Q68" s="61">
        <f t="shared" si="107"/>
        <v>10.886935146339562</v>
      </c>
      <c r="R68" s="61">
        <f t="shared" ref="R68:S68" si="118">Q68</f>
        <v>10.886935146339562</v>
      </c>
      <c r="S68" s="61">
        <f t="shared" si="118"/>
        <v>10.886935146339562</v>
      </c>
      <c r="T68" s="46">
        <f t="shared" si="101"/>
        <v>10.886935146339562</v>
      </c>
      <c r="U68" s="46">
        <f t="shared" si="102"/>
        <v>10.886935146339562</v>
      </c>
      <c r="V68" s="46">
        <f t="shared" si="109"/>
        <v>10.886935146339562</v>
      </c>
      <c r="W68" s="233"/>
      <c r="X68" s="61">
        <f t="shared" si="110"/>
        <v>10.886935146339562</v>
      </c>
      <c r="Y68" s="61">
        <f t="shared" si="111"/>
        <v>10.886935146339562</v>
      </c>
      <c r="Z68" s="61">
        <f t="shared" si="112"/>
        <v>10.886935146339562</v>
      </c>
      <c r="AA68" s="61">
        <f t="shared" si="113"/>
        <v>10.886935146339562</v>
      </c>
      <c r="AB68" s="46">
        <f t="shared" si="104"/>
        <v>10.886935146339562</v>
      </c>
      <c r="AC68" s="46">
        <f t="shared" si="105"/>
        <v>10.886935146339562</v>
      </c>
      <c r="AD68" s="46">
        <f t="shared" si="114"/>
        <v>10.886935146339562</v>
      </c>
      <c r="AE68" s="233"/>
      <c r="AF68" s="233"/>
      <c r="AG68" s="233"/>
      <c r="AH68" s="233"/>
      <c r="AI68" s="233"/>
      <c r="AJ68" s="233"/>
      <c r="AK68" s="233"/>
      <c r="AL68" s="233"/>
      <c r="AM68" s="233"/>
      <c r="AN68" s="233"/>
      <c r="AO68" s="233"/>
      <c r="AP68" s="233"/>
      <c r="AQ68" s="233"/>
      <c r="AR68" s="233"/>
      <c r="AS68" s="233"/>
    </row>
    <row r="69" spans="1:46">
      <c r="A69" s="185" t="s">
        <v>16</v>
      </c>
      <c r="B69" s="185" t="s">
        <v>417</v>
      </c>
      <c r="C69" s="185" t="s">
        <v>426</v>
      </c>
      <c r="D69" s="185" t="s">
        <v>147</v>
      </c>
      <c r="F69" s="49">
        <f>[2]Calib_1011!$AC31</f>
        <v>19.520776457571557</v>
      </c>
      <c r="G69" s="61">
        <f t="shared" si="94"/>
        <v>19.520776457571557</v>
      </c>
      <c r="H69" s="61">
        <f t="shared" si="94"/>
        <v>19.520776457571557</v>
      </c>
      <c r="I69" s="61">
        <v>19.520776457571557</v>
      </c>
      <c r="J69" s="61">
        <f t="shared" si="95"/>
        <v>19.520776457571557</v>
      </c>
      <c r="K69" s="61">
        <f t="shared" si="96"/>
        <v>19.520776457571557</v>
      </c>
      <c r="L69" s="61">
        <f t="shared" si="97"/>
        <v>19.520776457571557</v>
      </c>
      <c r="M69" s="61">
        <f t="shared" si="98"/>
        <v>19.520776457571557</v>
      </c>
      <c r="N69" s="61">
        <f t="shared" si="99"/>
        <v>19.520776457571557</v>
      </c>
      <c r="O69" s="186"/>
      <c r="P69" s="61">
        <f t="shared" si="106"/>
        <v>19.520776457571557</v>
      </c>
      <c r="Q69" s="61">
        <f t="shared" si="107"/>
        <v>19.520776457571557</v>
      </c>
      <c r="R69" s="61">
        <f t="shared" ref="R69:S69" si="119">Q69</f>
        <v>19.520776457571557</v>
      </c>
      <c r="S69" s="61">
        <f t="shared" si="119"/>
        <v>19.520776457571557</v>
      </c>
      <c r="T69" s="46">
        <f t="shared" si="101"/>
        <v>19.520776457571557</v>
      </c>
      <c r="U69" s="46">
        <f t="shared" si="102"/>
        <v>19.520776457571557</v>
      </c>
      <c r="V69" s="46">
        <f t="shared" si="109"/>
        <v>19.520776457571557</v>
      </c>
      <c r="W69" s="233"/>
      <c r="X69" s="61">
        <f t="shared" si="110"/>
        <v>19.520776457571557</v>
      </c>
      <c r="Y69" s="61">
        <f t="shared" si="111"/>
        <v>19.520776457571557</v>
      </c>
      <c r="Z69" s="61">
        <f t="shared" si="112"/>
        <v>19.520776457571557</v>
      </c>
      <c r="AA69" s="61">
        <f t="shared" si="113"/>
        <v>19.520776457571557</v>
      </c>
      <c r="AB69" s="46">
        <f t="shared" si="104"/>
        <v>19.520776457571557</v>
      </c>
      <c r="AC69" s="46">
        <f t="shared" si="105"/>
        <v>19.520776457571557</v>
      </c>
      <c r="AD69" s="46">
        <f t="shared" si="114"/>
        <v>19.520776457571557</v>
      </c>
      <c r="AE69" s="233"/>
      <c r="AF69" s="233"/>
      <c r="AG69" s="233"/>
      <c r="AH69" s="233"/>
      <c r="AI69" s="233"/>
      <c r="AJ69" s="233"/>
      <c r="AK69" s="233"/>
      <c r="AL69" s="233"/>
      <c r="AM69" s="233"/>
      <c r="AN69" s="233"/>
      <c r="AO69" s="233"/>
      <c r="AP69" s="233"/>
      <c r="AQ69" s="233"/>
      <c r="AR69" s="233"/>
      <c r="AS69" s="233"/>
    </row>
    <row r="70" spans="1:46">
      <c r="A70" s="185" t="s">
        <v>16</v>
      </c>
      <c r="B70" s="185" t="s">
        <v>418</v>
      </c>
      <c r="C70" s="185" t="s">
        <v>427</v>
      </c>
      <c r="D70" s="185" t="s">
        <v>147</v>
      </c>
      <c r="F70" s="49">
        <f>[2]Calib_1011!$AC32</f>
        <v>17.889918497338776</v>
      </c>
      <c r="G70" s="61">
        <f t="shared" si="94"/>
        <v>17.889918497338776</v>
      </c>
      <c r="H70" s="61">
        <f t="shared" si="94"/>
        <v>17.889918497338776</v>
      </c>
      <c r="I70" s="61">
        <f t="shared" si="94"/>
        <v>17.889918497338776</v>
      </c>
      <c r="J70" s="61">
        <f t="shared" si="95"/>
        <v>17.889918497338776</v>
      </c>
      <c r="K70" s="61">
        <f t="shared" si="96"/>
        <v>17.889918497338776</v>
      </c>
      <c r="L70" s="61">
        <f t="shared" si="97"/>
        <v>17.889918497338776</v>
      </c>
      <c r="M70" s="61">
        <f t="shared" si="98"/>
        <v>17.889918497338776</v>
      </c>
      <c r="N70" s="61">
        <f t="shared" si="99"/>
        <v>17.889918497338776</v>
      </c>
      <c r="O70" s="186"/>
      <c r="P70" s="61">
        <f t="shared" si="106"/>
        <v>17.889918497338776</v>
      </c>
      <c r="Q70" s="61">
        <f t="shared" si="107"/>
        <v>17.889918497338776</v>
      </c>
      <c r="R70" s="61">
        <f t="shared" ref="R70:S70" si="120">Q70</f>
        <v>17.889918497338776</v>
      </c>
      <c r="S70" s="61">
        <f t="shared" si="120"/>
        <v>17.889918497338776</v>
      </c>
      <c r="T70" s="46">
        <f t="shared" si="101"/>
        <v>17.889918497338776</v>
      </c>
      <c r="U70" s="46">
        <f t="shared" si="102"/>
        <v>17.889918497338776</v>
      </c>
      <c r="V70" s="46">
        <f t="shared" si="109"/>
        <v>17.889918497338776</v>
      </c>
      <c r="W70" s="233"/>
      <c r="X70" s="61">
        <f t="shared" si="110"/>
        <v>17.889918497338776</v>
      </c>
      <c r="Y70" s="61">
        <f t="shared" si="111"/>
        <v>17.889918497338776</v>
      </c>
      <c r="Z70" s="61">
        <f t="shared" si="112"/>
        <v>17.889918497338776</v>
      </c>
      <c r="AA70" s="61">
        <f t="shared" si="113"/>
        <v>17.889918497338776</v>
      </c>
      <c r="AB70" s="46">
        <f t="shared" si="104"/>
        <v>17.889918497338776</v>
      </c>
      <c r="AC70" s="46">
        <f t="shared" si="105"/>
        <v>17.889918497338776</v>
      </c>
      <c r="AD70" s="46">
        <f t="shared" si="114"/>
        <v>17.889918497338776</v>
      </c>
      <c r="AE70" s="233"/>
      <c r="AF70" s="233"/>
      <c r="AG70" s="233"/>
      <c r="AH70" s="233"/>
      <c r="AI70" s="233"/>
      <c r="AJ70" s="233"/>
      <c r="AK70" s="233"/>
      <c r="AL70" s="233"/>
      <c r="AM70" s="233"/>
      <c r="AN70" s="233"/>
      <c r="AO70" s="233"/>
      <c r="AP70" s="233"/>
      <c r="AQ70" s="233"/>
      <c r="AR70" s="233"/>
      <c r="AS70" s="233"/>
    </row>
    <row r="71" spans="1:46">
      <c r="A71" s="185" t="s">
        <v>16</v>
      </c>
      <c r="B71" s="185" t="s">
        <v>419</v>
      </c>
      <c r="C71" s="185" t="s">
        <v>428</v>
      </c>
      <c r="D71" s="185" t="s">
        <v>147</v>
      </c>
      <c r="F71" s="49">
        <f>[2]Calib_1011!$AC33</f>
        <v>18.402975262404723</v>
      </c>
      <c r="G71" s="61">
        <f t="shared" si="94"/>
        <v>18.402975262404723</v>
      </c>
      <c r="H71" s="61">
        <f t="shared" si="94"/>
        <v>18.402975262404723</v>
      </c>
      <c r="I71" s="61">
        <f t="shared" si="94"/>
        <v>18.402975262404723</v>
      </c>
      <c r="J71" s="61">
        <f t="shared" si="95"/>
        <v>18.402975262404723</v>
      </c>
      <c r="K71" s="61">
        <f t="shared" si="96"/>
        <v>18.402975262404723</v>
      </c>
      <c r="L71" s="61">
        <f t="shared" si="97"/>
        <v>18.402975262404723</v>
      </c>
      <c r="M71" s="61">
        <f t="shared" si="98"/>
        <v>18.402975262404723</v>
      </c>
      <c r="N71" s="61">
        <f t="shared" si="99"/>
        <v>18.402975262404723</v>
      </c>
      <c r="O71" s="186"/>
      <c r="P71" s="61">
        <f>$G71</f>
        <v>18.402975262404723</v>
      </c>
      <c r="Q71" s="61">
        <f t="shared" si="107"/>
        <v>18.402975262404723</v>
      </c>
      <c r="R71" s="61">
        <f t="shared" ref="R71:S71" si="121">Q71</f>
        <v>18.402975262404723</v>
      </c>
      <c r="S71" s="61">
        <f t="shared" si="121"/>
        <v>18.402975262404723</v>
      </c>
      <c r="T71" s="46">
        <f t="shared" si="101"/>
        <v>18.402975262404723</v>
      </c>
      <c r="U71" s="46">
        <f t="shared" si="102"/>
        <v>18.402975262404723</v>
      </c>
      <c r="V71" s="46">
        <f>T71</f>
        <v>18.402975262404723</v>
      </c>
      <c r="W71" s="233"/>
      <c r="X71" s="61">
        <f t="shared" si="110"/>
        <v>18.402975262404723</v>
      </c>
      <c r="Y71" s="61">
        <f t="shared" si="111"/>
        <v>18.402975262404723</v>
      </c>
      <c r="Z71" s="61">
        <f t="shared" si="112"/>
        <v>18.402975262404723</v>
      </c>
      <c r="AA71" s="61">
        <f t="shared" si="113"/>
        <v>18.402975262404723</v>
      </c>
      <c r="AB71" s="46">
        <f t="shared" si="104"/>
        <v>18.402975262404723</v>
      </c>
      <c r="AC71" s="46">
        <f t="shared" si="105"/>
        <v>18.402975262404723</v>
      </c>
      <c r="AD71" s="46">
        <f>AB71</f>
        <v>18.402975262404723</v>
      </c>
      <c r="AE71" s="233"/>
      <c r="AF71" s="233"/>
      <c r="AG71" s="233"/>
      <c r="AH71" s="233"/>
      <c r="AI71" s="233"/>
      <c r="AJ71" s="233"/>
      <c r="AK71" s="233"/>
      <c r="AL71" s="233"/>
      <c r="AM71" s="233"/>
      <c r="AN71" s="233"/>
      <c r="AO71" s="233"/>
      <c r="AP71" s="233"/>
      <c r="AQ71" s="233"/>
      <c r="AR71" s="233"/>
      <c r="AS71" s="233"/>
    </row>
    <row r="72" spans="1:46">
      <c r="A72" s="185" t="s">
        <v>16</v>
      </c>
      <c r="B72" s="185" t="s">
        <v>420</v>
      </c>
      <c r="C72" s="185" t="s">
        <v>429</v>
      </c>
      <c r="D72" s="185" t="s">
        <v>147</v>
      </c>
      <c r="F72" s="49">
        <f>[2]Calib_1011!$AC34</f>
        <v>21.907017031495844</v>
      </c>
      <c r="G72" s="61">
        <f>F72</f>
        <v>21.907017031495844</v>
      </c>
      <c r="H72" s="61">
        <f t="shared" si="94"/>
        <v>21.907017031495844</v>
      </c>
      <c r="I72" s="61">
        <f t="shared" si="94"/>
        <v>21.907017031495844</v>
      </c>
      <c r="J72" s="61">
        <f t="shared" si="95"/>
        <v>21.907017031495844</v>
      </c>
      <c r="K72" s="61">
        <f t="shared" si="96"/>
        <v>21.907017031495844</v>
      </c>
      <c r="L72" s="61">
        <f t="shared" si="97"/>
        <v>21.907017031495844</v>
      </c>
      <c r="M72" s="61">
        <f t="shared" si="98"/>
        <v>21.907017031495844</v>
      </c>
      <c r="N72" s="61">
        <f t="shared" si="99"/>
        <v>21.907017031495844</v>
      </c>
      <c r="O72" s="186"/>
      <c r="P72" s="61">
        <f>$G72</f>
        <v>21.907017031495844</v>
      </c>
      <c r="Q72" s="61">
        <f>P72</f>
        <v>21.907017031495844</v>
      </c>
      <c r="R72" s="61">
        <f t="shared" ref="R72:S72" si="122">Q72</f>
        <v>21.907017031495844</v>
      </c>
      <c r="S72" s="61">
        <f t="shared" si="122"/>
        <v>21.907017031495844</v>
      </c>
      <c r="T72" s="46">
        <f t="shared" si="101"/>
        <v>21.907017031495844</v>
      </c>
      <c r="U72" s="46">
        <f t="shared" si="102"/>
        <v>21.907017031495844</v>
      </c>
      <c r="V72" s="46">
        <f>T72</f>
        <v>21.907017031495844</v>
      </c>
      <c r="W72" s="233"/>
      <c r="X72" s="61">
        <f t="shared" si="110"/>
        <v>21.907017031495844</v>
      </c>
      <c r="Y72" s="61">
        <f t="shared" si="111"/>
        <v>21.907017031495844</v>
      </c>
      <c r="Z72" s="61">
        <f t="shared" si="112"/>
        <v>21.907017031495844</v>
      </c>
      <c r="AA72" s="61">
        <f t="shared" si="113"/>
        <v>21.907017031495844</v>
      </c>
      <c r="AB72" s="46">
        <f t="shared" si="104"/>
        <v>21.907017031495844</v>
      </c>
      <c r="AC72" s="46">
        <f t="shared" si="105"/>
        <v>21.907017031495844</v>
      </c>
      <c r="AD72" s="46">
        <f>AB72</f>
        <v>21.907017031495844</v>
      </c>
      <c r="AE72" s="233"/>
      <c r="AF72" s="233"/>
      <c r="AG72" s="233"/>
      <c r="AH72" s="233"/>
      <c r="AI72" s="233"/>
      <c r="AJ72" s="233"/>
      <c r="AK72" s="233"/>
      <c r="AL72" s="233"/>
      <c r="AM72" s="233"/>
      <c r="AN72" s="233"/>
      <c r="AO72" s="233"/>
      <c r="AP72" s="233"/>
      <c r="AQ72" s="233"/>
      <c r="AR72" s="233"/>
      <c r="AS72" s="233"/>
    </row>
    <row r="73" spans="1:46">
      <c r="A73" s="185" t="s">
        <v>16</v>
      </c>
      <c r="P73" s="61">
        <f>SUM(P86:P88)/P89</f>
        <v>0.40085162724553985</v>
      </c>
      <c r="Q73" s="61"/>
      <c r="R73" s="61"/>
      <c r="S73" s="61"/>
    </row>
    <row r="74" spans="1:46">
      <c r="A74" s="185" t="s">
        <v>16</v>
      </c>
      <c r="P74" s="5" t="s">
        <v>41</v>
      </c>
      <c r="X74" s="5" t="s">
        <v>197</v>
      </c>
      <c r="AI74" s="185" t="s">
        <v>476</v>
      </c>
    </row>
    <row r="75" spans="1:46" ht="15.75" thickBot="1">
      <c r="A75" s="185" t="s">
        <v>16</v>
      </c>
      <c r="B75" s="14" t="s">
        <v>210</v>
      </c>
      <c r="C75" s="14"/>
      <c r="D75" s="14"/>
      <c r="E75" s="259" t="s">
        <v>628</v>
      </c>
      <c r="F75" s="185">
        <f t="shared" ref="F75:K75" si="123">F$4</f>
        <v>2012</v>
      </c>
      <c r="G75" s="185">
        <f t="shared" si="123"/>
        <v>2015</v>
      </c>
      <c r="H75" s="185">
        <f t="shared" si="123"/>
        <v>2017</v>
      </c>
      <c r="I75" s="281">
        <f t="shared" si="123"/>
        <v>2019</v>
      </c>
      <c r="J75" s="281">
        <f t="shared" si="123"/>
        <v>2020</v>
      </c>
      <c r="K75" s="281">
        <f t="shared" si="123"/>
        <v>2021</v>
      </c>
      <c r="L75" s="185">
        <f>L$4</f>
        <v>2030</v>
      </c>
      <c r="M75" s="185">
        <f>M$4</f>
        <v>2040</v>
      </c>
      <c r="N75" s="185">
        <f>N$4</f>
        <v>2050</v>
      </c>
      <c r="P75" s="7">
        <f t="shared" ref="P75:T75" si="124">P$4</f>
        <v>2015</v>
      </c>
      <c r="Q75" s="7">
        <f t="shared" si="124"/>
        <v>2019</v>
      </c>
      <c r="R75" s="7">
        <f t="shared" si="124"/>
        <v>2020</v>
      </c>
      <c r="S75" s="7">
        <f t="shared" si="124"/>
        <v>2021</v>
      </c>
      <c r="T75" s="7">
        <f t="shared" si="124"/>
        <v>2030</v>
      </c>
      <c r="U75" s="7">
        <f>U$4</f>
        <v>2040</v>
      </c>
      <c r="V75" s="7">
        <f>V$4</f>
        <v>2050</v>
      </c>
      <c r="W75" s="185">
        <f>W$4</f>
        <v>0</v>
      </c>
      <c r="X75" s="7">
        <f t="shared" ref="X75:AD75" si="125">P75</f>
        <v>2015</v>
      </c>
      <c r="Y75" s="7">
        <f t="shared" si="125"/>
        <v>2019</v>
      </c>
      <c r="Z75" s="7">
        <f t="shared" si="125"/>
        <v>2020</v>
      </c>
      <c r="AA75" s="7">
        <f t="shared" si="125"/>
        <v>2021</v>
      </c>
      <c r="AB75" s="7">
        <f t="shared" si="125"/>
        <v>2030</v>
      </c>
      <c r="AC75" s="7">
        <f t="shared" si="125"/>
        <v>2040</v>
      </c>
      <c r="AD75" s="7">
        <f t="shared" si="125"/>
        <v>2050</v>
      </c>
      <c r="AJ75" s="7" t="str">
        <f>P74</f>
        <v>Reference</v>
      </c>
      <c r="AP75" s="7" t="s">
        <v>629</v>
      </c>
    </row>
    <row r="76" spans="1:46">
      <c r="A76" s="185" t="s">
        <v>16</v>
      </c>
      <c r="B76" s="186" t="str">
        <f>B92</f>
        <v>TFLCV</v>
      </c>
      <c r="C76" s="186" t="str">
        <f>C92</f>
        <v>Transport Freight - LCV</v>
      </c>
      <c r="D76" s="185" t="s">
        <v>149</v>
      </c>
      <c r="E76" s="260">
        <v>21.7</v>
      </c>
      <c r="F76" s="234">
        <f>F63*F92</f>
        <v>17.310372778407704</v>
      </c>
      <c r="G76" s="234">
        <f t="shared" ref="G76:H76" si="126">G63*G92</f>
        <v>18.120758900121242</v>
      </c>
      <c r="H76" s="234">
        <f t="shared" si="126"/>
        <v>18.931145021834784</v>
      </c>
      <c r="I76" s="234">
        <f t="shared" ref="I76:N85" si="127">I63*I92</f>
        <v>19.166790908504293</v>
      </c>
      <c r="J76" s="234">
        <f t="shared" si="127"/>
        <v>17.606790705410827</v>
      </c>
      <c r="K76" s="234">
        <f>K63*K92</f>
        <v>18.363497083448415</v>
      </c>
      <c r="L76" s="234">
        <f t="shared" si="127"/>
        <v>21.307547009301889</v>
      </c>
      <c r="M76" s="234">
        <f t="shared" si="127"/>
        <v>25.892301305945967</v>
      </c>
      <c r="N76" s="234">
        <f t="shared" si="127"/>
        <v>31.963788883729556</v>
      </c>
      <c r="O76" s="8"/>
      <c r="P76" s="234">
        <f>P43</f>
        <v>18.120758900121242</v>
      </c>
      <c r="Q76" s="234">
        <f t="shared" ref="Q76:V76" si="128">Q43</f>
        <v>19.166790908504293</v>
      </c>
      <c r="R76" s="234">
        <f t="shared" si="128"/>
        <v>17.606790705410827</v>
      </c>
      <c r="S76" s="234">
        <f t="shared" si="128"/>
        <v>18.363497083448415</v>
      </c>
      <c r="T76" s="234">
        <f t="shared" si="128"/>
        <v>21.307547009301889</v>
      </c>
      <c r="U76" s="234">
        <f t="shared" si="128"/>
        <v>25.892301305945971</v>
      </c>
      <c r="V76" s="234">
        <f t="shared" si="128"/>
        <v>31.963788883729556</v>
      </c>
      <c r="W76" s="8"/>
      <c r="X76" s="234">
        <f>X43</f>
        <v>18.120758900121242</v>
      </c>
      <c r="Y76" s="234">
        <f>Y43</f>
        <v>19.166790908504293</v>
      </c>
      <c r="Z76" s="234">
        <f t="shared" ref="Z76:AD76" si="129">Z43</f>
        <v>17.606790705410827</v>
      </c>
      <c r="AA76" s="234">
        <f t="shared" si="129"/>
        <v>18.363497083448415</v>
      </c>
      <c r="AB76" s="234">
        <f t="shared" si="129"/>
        <v>21.307547009301889</v>
      </c>
      <c r="AC76" s="234">
        <f t="shared" si="129"/>
        <v>25.892301305945971</v>
      </c>
      <c r="AD76" s="234">
        <f t="shared" si="129"/>
        <v>31.963788883729556</v>
      </c>
      <c r="AJ76" s="7">
        <f>P75</f>
        <v>2015</v>
      </c>
      <c r="AK76" s="7">
        <f>R75</f>
        <v>2020</v>
      </c>
      <c r="AL76" s="7">
        <f>T75</f>
        <v>2030</v>
      </c>
      <c r="AM76" s="7">
        <f>U75</f>
        <v>2040</v>
      </c>
      <c r="AN76" s="7">
        <f>V75</f>
        <v>2050</v>
      </c>
      <c r="AO76" s="7"/>
      <c r="AP76" s="7">
        <f>X75</f>
        <v>2015</v>
      </c>
      <c r="AQ76" s="7">
        <f>Z75</f>
        <v>2020</v>
      </c>
      <c r="AR76" s="7">
        <f>AB75</f>
        <v>2030</v>
      </c>
      <c r="AS76" s="7">
        <f>AC75</f>
        <v>2040</v>
      </c>
      <c r="AT76" s="7">
        <f>AD75</f>
        <v>2050</v>
      </c>
    </row>
    <row r="77" spans="1:46">
      <c r="A77" s="185" t="s">
        <v>16</v>
      </c>
      <c r="B77" s="186" t="str">
        <f t="shared" ref="B77:C88" si="130">B93</f>
        <v>TFHCV1</v>
      </c>
      <c r="C77" s="186" t="str">
        <f t="shared" si="130"/>
        <v>Transport Freight - HCV1</v>
      </c>
      <c r="D77" s="185" t="s">
        <v>149</v>
      </c>
      <c r="E77" s="260">
        <v>7</v>
      </c>
      <c r="F77" s="234">
        <f t="shared" ref="F77:H77" si="131">F64*F93</f>
        <v>5.4335092951131081</v>
      </c>
      <c r="G77" s="234">
        <f t="shared" si="131"/>
        <v>5.4263341725680903</v>
      </c>
      <c r="H77" s="234">
        <f t="shared" si="131"/>
        <v>5.4191590500230733</v>
      </c>
      <c r="I77" s="234">
        <f t="shared" si="127"/>
        <v>5.4866141636927921</v>
      </c>
      <c r="J77" s="234">
        <f t="shared" si="127"/>
        <v>5.1703734350261135</v>
      </c>
      <c r="K77" s="234">
        <f t="shared" si="127"/>
        <v>5.2566662658314449</v>
      </c>
      <c r="L77" s="234">
        <f t="shared" si="127"/>
        <v>6.2571298123404366</v>
      </c>
      <c r="M77" s="234">
        <f t="shared" si="127"/>
        <v>7.603479196399709</v>
      </c>
      <c r="N77" s="234">
        <f t="shared" si="127"/>
        <v>9.3864195748308621</v>
      </c>
      <c r="O77" s="8"/>
      <c r="P77" s="234">
        <f>P46</f>
        <v>5.725786025053389</v>
      </c>
      <c r="Q77" s="234">
        <f t="shared" ref="Q77:V77" si="132">Q46</f>
        <v>5.9036614240138503</v>
      </c>
      <c r="R77" s="234">
        <f t="shared" si="132"/>
        <v>5.5633826774444142</v>
      </c>
      <c r="S77" s="234">
        <f t="shared" si="132"/>
        <v>5.6567763722279709</v>
      </c>
      <c r="T77" s="234">
        <f t="shared" si="132"/>
        <v>6.7327453318311399</v>
      </c>
      <c r="U77" s="234">
        <f t="shared" si="132"/>
        <v>8.1814331171894299</v>
      </c>
      <c r="V77" s="234">
        <f t="shared" si="132"/>
        <v>10.099897951679662</v>
      </c>
      <c r="W77" s="8"/>
      <c r="X77" s="234">
        <f>X46</f>
        <v>5.725786025053389</v>
      </c>
      <c r="Y77" s="234">
        <f>Y46</f>
        <v>5.9036614240138503</v>
      </c>
      <c r="Z77" s="234">
        <f t="shared" ref="Z77:AD77" si="133">Z46</f>
        <v>5.5633826774444142</v>
      </c>
      <c r="AA77" s="234">
        <f t="shared" si="133"/>
        <v>5.6567763722279709</v>
      </c>
      <c r="AB77" s="234">
        <f t="shared" si="133"/>
        <v>6.3961080652395834</v>
      </c>
      <c r="AC77" s="234">
        <f t="shared" si="133"/>
        <v>7.3837433882634604</v>
      </c>
      <c r="AD77" s="234">
        <f t="shared" si="133"/>
        <v>8.6594000063213503</v>
      </c>
      <c r="AI77" s="185" t="s">
        <v>592</v>
      </c>
      <c r="AJ77" s="186">
        <f>SUM(P78:P85)</f>
        <v>172.90467243861579</v>
      </c>
      <c r="AK77" s="186">
        <f>SUM(R78:R85)</f>
        <v>168.00049028818296</v>
      </c>
      <c r="AL77" s="186">
        <f>SUM(T78:T85)</f>
        <v>203.31236988584951</v>
      </c>
      <c r="AM77" s="186">
        <f>SUM(U78:U85)</f>
        <v>247.0591822705934</v>
      </c>
      <c r="AN77" s="186">
        <f>SUM(V78:V85)</f>
        <v>304.99210752157563</v>
      </c>
      <c r="AO77" s="186"/>
      <c r="AP77" s="186">
        <f>SUM(G78:G85)</f>
        <v>181.50313258938655</v>
      </c>
      <c r="AQ77" s="186">
        <f>SUM(J78:J85)</f>
        <v>190.61046946456293</v>
      </c>
      <c r="AR77" s="186">
        <f>SUM(L78:L85)</f>
        <v>230.67472127859938</v>
      </c>
      <c r="AS77" s="186">
        <f>SUM(M78:M85)</f>
        <v>280.30910289219111</v>
      </c>
      <c r="AT77" s="186">
        <f>SUM(N78:N85)</f>
        <v>346.03880439843664</v>
      </c>
    </row>
    <row r="78" spans="1:46">
      <c r="A78" s="185" t="s">
        <v>16</v>
      </c>
      <c r="B78" s="186" t="str">
        <f t="shared" si="130"/>
        <v>TFHCV2</v>
      </c>
      <c r="C78" s="186" t="str">
        <f t="shared" si="130"/>
        <v>Transport Freight - HCV2</v>
      </c>
      <c r="D78" s="185" t="s">
        <v>149</v>
      </c>
      <c r="E78" s="260">
        <v>2.011130021669262</v>
      </c>
      <c r="F78" s="234">
        <f t="shared" ref="F78:H78" si="134">F65*F94</f>
        <v>2.2763173637182028</v>
      </c>
      <c r="G78" s="234">
        <f t="shared" si="134"/>
        <v>2.3924342095881879</v>
      </c>
      <c r="H78" s="234">
        <f t="shared" si="134"/>
        <v>2.5085510554581725</v>
      </c>
      <c r="I78" s="234">
        <f t="shared" si="127"/>
        <v>2.539776305544069</v>
      </c>
      <c r="J78" s="234">
        <f t="shared" si="127"/>
        <v>2.3933871690834438</v>
      </c>
      <c r="K78" s="234">
        <f t="shared" si="127"/>
        <v>2.433332476057644</v>
      </c>
      <c r="L78" s="234">
        <f t="shared" si="127"/>
        <v>2.896451174434262</v>
      </c>
      <c r="M78" s="234">
        <f t="shared" si="127"/>
        <v>3.5196818523349171</v>
      </c>
      <c r="N78" s="234">
        <f t="shared" si="127"/>
        <v>4.3450123006289969</v>
      </c>
      <c r="O78" s="8"/>
      <c r="P78" s="234">
        <f>P51</f>
        <v>2.3987639372378653</v>
      </c>
      <c r="Q78" s="234">
        <f t="shared" ref="Q78:V78" si="135">Q51</f>
        <v>2.4732805331425385</v>
      </c>
      <c r="R78" s="234">
        <f t="shared" si="135"/>
        <v>2.3307265897319418</v>
      </c>
      <c r="S78" s="234">
        <f t="shared" si="135"/>
        <v>2.3698504837799264</v>
      </c>
      <c r="T78" s="234">
        <f t="shared" si="135"/>
        <v>2.8206200214148818</v>
      </c>
      <c r="U78" s="234">
        <f t="shared" si="135"/>
        <v>3.4275340766431426</v>
      </c>
      <c r="V78" s="234">
        <f t="shared" si="135"/>
        <v>4.2312567864507047</v>
      </c>
      <c r="W78" s="8"/>
      <c r="X78" s="234">
        <f>X51</f>
        <v>2.3987639372378653</v>
      </c>
      <c r="Y78" s="234">
        <f>Y51</f>
        <v>2.4732805331425385</v>
      </c>
      <c r="Z78" s="234">
        <f t="shared" ref="Z78:AD78" si="136">Z51</f>
        <v>2.3307265897319418</v>
      </c>
      <c r="AA78" s="234">
        <f t="shared" si="136"/>
        <v>2.3698504837799264</v>
      </c>
      <c r="AB78" s="234">
        <f t="shared" si="136"/>
        <v>2.6795890203441379</v>
      </c>
      <c r="AC78" s="234">
        <f t="shared" si="136"/>
        <v>3.093349504170436</v>
      </c>
      <c r="AD78" s="234">
        <f t="shared" si="136"/>
        <v>3.6277737872831728</v>
      </c>
      <c r="AI78" s="185" t="s">
        <v>627</v>
      </c>
      <c r="AJ78" s="186">
        <f>P86</f>
        <v>23.183413464382845</v>
      </c>
      <c r="AK78" s="186">
        <f>R86</f>
        <v>22.525850653068453</v>
      </c>
      <c r="AL78" s="186">
        <f>T86</f>
        <v>27.260539966961023</v>
      </c>
      <c r="AM78" s="186">
        <f>U86</f>
        <v>33.126202386375169</v>
      </c>
      <c r="AN78" s="186">
        <f>V86</f>
        <v>40.89396794384745</v>
      </c>
      <c r="AO78" s="186"/>
      <c r="AP78" s="186">
        <f>H86</f>
        <v>23.609739017898917</v>
      </c>
      <c r="AQ78" s="186">
        <f>J86</f>
        <v>22.525850653068453</v>
      </c>
      <c r="AR78" s="186">
        <f>L86</f>
        <v>27.260539966961023</v>
      </c>
      <c r="AS78" s="186">
        <f>M86</f>
        <v>33.126202386375169</v>
      </c>
      <c r="AT78" s="186">
        <f>N86</f>
        <v>40.89396794384745</v>
      </c>
    </row>
    <row r="79" spans="1:46">
      <c r="A79" s="185" t="s">
        <v>16</v>
      </c>
      <c r="B79" s="186" t="str">
        <f t="shared" si="130"/>
        <v>TFHCV3</v>
      </c>
      <c r="C79" s="186" t="str">
        <f t="shared" si="130"/>
        <v>Transport Freight - HCV3</v>
      </c>
      <c r="D79" s="185" t="s">
        <v>149</v>
      </c>
      <c r="E79" s="260">
        <v>16.207267472028231</v>
      </c>
      <c r="F79" s="234">
        <f t="shared" ref="F79:H79" si="137">F66*F95</f>
        <v>15.233523986729871</v>
      </c>
      <c r="G79" s="234">
        <f t="shared" si="137"/>
        <v>15.876853345004987</v>
      </c>
      <c r="H79" s="234">
        <f t="shared" si="137"/>
        <v>16.520182703280103</v>
      </c>
      <c r="I79" s="234">
        <f t="shared" si="127"/>
        <v>16.725818078032489</v>
      </c>
      <c r="J79" s="234">
        <f t="shared" si="127"/>
        <v>15.761765433043276</v>
      </c>
      <c r="K79" s="234">
        <f t="shared" si="127"/>
        <v>16.0248271586225</v>
      </c>
      <c r="L79" s="234">
        <f t="shared" si="127"/>
        <v>19.074717450406741</v>
      </c>
      <c r="M79" s="234">
        <f t="shared" si="127"/>
        <v>23.179032825135064</v>
      </c>
      <c r="N79" s="234">
        <f t="shared" si="127"/>
        <v>28.614285883561653</v>
      </c>
      <c r="O79" s="8"/>
      <c r="P79" s="234">
        <f t="shared" ref="P79:P85" si="138">P52</f>
        <v>16.052958413816011</v>
      </c>
      <c r="Q79" s="234">
        <f t="shared" ref="Q79:V79" si="139">Q52</f>
        <v>16.55163683590963</v>
      </c>
      <c r="R79" s="234">
        <f t="shared" si="139"/>
        <v>15.597640283864223</v>
      </c>
      <c r="S79" s="234">
        <f t="shared" si="139"/>
        <v>15.859464398521386</v>
      </c>
      <c r="T79" s="234">
        <f t="shared" si="139"/>
        <v>18.876094976268586</v>
      </c>
      <c r="U79" s="234">
        <f t="shared" si="139"/>
        <v>22.937672665550647</v>
      </c>
      <c r="V79" s="234">
        <f t="shared" si="139"/>
        <v>28.316329162961928</v>
      </c>
      <c r="W79" s="8"/>
      <c r="X79" s="234">
        <f t="shared" ref="X79:X85" si="140">X52</f>
        <v>16.052958413816011</v>
      </c>
      <c r="Y79" s="234">
        <f t="shared" ref="Y79:AD79" si="141">Y52</f>
        <v>16.55163683590963</v>
      </c>
      <c r="Z79" s="234">
        <f t="shared" si="141"/>
        <v>15.597640283864223</v>
      </c>
      <c r="AA79" s="234">
        <f t="shared" si="141"/>
        <v>15.859464398521386</v>
      </c>
      <c r="AB79" s="234">
        <f t="shared" si="141"/>
        <v>17.932290227455159</v>
      </c>
      <c r="AC79" s="234">
        <f t="shared" si="141"/>
        <v>20.701249580659457</v>
      </c>
      <c r="AD79" s="234">
        <f t="shared" si="141"/>
        <v>24.277712716094481</v>
      </c>
      <c r="AI79" s="186"/>
    </row>
    <row r="80" spans="1:46">
      <c r="A80" s="185" t="s">
        <v>16</v>
      </c>
      <c r="B80" s="186" t="str">
        <f t="shared" si="130"/>
        <v>TFHCV4</v>
      </c>
      <c r="C80" s="186" t="str">
        <f t="shared" si="130"/>
        <v>Transport Freight - HCV4</v>
      </c>
      <c r="D80" s="185" t="s">
        <v>149</v>
      </c>
      <c r="E80" s="260">
        <v>5.3871747310586002</v>
      </c>
      <c r="F80" s="234">
        <f t="shared" ref="F80:H80" si="142">F67*F96</f>
        <v>5.0807673805466287</v>
      </c>
      <c r="G80" s="234">
        <f t="shared" si="142"/>
        <v>4.7389994637867714</v>
      </c>
      <c r="H80" s="234">
        <f t="shared" si="142"/>
        <v>4.7389994637867714</v>
      </c>
      <c r="I80" s="234">
        <f t="shared" si="127"/>
        <v>4.7979882745154603</v>
      </c>
      <c r="J80" s="234">
        <f t="shared" si="127"/>
        <v>4.5214389742005805</v>
      </c>
      <c r="K80" s="234">
        <f t="shared" si="127"/>
        <v>4.5969011769409418</v>
      </c>
      <c r="L80" s="234">
        <f t="shared" si="127"/>
        <v>5.4717963713206181</v>
      </c>
      <c r="M80" s="234">
        <f t="shared" si="127"/>
        <v>6.6491652121741405</v>
      </c>
      <c r="N80" s="234">
        <f t="shared" si="127"/>
        <v>8.2083284364594729</v>
      </c>
      <c r="O80" s="8"/>
      <c r="P80" s="234">
        <f t="shared" si="138"/>
        <v>5.3540695863437202</v>
      </c>
      <c r="Q80" s="234">
        <f t="shared" ref="Q80:V80" si="143">Q53</f>
        <v>5.5203915130734007</v>
      </c>
      <c r="R80" s="234">
        <f t="shared" si="143"/>
        <v>5.2022094189625063</v>
      </c>
      <c r="S80" s="234">
        <f t="shared" si="143"/>
        <v>5.289534414961425</v>
      </c>
      <c r="T80" s="234">
        <f t="shared" si="143"/>
        <v>6.2956573745556001</v>
      </c>
      <c r="U80" s="234">
        <f t="shared" si="143"/>
        <v>7.6502967511854907</v>
      </c>
      <c r="V80" s="234">
        <f t="shared" si="143"/>
        <v>9.4442153813736169</v>
      </c>
      <c r="W80" s="8"/>
      <c r="X80" s="234">
        <f t="shared" si="140"/>
        <v>5.3540695863437202</v>
      </c>
      <c r="Y80" s="234">
        <f t="shared" ref="Y80:AD80" si="144">Y53</f>
        <v>5.5203915130734007</v>
      </c>
      <c r="Z80" s="234">
        <f t="shared" si="144"/>
        <v>5.2022094189625063</v>
      </c>
      <c r="AA80" s="234">
        <f t="shared" si="144"/>
        <v>5.289534414961425</v>
      </c>
      <c r="AB80" s="234">
        <f t="shared" si="144"/>
        <v>5.9808745058278197</v>
      </c>
      <c r="AC80" s="234">
        <f t="shared" si="144"/>
        <v>6.9043928179449043</v>
      </c>
      <c r="AD80" s="234">
        <f t="shared" si="144"/>
        <v>8.0972341626052042</v>
      </c>
      <c r="AI80" s="186" t="s">
        <v>475</v>
      </c>
      <c r="AJ80" s="186">
        <f>SUM(AJ77:AJ78)</f>
        <v>196.08808590299864</v>
      </c>
      <c r="AK80" s="186">
        <f>SUM(AK77:AK78)</f>
        <v>190.52634094125142</v>
      </c>
      <c r="AL80" s="186">
        <f>SUM(AL77:AL78)</f>
        <v>230.57290985281054</v>
      </c>
      <c r="AM80" s="186">
        <f>SUM(AM77:AM78)</f>
        <v>280.18538465696855</v>
      </c>
      <c r="AN80" s="186">
        <f>SUM(AN77:AN78)</f>
        <v>345.88607546542306</v>
      </c>
      <c r="AO80" s="186"/>
      <c r="AP80" s="186">
        <f>SUM(AP77:AP78)</f>
        <v>205.11287160728546</v>
      </c>
      <c r="AQ80" s="186">
        <f>SUM(AQ77:AQ78)</f>
        <v>213.13632011763139</v>
      </c>
      <c r="AR80" s="186">
        <f>SUM(AR77:AR78)</f>
        <v>257.93526124556041</v>
      </c>
      <c r="AS80" s="186">
        <f>SUM(AS77:AS78)</f>
        <v>313.43530527856626</v>
      </c>
      <c r="AT80" s="186">
        <f>SUM(AT77:AT78)</f>
        <v>386.93277234228407</v>
      </c>
    </row>
    <row r="81" spans="1:46">
      <c r="A81" s="185" t="s">
        <v>16</v>
      </c>
      <c r="B81" s="186" t="str">
        <f t="shared" si="130"/>
        <v>TFHCV5</v>
      </c>
      <c r="C81" s="186" t="str">
        <f t="shared" si="130"/>
        <v>Transport Freight - HCV5</v>
      </c>
      <c r="D81" s="185" t="s">
        <v>149</v>
      </c>
      <c r="E81" s="260">
        <v>3.9725286670479121</v>
      </c>
      <c r="F81" s="234">
        <f t="shared" ref="F81:H81" si="145">F68*F97</f>
        <v>3.0627981264343846</v>
      </c>
      <c r="G81" s="234">
        <f t="shared" si="145"/>
        <v>3.15348760127408</v>
      </c>
      <c r="H81" s="234">
        <f t="shared" si="145"/>
        <v>3.2441770761137754</v>
      </c>
      <c r="I81" s="234">
        <f t="shared" si="127"/>
        <v>3.2845590489279921</v>
      </c>
      <c r="J81" s="234">
        <f t="shared" si="127"/>
        <v>3.0952416819705508</v>
      </c>
      <c r="K81" s="234">
        <f t="shared" si="127"/>
        <v>3.1469008454952734</v>
      </c>
      <c r="L81" s="234">
        <f t="shared" si="127"/>
        <v>3.7458278880699214</v>
      </c>
      <c r="M81" s="234">
        <f t="shared" si="127"/>
        <v>4.55181932841829</v>
      </c>
      <c r="N81" s="234">
        <f t="shared" si="127"/>
        <v>5.6191757670080271</v>
      </c>
      <c r="O81" s="8"/>
      <c r="P81" s="234">
        <f t="shared" si="138"/>
        <v>3.2275506965029748</v>
      </c>
      <c r="Q81" s="234">
        <f t="shared" ref="Q81:V81" si="146">Q54</f>
        <v>3.3278132055725829</v>
      </c>
      <c r="R81" s="234">
        <f t="shared" si="146"/>
        <v>3.1360060534799454</v>
      </c>
      <c r="S81" s="234">
        <f t="shared" si="146"/>
        <v>3.1886474783088858</v>
      </c>
      <c r="T81" s="234">
        <f t="shared" si="146"/>
        <v>3.7951604880180847</v>
      </c>
      <c r="U81" s="234">
        <f t="shared" si="146"/>
        <v>4.6117668456761853</v>
      </c>
      <c r="V81" s="234">
        <f t="shared" si="146"/>
        <v>5.693180381858352</v>
      </c>
      <c r="W81" s="8"/>
      <c r="X81" s="234">
        <f t="shared" si="140"/>
        <v>3.2275506965029748</v>
      </c>
      <c r="Y81" s="234">
        <f t="shared" ref="Y81:AD81" si="147">Y54</f>
        <v>3.3278132055725829</v>
      </c>
      <c r="Z81" s="234">
        <f t="shared" si="147"/>
        <v>3.1360060534799454</v>
      </c>
      <c r="AA81" s="234">
        <f t="shared" si="147"/>
        <v>3.1886474783088858</v>
      </c>
      <c r="AB81" s="234">
        <f t="shared" si="147"/>
        <v>3.60540246361718</v>
      </c>
      <c r="AC81" s="234">
        <f t="shared" si="147"/>
        <v>4.1621195782227574</v>
      </c>
      <c r="AD81" s="234">
        <f t="shared" si="147"/>
        <v>4.8811905298958038</v>
      </c>
      <c r="AE81" s="186"/>
      <c r="AF81" s="186"/>
      <c r="AG81" s="186"/>
      <c r="AH81" s="186"/>
      <c r="AI81" s="185" t="s">
        <v>474</v>
      </c>
      <c r="AJ81" s="190">
        <f>AJ78/AJ80</f>
        <v>0.11822958726748588</v>
      </c>
      <c r="AK81" s="190">
        <f>AK78/AK80</f>
        <v>0.11822958726748588</v>
      </c>
      <c r="AL81" s="190">
        <f>AL78/AL80</f>
        <v>0.11822958726748591</v>
      </c>
      <c r="AM81" s="190">
        <f>AM78/AM80</f>
        <v>0.11822958726748591</v>
      </c>
      <c r="AN81" s="190">
        <f>AN78/AN80</f>
        <v>0.11822958726748591</v>
      </c>
      <c r="AO81" s="190"/>
      <c r="AP81" s="190">
        <f>AP78/AP80</f>
        <v>0.11510608199714911</v>
      </c>
      <c r="AQ81" s="190">
        <f>AQ78/AQ80</f>
        <v>0.10568752730945286</v>
      </c>
      <c r="AR81" s="190">
        <f>AR78/AR80</f>
        <v>0.10568752730945286</v>
      </c>
      <c r="AS81" s="190">
        <f>AS78/AS80</f>
        <v>0.10568752730945287</v>
      </c>
      <c r="AT81" s="190">
        <f>AT78/AT80</f>
        <v>0.10568752730945286</v>
      </c>
    </row>
    <row r="82" spans="1:46">
      <c r="A82" s="185" t="s">
        <v>16</v>
      </c>
      <c r="B82" s="186" t="str">
        <f t="shared" si="130"/>
        <v>TFHCV6</v>
      </c>
      <c r="C82" s="186" t="str">
        <f t="shared" si="130"/>
        <v>Transport Freight - HCV6</v>
      </c>
      <c r="D82" s="185" t="s">
        <v>149</v>
      </c>
      <c r="E82" s="260">
        <v>140.25526500597067</v>
      </c>
      <c r="F82" s="234">
        <f>F69*F98</f>
        <v>100.6136299290159</v>
      </c>
      <c r="G82" s="234">
        <f t="shared" ref="G82" si="148">G69*G98</f>
        <v>115.33235400043283</v>
      </c>
      <c r="H82" s="234">
        <f>H69*H98</f>
        <v>130.05107807184976</v>
      </c>
      <c r="I82" s="234">
        <f>I69*I98</f>
        <v>131.66989201940657</v>
      </c>
      <c r="J82" s="234">
        <f t="shared" si="127"/>
        <v>124.08062451245753</v>
      </c>
      <c r="K82" s="234">
        <f t="shared" si="127"/>
        <v>126.15151329289614</v>
      </c>
      <c r="L82" s="234">
        <f t="shared" si="127"/>
        <v>150.16102502599921</v>
      </c>
      <c r="M82" s="234">
        <f t="shared" si="127"/>
        <v>182.47123907250037</v>
      </c>
      <c r="N82" s="234">
        <f t="shared" si="127"/>
        <v>225.25893292175473</v>
      </c>
      <c r="O82" s="8"/>
      <c r="P82" s="234">
        <f>P55</f>
        <v>106.02579012712634</v>
      </c>
      <c r="Q82" s="234">
        <f t="shared" ref="Q82:V82" si="149">Q55</f>
        <v>109.31943684063926</v>
      </c>
      <c r="R82" s="234">
        <f t="shared" si="149"/>
        <v>103.01852733836863</v>
      </c>
      <c r="S82" s="234">
        <f t="shared" si="149"/>
        <v>104.74781037238991</v>
      </c>
      <c r="T82" s="234">
        <f t="shared" si="149"/>
        <v>124.67190363186195</v>
      </c>
      <c r="U82" s="234">
        <f t="shared" si="149"/>
        <v>151.49761217529243</v>
      </c>
      <c r="V82" s="234">
        <f t="shared" si="149"/>
        <v>187.02229804687755</v>
      </c>
      <c r="W82" s="8"/>
      <c r="X82" s="234">
        <f t="shared" si="140"/>
        <v>106.02579012712634</v>
      </c>
      <c r="Y82" s="234">
        <f t="shared" ref="Y82:AD82" si="150">Y55</f>
        <v>109.31943684063926</v>
      </c>
      <c r="Z82" s="234">
        <f t="shared" si="150"/>
        <v>103.01852733836863</v>
      </c>
      <c r="AA82" s="234">
        <f t="shared" si="150"/>
        <v>104.74781037238991</v>
      </c>
      <c r="AB82" s="234">
        <f t="shared" si="150"/>
        <v>118.43830845026886</v>
      </c>
      <c r="AC82" s="234">
        <f t="shared" si="150"/>
        <v>136.72659498820144</v>
      </c>
      <c r="AD82" s="234">
        <f t="shared" si="150"/>
        <v>160.34824278794164</v>
      </c>
      <c r="AE82" s="186"/>
      <c r="AF82" s="186"/>
      <c r="AG82" s="186"/>
      <c r="AH82" s="186"/>
      <c r="AI82" s="186"/>
      <c r="AJ82" s="186"/>
      <c r="AK82" s="186"/>
      <c r="AL82" s="186"/>
      <c r="AM82" s="186"/>
      <c r="AN82" s="186"/>
      <c r="AO82" s="186"/>
      <c r="AP82" s="186"/>
      <c r="AQ82" s="186"/>
      <c r="AR82" s="186"/>
      <c r="AS82" s="186"/>
    </row>
    <row r="83" spans="1:46">
      <c r="A83" s="185" t="s">
        <v>16</v>
      </c>
      <c r="B83" s="186" t="str">
        <f t="shared" si="130"/>
        <v>TFHCV7</v>
      </c>
      <c r="C83" s="186" t="str">
        <f t="shared" si="130"/>
        <v>Transport Freight - HCV7</v>
      </c>
      <c r="D83" s="185" t="s">
        <v>149</v>
      </c>
      <c r="E83" s="260">
        <v>32.638769732712682</v>
      </c>
      <c r="F83" s="234">
        <f t="shared" ref="F83:H83" si="151">F70*F99</f>
        <v>35.353370344628992</v>
      </c>
      <c r="G83" s="234">
        <f t="shared" si="151"/>
        <v>37.589565514758952</v>
      </c>
      <c r="H83" s="234">
        <f t="shared" si="151"/>
        <v>39.825760684888905</v>
      </c>
      <c r="I83" s="234">
        <f t="shared" si="127"/>
        <v>40.321492806641402</v>
      </c>
      <c r="J83" s="234">
        <f t="shared" si="127"/>
        <v>37.997418635273348</v>
      </c>
      <c r="K83" s="234">
        <f t="shared" si="127"/>
        <v>38.631590394535536</v>
      </c>
      <c r="L83" s="234">
        <f t="shared" si="127"/>
        <v>45.98406361213793</v>
      </c>
      <c r="M83" s="234">
        <f t="shared" si="127"/>
        <v>55.878474880167396</v>
      </c>
      <c r="N83" s="234">
        <f t="shared" si="127"/>
        <v>68.981422435567538</v>
      </c>
      <c r="O83" s="8"/>
      <c r="P83" s="234">
        <f t="shared" si="138"/>
        <v>37.255081911772038</v>
      </c>
      <c r="Q83" s="234">
        <f t="shared" ref="Q83:V83" si="152">Q56</f>
        <v>38.412395410244791</v>
      </c>
      <c r="R83" s="234">
        <f t="shared" si="152"/>
        <v>36.198397293896896</v>
      </c>
      <c r="S83" s="234">
        <f t="shared" si="152"/>
        <v>36.806028522146683</v>
      </c>
      <c r="T83" s="234">
        <f t="shared" si="152"/>
        <v>43.806907511206049</v>
      </c>
      <c r="U83" s="234">
        <f t="shared" si="152"/>
        <v>53.232859139847896</v>
      </c>
      <c r="V83" s="234">
        <f t="shared" si="152"/>
        <v>65.715436071828407</v>
      </c>
      <c r="W83" s="8"/>
      <c r="X83" s="234">
        <f t="shared" si="140"/>
        <v>37.255081911772038</v>
      </c>
      <c r="Y83" s="234">
        <f t="shared" ref="Y83:AD83" si="153">Y56</f>
        <v>38.412395410244791</v>
      </c>
      <c r="Z83" s="234">
        <f t="shared" si="153"/>
        <v>36.198397293896896</v>
      </c>
      <c r="AA83" s="234">
        <f t="shared" si="153"/>
        <v>36.806028522146683</v>
      </c>
      <c r="AB83" s="234">
        <f t="shared" si="153"/>
        <v>41.616562135645744</v>
      </c>
      <c r="AC83" s="234">
        <f t="shared" si="153"/>
        <v>48.042655373712726</v>
      </c>
      <c r="AD83" s="234">
        <f t="shared" si="153"/>
        <v>56.342772002083869</v>
      </c>
      <c r="AE83" s="186"/>
      <c r="AF83" s="186"/>
      <c r="AG83" s="186"/>
      <c r="AH83" s="186"/>
      <c r="AI83" s="186"/>
      <c r="AJ83" s="186"/>
      <c r="AK83" s="186"/>
      <c r="AL83" s="186"/>
      <c r="AM83" s="186"/>
      <c r="AN83" s="186"/>
      <c r="AO83" s="186"/>
      <c r="AP83" s="186"/>
      <c r="AQ83" s="186"/>
      <c r="AR83" s="186"/>
      <c r="AS83" s="186"/>
    </row>
    <row r="84" spans="1:46">
      <c r="A84" s="185" t="s">
        <v>16</v>
      </c>
      <c r="B84" s="186" t="str">
        <f>B100</f>
        <v>TFHCV8</v>
      </c>
      <c r="C84" s="186" t="str">
        <f>C100</f>
        <v>Transport Freight - HCV8</v>
      </c>
      <c r="D84" s="185" t="s">
        <v>149</v>
      </c>
      <c r="E84" s="260">
        <v>1.371120760523014</v>
      </c>
      <c r="F84" s="234">
        <f t="shared" ref="F84:H84" si="154">F71*F100</f>
        <v>1.3011202447704153</v>
      </c>
      <c r="G84" s="234">
        <f t="shared" si="154"/>
        <v>1.7751077766857204</v>
      </c>
      <c r="H84" s="234">
        <f t="shared" si="154"/>
        <v>2.2490953086010257</v>
      </c>
      <c r="I84" s="234">
        <f t="shared" si="127"/>
        <v>2.2770909769870769</v>
      </c>
      <c r="J84" s="234">
        <f t="shared" si="127"/>
        <v>2.1458426536462496</v>
      </c>
      <c r="K84" s="234">
        <f t="shared" si="127"/>
        <v>2.1816564762594366</v>
      </c>
      <c r="L84" s="234">
        <f t="shared" si="127"/>
        <v>2.5968754886761576</v>
      </c>
      <c r="M84" s="234">
        <f t="shared" si="127"/>
        <v>3.1556463340184253</v>
      </c>
      <c r="N84" s="234">
        <f t="shared" si="127"/>
        <v>3.8956140676887947</v>
      </c>
      <c r="O84" s="8"/>
      <c r="P84" s="234">
        <f t="shared" si="138"/>
        <v>1.3711094818814338</v>
      </c>
      <c r="Q84" s="234">
        <f t="shared" ref="Q84:V84" si="155">Q57</f>
        <v>1.4137024230276445</v>
      </c>
      <c r="R84" s="234">
        <f t="shared" si="155"/>
        <v>1.3322200143355563</v>
      </c>
      <c r="S84" s="234">
        <f t="shared" si="155"/>
        <v>1.3545828409833027</v>
      </c>
      <c r="T84" s="234">
        <f t="shared" si="155"/>
        <v>1.6122382015630004</v>
      </c>
      <c r="U84" s="234">
        <f t="shared" si="155"/>
        <v>1.959144207148853</v>
      </c>
      <c r="V84" s="234">
        <f t="shared" si="155"/>
        <v>2.4185440718514686</v>
      </c>
      <c r="W84" s="8"/>
      <c r="X84" s="234">
        <f t="shared" si="140"/>
        <v>1.3711094818814338</v>
      </c>
      <c r="Y84" s="234">
        <f t="shared" ref="Y84:AD84" si="156">Y57</f>
        <v>1.4137024230276445</v>
      </c>
      <c r="Z84" s="234">
        <f t="shared" si="156"/>
        <v>1.3322200143355563</v>
      </c>
      <c r="AA84" s="234">
        <f t="shared" si="156"/>
        <v>1.3545828409833027</v>
      </c>
      <c r="AB84" s="234">
        <f t="shared" si="156"/>
        <v>1.5316262914848502</v>
      </c>
      <c r="AC84" s="234">
        <f t="shared" si="156"/>
        <v>1.7681276469518397</v>
      </c>
      <c r="AD84" s="234">
        <f t="shared" si="156"/>
        <v>2.0735992236036527</v>
      </c>
      <c r="AE84" s="186"/>
      <c r="AF84" s="186"/>
      <c r="AG84" s="186"/>
      <c r="AH84" s="186"/>
      <c r="AI84" s="186"/>
      <c r="AJ84" s="186"/>
      <c r="AK84" s="186"/>
      <c r="AL84" s="186"/>
      <c r="AM84" s="186"/>
      <c r="AN84" s="186"/>
      <c r="AO84" s="186"/>
      <c r="AP84" s="186"/>
      <c r="AQ84" s="186"/>
      <c r="AR84" s="186"/>
      <c r="AS84" s="186"/>
    </row>
    <row r="85" spans="1:46">
      <c r="A85" s="185" t="s">
        <v>16</v>
      </c>
      <c r="B85" s="186" t="str">
        <f t="shared" si="130"/>
        <v>TFHCV9</v>
      </c>
      <c r="C85" s="186" t="str">
        <f t="shared" si="130"/>
        <v>Transport Freight - HCV9</v>
      </c>
      <c r="D85" s="185" t="s">
        <v>149</v>
      </c>
      <c r="E85" s="260">
        <v>0.85603927035432403</v>
      </c>
      <c r="F85" s="234">
        <f t="shared" ref="F85:H85" si="157">F72*F101</f>
        <v>1.1571058027236365</v>
      </c>
      <c r="G85" s="234">
        <f t="shared" si="157"/>
        <v>0.64433067785501452</v>
      </c>
      <c r="H85" s="234">
        <f t="shared" si="157"/>
        <v>0.64433067785501452</v>
      </c>
      <c r="I85" s="234">
        <f t="shared" si="127"/>
        <v>0.65235099959024978</v>
      </c>
      <c r="J85" s="234">
        <f t="shared" si="127"/>
        <v>0.61475040488795962</v>
      </c>
      <c r="K85" s="234">
        <f t="shared" si="127"/>
        <v>0.6250105056994667</v>
      </c>
      <c r="L85" s="234">
        <f t="shared" si="127"/>
        <v>0.74396426755456968</v>
      </c>
      <c r="M85" s="234">
        <f t="shared" si="127"/>
        <v>0.90404338744253454</v>
      </c>
      <c r="N85" s="234">
        <f t="shared" si="127"/>
        <v>1.1160325857674536</v>
      </c>
      <c r="O85" s="8"/>
      <c r="P85" s="234">
        <f t="shared" si="138"/>
        <v>1.219348283935394</v>
      </c>
      <c r="Q85" s="234">
        <f t="shared" ref="Q85:V85" si="158">Q58</f>
        <v>1.257226827101128</v>
      </c>
      <c r="R85" s="234">
        <f t="shared" si="158"/>
        <v>1.1847632955432508</v>
      </c>
      <c r="S85" s="234">
        <f t="shared" si="158"/>
        <v>1.2046508936214559</v>
      </c>
      <c r="T85" s="234">
        <f t="shared" si="158"/>
        <v>1.4337876809613728</v>
      </c>
      <c r="U85" s="234">
        <f t="shared" si="158"/>
        <v>1.7422964092487396</v>
      </c>
      <c r="V85" s="234">
        <f t="shared" si="158"/>
        <v>2.150847618373648</v>
      </c>
      <c r="W85" s="8"/>
      <c r="X85" s="234">
        <f t="shared" si="140"/>
        <v>1.219348283935394</v>
      </c>
      <c r="Y85" s="234">
        <f t="shared" ref="Y85:AD85" si="159">Y58</f>
        <v>1.257226827101128</v>
      </c>
      <c r="Z85" s="234">
        <f t="shared" si="159"/>
        <v>1.1847632955432508</v>
      </c>
      <c r="AA85" s="234">
        <f t="shared" si="159"/>
        <v>1.2046508936214559</v>
      </c>
      <c r="AB85" s="234">
        <f t="shared" si="159"/>
        <v>1.362098296913304</v>
      </c>
      <c r="AC85" s="234">
        <f t="shared" si="159"/>
        <v>1.5724225093469872</v>
      </c>
      <c r="AD85" s="234">
        <f t="shared" si="159"/>
        <v>1.844082976803106</v>
      </c>
      <c r="AE85" s="186"/>
      <c r="AF85" s="186"/>
      <c r="AG85" s="186"/>
      <c r="AH85" s="186"/>
      <c r="AI85" s="186"/>
      <c r="AJ85" s="186"/>
      <c r="AK85" s="186"/>
      <c r="AL85" s="186"/>
      <c r="AM85" s="186"/>
      <c r="AN85" s="186"/>
      <c r="AO85" s="186"/>
      <c r="AP85" s="186"/>
      <c r="AQ85" s="186"/>
      <c r="AR85" s="186"/>
      <c r="AS85" s="186"/>
    </row>
    <row r="86" spans="1:46">
      <c r="A86" s="185" t="s">
        <v>16</v>
      </c>
      <c r="B86" s="186" t="str">
        <f t="shared" si="130"/>
        <v>TFRCO</v>
      </c>
      <c r="C86" s="186" t="str">
        <f t="shared" si="130"/>
        <v>Transport Freight - Rail Corridor</v>
      </c>
      <c r="D86" s="185" t="s">
        <v>149</v>
      </c>
      <c r="E86" s="47"/>
      <c r="F86" s="234">
        <f t="shared" ref="F86:H86" si="160">F59</f>
        <v>22</v>
      </c>
      <c r="G86" s="234">
        <f t="shared" si="160"/>
        <v>23.183413464382845</v>
      </c>
      <c r="H86" s="234">
        <f t="shared" si="160"/>
        <v>23.609739017898917</v>
      </c>
      <c r="I86" s="234">
        <f t="shared" ref="I86:N86" si="161">I59</f>
        <v>23.903621816773025</v>
      </c>
      <c r="J86" s="234">
        <f t="shared" si="161"/>
        <v>22.525850653068453</v>
      </c>
      <c r="K86" s="234">
        <f t="shared" si="161"/>
        <v>22.901804042814582</v>
      </c>
      <c r="L86" s="234">
        <f t="shared" si="161"/>
        <v>27.260539966961023</v>
      </c>
      <c r="M86" s="234">
        <f t="shared" si="161"/>
        <v>33.126202386375169</v>
      </c>
      <c r="N86" s="234">
        <f t="shared" si="161"/>
        <v>40.89396794384745</v>
      </c>
      <c r="O86" s="8"/>
      <c r="P86" s="234">
        <f>P59</f>
        <v>23.183413464382845</v>
      </c>
      <c r="Q86" s="234">
        <f t="shared" ref="Q86:V86" si="162">Q59</f>
        <v>23.903596482810922</v>
      </c>
      <c r="R86" s="234">
        <f t="shared" si="162"/>
        <v>22.525850653068453</v>
      </c>
      <c r="S86" s="234">
        <f t="shared" si="162"/>
        <v>22.903972650806818</v>
      </c>
      <c r="T86" s="234">
        <f t="shared" si="162"/>
        <v>27.260539966961023</v>
      </c>
      <c r="U86" s="234">
        <f t="shared" si="162"/>
        <v>33.126202386375169</v>
      </c>
      <c r="V86" s="234">
        <f t="shared" si="162"/>
        <v>40.89396794384745</v>
      </c>
      <c r="W86" s="8"/>
      <c r="X86" s="234">
        <f>X59</f>
        <v>23.183413464382845</v>
      </c>
      <c r="Y86" s="234">
        <f>Y59</f>
        <v>23.903596482810922</v>
      </c>
      <c r="Z86" s="234">
        <f t="shared" ref="Z86:AD86" si="163">Z59</f>
        <v>22.525850653068453</v>
      </c>
      <c r="AA86" s="234">
        <f t="shared" si="163"/>
        <v>22.903972650806818</v>
      </c>
      <c r="AB86" s="234">
        <f t="shared" si="163"/>
        <v>37.4261584612535</v>
      </c>
      <c r="AC86" s="234">
        <f t="shared" si="163"/>
        <v>57.21447265775798</v>
      </c>
      <c r="AD86" s="234">
        <f t="shared" si="163"/>
        <v>84.393467279112116</v>
      </c>
      <c r="AE86" s="186"/>
      <c r="AF86" s="186"/>
      <c r="AG86" s="186"/>
      <c r="AH86" s="186"/>
      <c r="AI86" s="186"/>
      <c r="AJ86" s="186"/>
      <c r="AK86" s="186"/>
      <c r="AL86" s="186"/>
      <c r="AM86" s="186"/>
      <c r="AN86" s="186"/>
      <c r="AO86" s="186"/>
      <c r="AP86" s="186"/>
      <c r="AQ86" s="186"/>
      <c r="AR86" s="186"/>
      <c r="AS86" s="186"/>
    </row>
    <row r="87" spans="1:46">
      <c r="A87" s="185" t="s">
        <v>16</v>
      </c>
      <c r="B87" s="186" t="str">
        <f t="shared" si="130"/>
        <v>TFROT</v>
      </c>
      <c r="C87" s="186" t="str">
        <f t="shared" si="130"/>
        <v>Transport Freight - Rail Other</v>
      </c>
      <c r="D87" s="185" t="s">
        <v>149</v>
      </c>
      <c r="E87" s="47"/>
      <c r="F87" s="234">
        <f t="shared" ref="F87:H87" si="164">F47</f>
        <v>25.1</v>
      </c>
      <c r="G87" s="234">
        <f t="shared" si="164"/>
        <v>26.450167179818607</v>
      </c>
      <c r="H87" s="234">
        <f t="shared" si="164"/>
        <v>26.936565879511939</v>
      </c>
      <c r="I87" s="234">
        <f t="shared" ref="I87:N87" si="165">I47</f>
        <v>27.271859436409219</v>
      </c>
      <c r="J87" s="234">
        <f t="shared" si="165"/>
        <v>25.699947790546279</v>
      </c>
      <c r="K87" s="234">
        <f t="shared" si="165"/>
        <v>26.12887643066572</v>
      </c>
      <c r="L87" s="234">
        <f t="shared" si="165"/>
        <v>31.101797871396435</v>
      </c>
      <c r="M87" s="234">
        <f t="shared" si="165"/>
        <v>37.79398544990984</v>
      </c>
      <c r="N87" s="234">
        <f t="shared" si="165"/>
        <v>46.656299790480489</v>
      </c>
      <c r="O87" s="8"/>
      <c r="P87" s="234">
        <f>P47</f>
        <v>26.450167179818607</v>
      </c>
      <c r="Q87" s="234">
        <f t="shared" ref="Q87:V87" si="166">Q47</f>
        <v>27.271859436409219</v>
      </c>
      <c r="R87" s="234">
        <f t="shared" si="166"/>
        <v>25.699947790546279</v>
      </c>
      <c r="S87" s="234">
        <f t="shared" si="166"/>
        <v>26.131378310261344</v>
      </c>
      <c r="T87" s="234">
        <f t="shared" si="166"/>
        <v>31.101797871396435</v>
      </c>
      <c r="U87" s="234">
        <f t="shared" si="166"/>
        <v>37.79398544990984</v>
      </c>
      <c r="V87" s="234">
        <f t="shared" si="166"/>
        <v>46.656299790480489</v>
      </c>
      <c r="W87" s="8"/>
      <c r="X87" s="234">
        <f>X47</f>
        <v>26.450167179818607</v>
      </c>
      <c r="Y87" s="234">
        <f>Y47</f>
        <v>27.271859436409219</v>
      </c>
      <c r="Z87" s="234">
        <f t="shared" ref="Z87:AD87" si="167">Z47</f>
        <v>25.699947790546279</v>
      </c>
      <c r="AA87" s="234">
        <f t="shared" si="167"/>
        <v>26.131378310261344</v>
      </c>
      <c r="AB87" s="234">
        <f t="shared" si="167"/>
        <v>31.438435137987994</v>
      </c>
      <c r="AC87" s="234">
        <f t="shared" si="167"/>
        <v>38.591675178835814</v>
      </c>
      <c r="AD87" s="234">
        <f t="shared" si="167"/>
        <v>48.096797735838805</v>
      </c>
      <c r="AE87" s="186"/>
      <c r="AF87" s="186"/>
      <c r="AG87" s="186"/>
      <c r="AH87" s="186"/>
      <c r="AI87" s="186"/>
      <c r="AJ87" s="186"/>
      <c r="AK87" s="186"/>
      <c r="AL87" s="186"/>
      <c r="AM87" s="186"/>
      <c r="AN87" s="186"/>
      <c r="AO87" s="186"/>
      <c r="AP87" s="186"/>
      <c r="AQ87" s="186"/>
      <c r="AR87" s="186"/>
      <c r="AS87" s="186"/>
    </row>
    <row r="88" spans="1:46">
      <c r="A88" s="185" t="s">
        <v>16</v>
      </c>
      <c r="B88" s="186" t="str">
        <f t="shared" si="130"/>
        <v>TFREX</v>
      </c>
      <c r="C88" s="186" t="str">
        <f t="shared" si="130"/>
        <v>Transport Freight - Rail Export (bulk mining)</v>
      </c>
      <c r="D88" s="185" t="s">
        <v>149</v>
      </c>
      <c r="F88" s="234">
        <f t="shared" ref="F88:H88" si="168">F104</f>
        <v>82</v>
      </c>
      <c r="G88" s="234">
        <f t="shared" si="168"/>
        <v>82</v>
      </c>
      <c r="H88" s="234">
        <f t="shared" si="168"/>
        <v>82</v>
      </c>
      <c r="I88" s="234">
        <f t="shared" ref="I88:N88" si="169">I104</f>
        <v>86.036801673044508</v>
      </c>
      <c r="J88" s="234">
        <f t="shared" si="169"/>
        <v>76.525600127976475</v>
      </c>
      <c r="K88" s="234">
        <f t="shared" si="169"/>
        <v>81.331040777374611</v>
      </c>
      <c r="L88" s="234">
        <f t="shared" si="169"/>
        <v>87.911204464677908</v>
      </c>
      <c r="M88" s="234">
        <f t="shared" si="169"/>
        <v>108.4587289306711</v>
      </c>
      <c r="N88" s="234">
        <f t="shared" si="169"/>
        <v>131.69334513658779</v>
      </c>
      <c r="O88" s="8"/>
      <c r="P88" s="234">
        <f>F104</f>
        <v>82</v>
      </c>
      <c r="Q88" s="234">
        <f t="shared" ref="Q88:V88" si="170">G104</f>
        <v>82</v>
      </c>
      <c r="R88" s="234">
        <f t="shared" si="170"/>
        <v>82</v>
      </c>
      <c r="S88" s="234">
        <f t="shared" si="170"/>
        <v>86.036801673044508</v>
      </c>
      <c r="T88" s="234">
        <f t="shared" si="170"/>
        <v>76.525600127976475</v>
      </c>
      <c r="U88" s="234">
        <f t="shared" si="170"/>
        <v>81.331040777374611</v>
      </c>
      <c r="V88" s="234">
        <f t="shared" si="170"/>
        <v>87.911204464677908</v>
      </c>
      <c r="W88" s="8"/>
      <c r="X88" s="234">
        <f>P88</f>
        <v>82</v>
      </c>
      <c r="Y88" s="234">
        <f>Q88</f>
        <v>82</v>
      </c>
      <c r="Z88" s="234">
        <f t="shared" ref="Z88:AD88" si="171">R88</f>
        <v>82</v>
      </c>
      <c r="AA88" s="234">
        <f t="shared" si="171"/>
        <v>86.036801673044508</v>
      </c>
      <c r="AB88" s="234">
        <f t="shared" si="171"/>
        <v>76.525600127976475</v>
      </c>
      <c r="AC88" s="234">
        <f t="shared" si="171"/>
        <v>81.331040777374611</v>
      </c>
      <c r="AD88" s="234">
        <f t="shared" si="171"/>
        <v>87.911204464677908</v>
      </c>
      <c r="AE88" s="186"/>
      <c r="AF88" s="186"/>
      <c r="AG88" s="186"/>
      <c r="AH88" s="186"/>
      <c r="AI88" s="186"/>
      <c r="AJ88" s="186"/>
      <c r="AK88" s="186"/>
      <c r="AL88" s="186"/>
      <c r="AM88" s="186"/>
      <c r="AN88" s="186"/>
      <c r="AO88" s="186"/>
      <c r="AP88" s="186"/>
      <c r="AQ88" s="186"/>
      <c r="AR88" s="186"/>
      <c r="AS88" s="186"/>
    </row>
    <row r="89" spans="1:46">
      <c r="A89" s="185" t="s">
        <v>16</v>
      </c>
      <c r="C89" s="5" t="s">
        <v>211</v>
      </c>
      <c r="E89" s="261">
        <f>SUM(E76:E85)-SUM(G76:G85)</f>
        <v>26.349069999288815</v>
      </c>
      <c r="F89" s="79">
        <f t="shared" ref="F89:K89" si="172">SUM(F76:F88)</f>
        <v>315.92251525208883</v>
      </c>
      <c r="G89" s="79">
        <f t="shared" si="172"/>
        <v>336.68380630627735</v>
      </c>
      <c r="H89" s="79">
        <f t="shared" si="172"/>
        <v>356.67878401110221</v>
      </c>
      <c r="I89" s="79">
        <f t="shared" si="172"/>
        <v>364.13465650806916</v>
      </c>
      <c r="J89" s="79">
        <f t="shared" si="172"/>
        <v>338.13903217659106</v>
      </c>
      <c r="K89" s="79">
        <f t="shared" si="172"/>
        <v>347.77361692664169</v>
      </c>
      <c r="L89" s="79">
        <f t="shared" ref="L89:N89" si="173">SUM(L76:L88)</f>
        <v>404.51294040327713</v>
      </c>
      <c r="M89" s="79">
        <f t="shared" si="173"/>
        <v>493.18380016149285</v>
      </c>
      <c r="N89" s="79">
        <f t="shared" si="173"/>
        <v>606.6326257279128</v>
      </c>
      <c r="O89" s="79"/>
      <c r="P89" s="79">
        <f t="shared" ref="P89:V89" si="174">SUM(P76:P88)</f>
        <v>328.38479800799189</v>
      </c>
      <c r="Q89" s="79">
        <f t="shared" si="174"/>
        <v>336.52179184044923</v>
      </c>
      <c r="R89" s="79">
        <f t="shared" si="174"/>
        <v>321.39646211465293</v>
      </c>
      <c r="S89" s="79">
        <f t="shared" si="174"/>
        <v>329.91299549450201</v>
      </c>
      <c r="T89" s="79">
        <f t="shared" si="174"/>
        <v>366.24060019331648</v>
      </c>
      <c r="U89" s="79">
        <f t="shared" si="174"/>
        <v>433.38414530738839</v>
      </c>
      <c r="V89" s="79">
        <f t="shared" si="174"/>
        <v>522.51726655599066</v>
      </c>
      <c r="W89" s="79"/>
      <c r="X89" s="79">
        <f t="shared" ref="X89:AD89" si="175">SUM(X76:X88)</f>
        <v>328.38479800799189</v>
      </c>
      <c r="Y89" s="79">
        <f t="shared" si="175"/>
        <v>336.52179184044923</v>
      </c>
      <c r="Z89" s="79">
        <f t="shared" si="175"/>
        <v>321.39646211465293</v>
      </c>
      <c r="AA89" s="79">
        <f t="shared" si="175"/>
        <v>329.91299549450201</v>
      </c>
      <c r="AB89" s="79">
        <f t="shared" si="175"/>
        <v>366.24060019331654</v>
      </c>
      <c r="AC89" s="79">
        <f t="shared" si="175"/>
        <v>433.38414530738845</v>
      </c>
      <c r="AD89" s="79">
        <f t="shared" si="175"/>
        <v>522.51726655599066</v>
      </c>
    </row>
    <row r="90" spans="1:46">
      <c r="A90" s="185" t="s">
        <v>16</v>
      </c>
      <c r="N90" s="185">
        <f>N89/F89</f>
        <v>1.9201943401971628</v>
      </c>
      <c r="P90" s="5" t="s">
        <v>41</v>
      </c>
      <c r="X90" s="5" t="s">
        <v>197</v>
      </c>
    </row>
    <row r="91" spans="1:46" ht="15.75" thickBot="1">
      <c r="A91" s="185" t="s">
        <v>16</v>
      </c>
      <c r="B91" s="14" t="s">
        <v>209</v>
      </c>
      <c r="C91" s="14"/>
      <c r="D91" s="14"/>
      <c r="F91" s="185">
        <f t="shared" ref="F91:K91" si="176">F$4</f>
        <v>2012</v>
      </c>
      <c r="G91" s="185">
        <f t="shared" si="176"/>
        <v>2015</v>
      </c>
      <c r="H91" s="185">
        <f t="shared" si="176"/>
        <v>2017</v>
      </c>
      <c r="I91" s="281">
        <f t="shared" si="176"/>
        <v>2019</v>
      </c>
      <c r="J91" s="281">
        <f t="shared" si="176"/>
        <v>2020</v>
      </c>
      <c r="K91" s="281">
        <f t="shared" si="176"/>
        <v>2021</v>
      </c>
      <c r="L91" s="185">
        <f>L$4</f>
        <v>2030</v>
      </c>
      <c r="M91" s="185">
        <f>M$4</f>
        <v>2040</v>
      </c>
      <c r="N91" s="185">
        <f>N$4</f>
        <v>2050</v>
      </c>
      <c r="P91" s="7">
        <f>P75</f>
        <v>2015</v>
      </c>
      <c r="Q91" s="7">
        <f t="shared" ref="Q91:T91" si="177">Q75</f>
        <v>2019</v>
      </c>
      <c r="R91" s="7">
        <f t="shared" si="177"/>
        <v>2020</v>
      </c>
      <c r="S91" s="7">
        <f t="shared" si="177"/>
        <v>2021</v>
      </c>
      <c r="T91" s="7">
        <f t="shared" si="177"/>
        <v>2030</v>
      </c>
      <c r="U91" s="7">
        <f>U75</f>
        <v>2040</v>
      </c>
      <c r="V91" s="7">
        <f>V75</f>
        <v>2050</v>
      </c>
      <c r="W91" s="285"/>
      <c r="X91" s="7">
        <f>X75</f>
        <v>2015</v>
      </c>
      <c r="Y91" s="7">
        <f t="shared" ref="Y91:AA91" si="178">Y75</f>
        <v>2019</v>
      </c>
      <c r="Z91" s="7">
        <f t="shared" si="178"/>
        <v>2020</v>
      </c>
      <c r="AA91" s="7">
        <f t="shared" si="178"/>
        <v>2021</v>
      </c>
      <c r="AB91" s="7">
        <f>AB75</f>
        <v>2030</v>
      </c>
      <c r="AC91" s="7">
        <f>AC75</f>
        <v>2040</v>
      </c>
      <c r="AD91" s="7">
        <f>AD75</f>
        <v>2050</v>
      </c>
    </row>
    <row r="92" spans="1:46">
      <c r="A92" s="185" t="s">
        <v>16</v>
      </c>
      <c r="B92" s="186" t="str">
        <f>'[2]TS BYDem'!D19</f>
        <v>TFLCV</v>
      </c>
      <c r="C92" s="186" t="str">
        <f>C13</f>
        <v>Transport Freight - LCV</v>
      </c>
      <c r="D92" s="185" t="s">
        <v>150</v>
      </c>
      <c r="F92" s="235">
        <f>SUMIF($I$223:$I$247,$B92,$W$223:$W$247)/1000000000</f>
        <v>43.510890756102206</v>
      </c>
      <c r="G92" s="235">
        <f>(F92+H92)/2</f>
        <v>45.547855670926104</v>
      </c>
      <c r="H92" s="235">
        <f>SUMIF($I$223:$I$247,$B92,$AB$223:$AB$247)/1000000000</f>
        <v>47.584820585750002</v>
      </c>
      <c r="I92" s="24">
        <f t="shared" ref="I92:N92" si="179">I43/I63</f>
        <v>48.177133793746961</v>
      </c>
      <c r="J92" s="186">
        <f t="shared" si="179"/>
        <v>44.255958941812857</v>
      </c>
      <c r="K92" s="10">
        <f t="shared" si="179"/>
        <v>46.157995886407633</v>
      </c>
      <c r="L92" s="10">
        <f t="shared" si="179"/>
        <v>53.558081161526964</v>
      </c>
      <c r="M92" s="10">
        <f t="shared" si="179"/>
        <v>65.082197129363479</v>
      </c>
      <c r="N92" s="10">
        <f t="shared" si="179"/>
        <v>80.343326170645369</v>
      </c>
      <c r="P92" s="10">
        <f>P76/P63</f>
        <v>45.547855670926104</v>
      </c>
      <c r="Q92" s="10">
        <f t="shared" ref="Q92:V92" si="180">Q76/Q63</f>
        <v>48.177133793746961</v>
      </c>
      <c r="R92" s="10">
        <f t="shared" si="180"/>
        <v>44.255958941812857</v>
      </c>
      <c r="S92" s="10">
        <f t="shared" si="180"/>
        <v>46.157995886407633</v>
      </c>
      <c r="T92" s="10">
        <f t="shared" si="180"/>
        <v>53.558081161526964</v>
      </c>
      <c r="U92" s="10">
        <f t="shared" si="180"/>
        <v>65.082197129363479</v>
      </c>
      <c r="V92" s="10">
        <f t="shared" si="180"/>
        <v>80.343326170645369</v>
      </c>
      <c r="W92" s="285"/>
      <c r="X92" s="10">
        <f>P92</f>
        <v>45.547855670926104</v>
      </c>
      <c r="Y92" s="10">
        <f t="shared" ref="Y92:AA92" si="181">Q92</f>
        <v>48.177133793746961</v>
      </c>
      <c r="Z92" s="10">
        <f t="shared" si="181"/>
        <v>44.255958941812857</v>
      </c>
      <c r="AA92" s="10">
        <f t="shared" si="181"/>
        <v>46.157995886407633</v>
      </c>
      <c r="AB92" s="10">
        <f t="shared" ref="AB92:AD92" si="182">AB76/AB63</f>
        <v>53.558081161526964</v>
      </c>
      <c r="AC92" s="10">
        <f t="shared" si="182"/>
        <v>65.082197129363479</v>
      </c>
      <c r="AD92" s="10">
        <f t="shared" si="182"/>
        <v>80.343326170645369</v>
      </c>
    </row>
    <row r="93" spans="1:46">
      <c r="A93" s="185" t="s">
        <v>16</v>
      </c>
      <c r="B93" s="186" t="str">
        <f>'[2]TS BYDem'!D20</f>
        <v>TFHCV1</v>
      </c>
      <c r="C93" s="186" t="str">
        <f t="shared" ref="C93:C99" si="183">C14</f>
        <v>Transport Freight - HCV1</v>
      </c>
      <c r="D93" s="185" t="s">
        <v>150</v>
      </c>
      <c r="F93" s="235">
        <f t="shared" ref="F93:F101" si="184">SUMIF($I$223:$I$247,$B93,$W$223:$W$247)/1000000000</f>
        <v>3.6611476956492877</v>
      </c>
      <c r="G93" s="235">
        <f t="shared" ref="G93:G100" si="185">(F93+H93)/2</f>
        <v>3.6563130331972848</v>
      </c>
      <c r="H93" s="235">
        <f t="shared" ref="H93:H101" si="186">SUMIF($I$223:$I$247,$B93,$AB$223:$AB$247)/1000000000</f>
        <v>3.6514783707452825</v>
      </c>
      <c r="I93" s="24">
        <f>I46/H46*H93</f>
        <v>3.6969302362999743</v>
      </c>
      <c r="J93" s="24">
        <f t="shared" ref="J93:N93" si="187">J46/I46*I93</f>
        <v>3.4838443737120905</v>
      </c>
      <c r="K93" s="24">
        <f t="shared" si="187"/>
        <v>3.5419892634131425</v>
      </c>
      <c r="L93" s="24">
        <f t="shared" si="187"/>
        <v>4.2161106477598791</v>
      </c>
      <c r="M93" s="24">
        <f t="shared" si="187"/>
        <v>5.1232930371266825</v>
      </c>
      <c r="N93" s="24">
        <f t="shared" si="187"/>
        <v>6.3246543863829006</v>
      </c>
      <c r="P93" s="10">
        <f t="shared" ref="P93:V100" si="188">P77/P64</f>
        <v>3.8580863992004506</v>
      </c>
      <c r="Q93" s="10">
        <f t="shared" si="188"/>
        <v>3.9779404514613912</v>
      </c>
      <c r="R93" s="10">
        <f t="shared" si="188"/>
        <v>3.7486575550464352</v>
      </c>
      <c r="S93" s="10">
        <f t="shared" si="188"/>
        <v>3.8115870711057012</v>
      </c>
      <c r="T93" s="10">
        <f t="shared" si="188"/>
        <v>4.5365846855543026</v>
      </c>
      <c r="U93" s="10">
        <f t="shared" si="188"/>
        <v>5.5127236151131527</v>
      </c>
      <c r="V93" s="10">
        <f t="shared" si="188"/>
        <v>6.8054025683442232</v>
      </c>
      <c r="W93" s="285"/>
      <c r="X93" s="10">
        <f t="shared" ref="X93:X101" si="189">P93</f>
        <v>3.8580863992004506</v>
      </c>
      <c r="Y93" s="10">
        <f t="shared" ref="Y93:Y101" si="190">Q93</f>
        <v>3.9779404514613912</v>
      </c>
      <c r="Z93" s="10">
        <f t="shared" ref="Z93:Z101" si="191">R93</f>
        <v>3.7486575550464352</v>
      </c>
      <c r="AA93" s="10">
        <f t="shared" ref="AA93:AA101" si="192">S93</f>
        <v>3.8115870711057012</v>
      </c>
      <c r="AB93" s="10">
        <f t="shared" ref="AB93:AD93" si="193">AB77/AB64</f>
        <v>4.3097554512765877</v>
      </c>
      <c r="AC93" s="10">
        <f t="shared" si="193"/>
        <v>4.97523306263962</v>
      </c>
      <c r="AD93" s="10">
        <f t="shared" si="193"/>
        <v>5.8347820270341284</v>
      </c>
    </row>
    <row r="94" spans="1:46">
      <c r="A94" s="185" t="s">
        <v>16</v>
      </c>
      <c r="B94" s="186" t="str">
        <f>'[2]TS BYDem'!D21</f>
        <v>TFHCV2</v>
      </c>
      <c r="C94" s="186" t="str">
        <f t="shared" si="183"/>
        <v>Transport Freight - HCV2</v>
      </c>
      <c r="D94" s="185" t="s">
        <v>150</v>
      </c>
      <c r="F94" s="235">
        <f t="shared" si="184"/>
        <v>0.91016288033514703</v>
      </c>
      <c r="G94" s="235">
        <f t="shared" si="185"/>
        <v>0.95659104741630863</v>
      </c>
      <c r="H94" s="235">
        <f t="shared" si="186"/>
        <v>1.0030192144974701</v>
      </c>
      <c r="I94" s="24">
        <f>I51/H51*H94</f>
        <v>1.0155043204894318</v>
      </c>
      <c r="J94" s="24">
        <f t="shared" ref="J94:N94" si="194">J51/I51*I94</f>
        <v>0.95697207880185675</v>
      </c>
      <c r="K94" s="24">
        <f t="shared" si="194"/>
        <v>0.97294381289789855</v>
      </c>
      <c r="L94" s="24">
        <f t="shared" si="194"/>
        <v>1.1581172228845511</v>
      </c>
      <c r="M94" s="24">
        <f t="shared" si="194"/>
        <v>1.4073098170071641</v>
      </c>
      <c r="N94" s="24">
        <f t="shared" si="194"/>
        <v>1.7373099962530976</v>
      </c>
      <c r="P94" s="10">
        <f t="shared" si="188"/>
        <v>0.95912192612469627</v>
      </c>
      <c r="Q94" s="10">
        <f t="shared" si="188"/>
        <v>0.98891664659837608</v>
      </c>
      <c r="R94" s="10">
        <f t="shared" si="188"/>
        <v>0.9319178687452786</v>
      </c>
      <c r="S94" s="10">
        <f t="shared" si="188"/>
        <v>0.94756116904435284</v>
      </c>
      <c r="T94" s="10">
        <f t="shared" si="188"/>
        <v>1.1277968898100288</v>
      </c>
      <c r="U94" s="10">
        <f t="shared" si="188"/>
        <v>1.3704654444794653</v>
      </c>
      <c r="V94" s="10">
        <f t="shared" si="188"/>
        <v>1.6918259841866072</v>
      </c>
      <c r="W94" s="285"/>
      <c r="X94" s="10">
        <f t="shared" si="189"/>
        <v>0.95912192612469627</v>
      </c>
      <c r="Y94" s="10">
        <f t="shared" si="190"/>
        <v>0.98891664659837608</v>
      </c>
      <c r="Z94" s="10">
        <f t="shared" si="191"/>
        <v>0.9319178687452786</v>
      </c>
      <c r="AA94" s="10">
        <f t="shared" si="192"/>
        <v>0.94756116904435284</v>
      </c>
      <c r="AB94" s="10">
        <f t="shared" ref="AB94:AD94" si="195">AB78/AB65</f>
        <v>1.0714070453195275</v>
      </c>
      <c r="AC94" s="10">
        <f t="shared" si="195"/>
        <v>1.2368450636427173</v>
      </c>
      <c r="AD94" s="10">
        <f t="shared" si="195"/>
        <v>1.4505293031919924</v>
      </c>
    </row>
    <row r="95" spans="1:46">
      <c r="A95" s="185" t="s">
        <v>16</v>
      </c>
      <c r="B95" s="186" t="str">
        <f>'[2]TS BYDem'!D22</f>
        <v>TFHCV3</v>
      </c>
      <c r="C95" s="186" t="str">
        <f t="shared" si="183"/>
        <v>Transport Freight - HCV3</v>
      </c>
      <c r="D95" s="185" t="s">
        <v>150</v>
      </c>
      <c r="F95" s="235">
        <f t="shared" si="184"/>
        <v>3.04238730086416</v>
      </c>
      <c r="G95" s="235">
        <f t="shared" si="185"/>
        <v>3.1708708396431251</v>
      </c>
      <c r="H95" s="235">
        <f t="shared" si="186"/>
        <v>3.2993543784220902</v>
      </c>
      <c r="I95" s="24">
        <f t="shared" ref="I95:N101" si="196">I52/H52*H95</f>
        <v>3.3404231720446353</v>
      </c>
      <c r="J95" s="24">
        <f t="shared" si="196"/>
        <v>3.1478858755507528</v>
      </c>
      <c r="K95" s="24">
        <f t="shared" si="196"/>
        <v>3.2004236635204188</v>
      </c>
      <c r="L95" s="24">
        <f t="shared" si="196"/>
        <v>3.8095373197457469</v>
      </c>
      <c r="M95" s="24">
        <f t="shared" si="196"/>
        <v>4.6292371466336357</v>
      </c>
      <c r="N95" s="24">
        <f t="shared" si="196"/>
        <v>5.7147472949318887</v>
      </c>
      <c r="P95" s="10">
        <f t="shared" si="188"/>
        <v>3.2060419415782513</v>
      </c>
      <c r="Q95" s="10">
        <f t="shared" si="188"/>
        <v>3.3056362901947787</v>
      </c>
      <c r="R95" s="10">
        <f t="shared" si="188"/>
        <v>3.1151073621844585</v>
      </c>
      <c r="S95" s="10">
        <f t="shared" si="188"/>
        <v>3.1673979787343032</v>
      </c>
      <c r="T95" s="10">
        <f t="shared" si="188"/>
        <v>3.7698691186446394</v>
      </c>
      <c r="U95" s="10">
        <f t="shared" si="188"/>
        <v>4.5810335211892639</v>
      </c>
      <c r="V95" s="10">
        <f t="shared" si="188"/>
        <v>5.6552403979230679</v>
      </c>
      <c r="W95" s="285"/>
      <c r="X95" s="10">
        <f t="shared" si="189"/>
        <v>3.2060419415782513</v>
      </c>
      <c r="Y95" s="10">
        <f t="shared" si="190"/>
        <v>3.3056362901947787</v>
      </c>
      <c r="Z95" s="10">
        <f t="shared" si="191"/>
        <v>3.1151073621844585</v>
      </c>
      <c r="AA95" s="10">
        <f t="shared" si="192"/>
        <v>3.1673979787343032</v>
      </c>
      <c r="AB95" s="10">
        <f t="shared" ref="AB95:AD95" si="197">AB79/AB66</f>
        <v>3.581375662712408</v>
      </c>
      <c r="AC95" s="10">
        <f t="shared" si="197"/>
        <v>4.1343827528733108</v>
      </c>
      <c r="AD95" s="10">
        <f t="shared" si="197"/>
        <v>4.8486617361692899</v>
      </c>
    </row>
    <row r="96" spans="1:46">
      <c r="A96" s="185" t="s">
        <v>16</v>
      </c>
      <c r="B96" s="186" t="str">
        <f>'[2]TS BYDem'!D23</f>
        <v>TFHCV4</v>
      </c>
      <c r="C96" s="186" t="str">
        <f t="shared" si="183"/>
        <v>Transport Freight - HCV4</v>
      </c>
      <c r="D96" s="185" t="s">
        <v>150</v>
      </c>
      <c r="F96" s="235">
        <f t="shared" si="184"/>
        <v>0.64156299948433904</v>
      </c>
      <c r="G96" s="329">
        <f>H96</f>
        <v>0.59840698910616308</v>
      </c>
      <c r="H96" s="235">
        <f t="shared" si="186"/>
        <v>0.59840698910616308</v>
      </c>
      <c r="I96" s="24">
        <f t="shared" si="196"/>
        <v>0.60585567461221745</v>
      </c>
      <c r="J96" s="24">
        <f t="shared" si="196"/>
        <v>0.57093500509000428</v>
      </c>
      <c r="K96" s="24">
        <f t="shared" si="196"/>
        <v>0.58046383282637526</v>
      </c>
      <c r="L96" s="24">
        <f t="shared" si="196"/>
        <v>0.69093934628715292</v>
      </c>
      <c r="M96" s="24">
        <f t="shared" si="196"/>
        <v>0.83960907045707112</v>
      </c>
      <c r="N96" s="24">
        <f t="shared" si="196"/>
        <v>1.0364890612018061</v>
      </c>
      <c r="P96" s="10">
        <f t="shared" si="188"/>
        <v>0.67607364911341206</v>
      </c>
      <c r="Q96" s="10">
        <f t="shared" si="188"/>
        <v>0.69707559354433934</v>
      </c>
      <c r="R96" s="10">
        <f t="shared" si="188"/>
        <v>0.65689783231449317</v>
      </c>
      <c r="S96" s="10">
        <f t="shared" si="188"/>
        <v>0.66792460881631299</v>
      </c>
      <c r="T96" s="10">
        <f t="shared" si="188"/>
        <v>0.79497062676210062</v>
      </c>
      <c r="U96" s="10">
        <f t="shared" si="188"/>
        <v>0.96602480747855068</v>
      </c>
      <c r="V96" s="10">
        <f t="shared" si="188"/>
        <v>1.192548033403235</v>
      </c>
      <c r="W96" s="285"/>
      <c r="X96" s="10">
        <f t="shared" si="189"/>
        <v>0.67607364911341206</v>
      </c>
      <c r="Y96" s="10">
        <f t="shared" si="190"/>
        <v>0.69707559354433934</v>
      </c>
      <c r="Z96" s="10">
        <f t="shared" si="191"/>
        <v>0.65689783231449317</v>
      </c>
      <c r="AA96" s="10">
        <f t="shared" si="192"/>
        <v>0.66792460881631299</v>
      </c>
      <c r="AB96" s="10">
        <f t="shared" ref="AB96:AD96" si="198">AB80/AB67</f>
        <v>0.75522209542399554</v>
      </c>
      <c r="AC96" s="10">
        <f t="shared" si="198"/>
        <v>0.87183738874939187</v>
      </c>
      <c r="AD96" s="10">
        <f t="shared" si="198"/>
        <v>1.0224608701390987</v>
      </c>
    </row>
    <row r="97" spans="1:78">
      <c r="A97" s="185" t="s">
        <v>16</v>
      </c>
      <c r="B97" s="186" t="str">
        <f>'[2]TS BYDem'!D24</f>
        <v>TFHCV5</v>
      </c>
      <c r="C97" s="186" t="str">
        <f t="shared" si="183"/>
        <v>Transport Freight - HCV5</v>
      </c>
      <c r="D97" s="185" t="s">
        <v>150</v>
      </c>
      <c r="F97" s="235">
        <f t="shared" si="184"/>
        <v>0.28132785630344898</v>
      </c>
      <c r="G97" s="235">
        <f t="shared" si="185"/>
        <v>0.28965797617838801</v>
      </c>
      <c r="H97" s="235">
        <f t="shared" si="186"/>
        <v>0.29798809605332705</v>
      </c>
      <c r="I97" s="24">
        <f t="shared" si="196"/>
        <v>0.30169731010405959</v>
      </c>
      <c r="J97" s="24">
        <f t="shared" si="196"/>
        <v>0.28430790120130756</v>
      </c>
      <c r="K97" s="24">
        <f t="shared" si="196"/>
        <v>0.28905296148047083</v>
      </c>
      <c r="L97" s="24">
        <f t="shared" si="196"/>
        <v>0.34406633618363702</v>
      </c>
      <c r="M97" s="24">
        <f t="shared" si="196"/>
        <v>0.41809924163539414</v>
      </c>
      <c r="N97" s="24">
        <f t="shared" si="196"/>
        <v>0.51613936259162185</v>
      </c>
      <c r="P97" s="10">
        <f t="shared" si="188"/>
        <v>0.29646090962415178</v>
      </c>
      <c r="Q97" s="10">
        <f t="shared" si="188"/>
        <v>0.30567034347508448</v>
      </c>
      <c r="R97" s="10">
        <f t="shared" si="188"/>
        <v>0.28805223980179057</v>
      </c>
      <c r="S97" s="10">
        <f t="shared" si="188"/>
        <v>0.29288752394019563</v>
      </c>
      <c r="T97" s="10">
        <f t="shared" si="188"/>
        <v>0.34859769411725622</v>
      </c>
      <c r="U97" s="10">
        <f t="shared" si="188"/>
        <v>0.42360561385605089</v>
      </c>
      <c r="V97" s="10">
        <f t="shared" si="188"/>
        <v>0.52293692442657103</v>
      </c>
      <c r="W97" s="285"/>
      <c r="X97" s="10">
        <f t="shared" si="189"/>
        <v>0.29646090962415178</v>
      </c>
      <c r="Y97" s="10">
        <f t="shared" si="190"/>
        <v>0.30567034347508448</v>
      </c>
      <c r="Z97" s="10">
        <f t="shared" si="191"/>
        <v>0.28805223980179057</v>
      </c>
      <c r="AA97" s="10">
        <f t="shared" si="192"/>
        <v>0.29288752394019563</v>
      </c>
      <c r="AB97" s="10">
        <f t="shared" ref="AB97:AD97" si="199">AB81/AB68</f>
        <v>0.33116780941139334</v>
      </c>
      <c r="AC97" s="10">
        <f t="shared" si="199"/>
        <v>0.38230406650508592</v>
      </c>
      <c r="AD97" s="10">
        <f t="shared" si="199"/>
        <v>0.44835304558023131</v>
      </c>
    </row>
    <row r="98" spans="1:78">
      <c r="A98" s="185" t="s">
        <v>16</v>
      </c>
      <c r="B98" s="186" t="str">
        <f>'[2]TS BYDem'!D25</f>
        <v>TFHCV6</v>
      </c>
      <c r="C98" s="186" t="str">
        <f t="shared" si="183"/>
        <v>Transport Freight - HCV6</v>
      </c>
      <c r="D98" s="185" t="s">
        <v>150</v>
      </c>
      <c r="F98" s="235">
        <f t="shared" si="184"/>
        <v>5.15418175848178</v>
      </c>
      <c r="G98" s="235">
        <f t="shared" si="185"/>
        <v>5.9081847615594549</v>
      </c>
      <c r="H98" s="235">
        <f t="shared" si="186"/>
        <v>6.6621877646371299</v>
      </c>
      <c r="I98" s="24">
        <f t="shared" si="196"/>
        <v>6.7451155083708541</v>
      </c>
      <c r="J98" s="24">
        <f t="shared" si="196"/>
        <v>6.3563365310876332</v>
      </c>
      <c r="K98" s="24">
        <f t="shared" si="196"/>
        <v>6.4624229249838852</v>
      </c>
      <c r="L98" s="24">
        <f t="shared" si="196"/>
        <v>7.6923694788665022</v>
      </c>
      <c r="M98" s="24">
        <f t="shared" si="196"/>
        <v>9.3475400155881054</v>
      </c>
      <c r="N98" s="24">
        <f t="shared" si="196"/>
        <v>11.539445339756615</v>
      </c>
      <c r="P98" s="10">
        <f t="shared" si="188"/>
        <v>5.4314330353392233</v>
      </c>
      <c r="Q98" s="10">
        <f t="shared" si="188"/>
        <v>5.6001582251733302</v>
      </c>
      <c r="R98" s="10">
        <f t="shared" si="188"/>
        <v>5.2773785695604669</v>
      </c>
      <c r="S98" s="10">
        <f t="shared" si="188"/>
        <v>5.3659653651615482</v>
      </c>
      <c r="T98" s="10">
        <f t="shared" si="188"/>
        <v>6.3866262647306353</v>
      </c>
      <c r="U98" s="10">
        <f t="shared" si="188"/>
        <v>7.7608394576195661</v>
      </c>
      <c r="V98" s="10">
        <f t="shared" si="188"/>
        <v>9.5806792549144166</v>
      </c>
      <c r="W98" s="285"/>
      <c r="X98" s="10">
        <f t="shared" si="189"/>
        <v>5.4314330353392233</v>
      </c>
      <c r="Y98" s="10">
        <f t="shared" si="190"/>
        <v>5.6001582251733302</v>
      </c>
      <c r="Z98" s="10">
        <f t="shared" si="191"/>
        <v>5.2773785695604669</v>
      </c>
      <c r="AA98" s="10">
        <f t="shared" si="192"/>
        <v>5.3659653651615482</v>
      </c>
      <c r="AB98" s="10">
        <f t="shared" ref="AB98:AD98" si="200">AB82/AB69</f>
        <v>6.0672949514941035</v>
      </c>
      <c r="AC98" s="10">
        <f t="shared" si="200"/>
        <v>7.0041576105016592</v>
      </c>
      <c r="AD98" s="10">
        <f t="shared" si="200"/>
        <v>8.2142348761822479</v>
      </c>
    </row>
    <row r="99" spans="1:78">
      <c r="A99" s="185" t="s">
        <v>16</v>
      </c>
      <c r="B99" s="186" t="str">
        <f>'[2]TS BYDem'!D26</f>
        <v>TFHCV7</v>
      </c>
      <c r="C99" s="186" t="str">
        <f t="shared" si="183"/>
        <v>Transport Freight - HCV7</v>
      </c>
      <c r="D99" s="185" t="s">
        <v>150</v>
      </c>
      <c r="F99" s="235">
        <f t="shared" si="184"/>
        <v>1.9761616214119699</v>
      </c>
      <c r="G99" s="235">
        <f t="shared" si="185"/>
        <v>2.1011591260379752</v>
      </c>
      <c r="H99" s="235">
        <f t="shared" si="186"/>
        <v>2.2261566306639802</v>
      </c>
      <c r="I99" s="24">
        <f t="shared" si="196"/>
        <v>2.2538667693002314</v>
      </c>
      <c r="J99" s="24">
        <f t="shared" si="196"/>
        <v>2.1239570566476127</v>
      </c>
      <c r="K99" s="24">
        <f t="shared" si="196"/>
        <v>2.1594056116176379</v>
      </c>
      <c r="L99" s="24">
        <f t="shared" si="196"/>
        <v>2.5703897767325388</v>
      </c>
      <c r="M99" s="24">
        <f t="shared" si="196"/>
        <v>3.123461679743238</v>
      </c>
      <c r="N99" s="24">
        <f t="shared" si="196"/>
        <v>3.8558824315398028</v>
      </c>
      <c r="P99" s="10">
        <f t="shared" si="188"/>
        <v>2.0824623609835862</v>
      </c>
      <c r="Q99" s="10">
        <f t="shared" si="188"/>
        <v>2.147153181047686</v>
      </c>
      <c r="R99" s="10">
        <f t="shared" si="188"/>
        <v>2.0233964341023469</v>
      </c>
      <c r="S99" s="10">
        <f t="shared" si="188"/>
        <v>2.0573614422906275</v>
      </c>
      <c r="T99" s="10">
        <f t="shared" si="188"/>
        <v>2.4486924028034318</v>
      </c>
      <c r="U99" s="10">
        <f t="shared" si="188"/>
        <v>2.9755786281400094</v>
      </c>
      <c r="V99" s="10">
        <f t="shared" si="188"/>
        <v>3.6733222726310317</v>
      </c>
      <c r="W99" s="285"/>
      <c r="X99" s="10">
        <f t="shared" si="189"/>
        <v>2.0824623609835862</v>
      </c>
      <c r="Y99" s="10">
        <f t="shared" si="190"/>
        <v>2.147153181047686</v>
      </c>
      <c r="Z99" s="10">
        <f t="shared" si="191"/>
        <v>2.0233964341023469</v>
      </c>
      <c r="AA99" s="10">
        <f t="shared" si="192"/>
        <v>2.0573614422906275</v>
      </c>
      <c r="AB99" s="10">
        <f t="shared" ref="AB99:AD99" si="201">AB83/AB70</f>
        <v>2.32625778266326</v>
      </c>
      <c r="AC99" s="10">
        <f t="shared" si="201"/>
        <v>2.6854597118963586</v>
      </c>
      <c r="AD99" s="10">
        <f t="shared" si="201"/>
        <v>3.1494146834970302</v>
      </c>
    </row>
    <row r="100" spans="1:78">
      <c r="A100" s="185" t="s">
        <v>16</v>
      </c>
      <c r="B100" s="186" t="str">
        <f>'[2]TS BYDem'!D27</f>
        <v>TFHCV8</v>
      </c>
      <c r="C100" s="186" t="str">
        <f>C21</f>
        <v>Transport Freight - HCV8</v>
      </c>
      <c r="D100" s="185" t="s">
        <v>150</v>
      </c>
      <c r="F100" s="235">
        <f t="shared" si="184"/>
        <v>7.0701624395945503E-2</v>
      </c>
      <c r="G100" s="235">
        <f t="shared" si="185"/>
        <v>9.6457651622891244E-2</v>
      </c>
      <c r="H100" s="235">
        <f t="shared" si="186"/>
        <v>0.122213678849837</v>
      </c>
      <c r="I100" s="24">
        <f t="shared" si="196"/>
        <v>0.12373493658054988</v>
      </c>
      <c r="J100" s="24">
        <f t="shared" si="196"/>
        <v>0.11660302875209383</v>
      </c>
      <c r="K100" s="24">
        <f t="shared" si="196"/>
        <v>0.11854911747429903</v>
      </c>
      <c r="L100" s="24">
        <f t="shared" si="196"/>
        <v>0.14111171979790094</v>
      </c>
      <c r="M100" s="24">
        <f t="shared" si="196"/>
        <v>0.17147479084347125</v>
      </c>
      <c r="N100" s="24">
        <f t="shared" si="196"/>
        <v>0.21168392676412007</v>
      </c>
      <c r="P100" s="10">
        <f t="shared" si="188"/>
        <v>7.450477231703187E-2</v>
      </c>
      <c r="Q100" s="10">
        <f t="shared" si="188"/>
        <v>7.6819231829088244E-2</v>
      </c>
      <c r="R100" s="10">
        <f t="shared" si="188"/>
        <v>7.2391556003291321E-2</v>
      </c>
      <c r="S100" s="10">
        <f t="shared" si="188"/>
        <v>7.3606730524197791E-2</v>
      </c>
      <c r="T100" s="10">
        <f t="shared" si="188"/>
        <v>8.7607475344306282E-2</v>
      </c>
      <c r="U100" s="10">
        <f t="shared" si="188"/>
        <v>0.10645801449025319</v>
      </c>
      <c r="V100" s="10">
        <f t="shared" si="188"/>
        <v>0.13142136189207901</v>
      </c>
      <c r="W100" s="285"/>
      <c r="X100" s="10">
        <f t="shared" si="189"/>
        <v>7.450477231703187E-2</v>
      </c>
      <c r="Y100" s="10">
        <f t="shared" si="190"/>
        <v>7.6819231829088244E-2</v>
      </c>
      <c r="Z100" s="10">
        <f t="shared" si="191"/>
        <v>7.2391556003291321E-2</v>
      </c>
      <c r="AA100" s="10">
        <f t="shared" si="192"/>
        <v>7.3606730524197791E-2</v>
      </c>
      <c r="AB100" s="10">
        <f t="shared" ref="AB100:AD100" si="202">AB84/AB71</f>
        <v>8.322710157709097E-2</v>
      </c>
      <c r="AC100" s="10">
        <f t="shared" si="202"/>
        <v>9.6078358077453491E-2</v>
      </c>
      <c r="AD100" s="10">
        <f t="shared" si="202"/>
        <v>0.11267739015222122</v>
      </c>
    </row>
    <row r="101" spans="1:78">
      <c r="A101" s="185" t="s">
        <v>16</v>
      </c>
      <c r="B101" s="186" t="str">
        <f>'[2]TS BYDem'!D28</f>
        <v>TFHCV9</v>
      </c>
      <c r="C101" s="186" t="str">
        <f>C22</f>
        <v>Transport Freight - HCV9</v>
      </c>
      <c r="D101" s="185" t="s">
        <v>150</v>
      </c>
      <c r="F101" s="235">
        <f t="shared" si="184"/>
        <v>5.2818957554105102E-2</v>
      </c>
      <c r="G101" s="329">
        <f>H101</f>
        <v>2.9412068148240201E-2</v>
      </c>
      <c r="H101" s="235">
        <f t="shared" si="186"/>
        <v>2.9412068148240201E-2</v>
      </c>
      <c r="I101" s="24">
        <f t="shared" si="196"/>
        <v>2.9778175579649249E-2</v>
      </c>
      <c r="J101" s="24">
        <f t="shared" si="196"/>
        <v>2.806180339405084E-2</v>
      </c>
      <c r="K101" s="24">
        <f t="shared" si="196"/>
        <v>2.8530151083595065E-2</v>
      </c>
      <c r="L101" s="24">
        <f t="shared" si="196"/>
        <v>3.3960089887407674E-2</v>
      </c>
      <c r="M101" s="24">
        <f t="shared" si="196"/>
        <v>4.1267297420857718E-2</v>
      </c>
      <c r="N101" s="24">
        <f t="shared" si="196"/>
        <v>5.0944068932932636E-2</v>
      </c>
      <c r="P101" s="10">
        <f>P85/P72</f>
        <v>5.5660169624295722E-2</v>
      </c>
      <c r="Q101" s="10">
        <f t="shared" ref="Q101:V101" si="203">Q85/Q72</f>
        <v>5.7389229455274797E-2</v>
      </c>
      <c r="R101" s="10">
        <f t="shared" si="203"/>
        <v>5.4081452250660592E-2</v>
      </c>
      <c r="S101" s="10">
        <f t="shared" si="203"/>
        <v>5.4989270875606774E-2</v>
      </c>
      <c r="T101" s="10">
        <f t="shared" si="203"/>
        <v>6.5448786518949975E-2</v>
      </c>
      <c r="U101" s="10">
        <f t="shared" si="203"/>
        <v>7.9531430807938397E-2</v>
      </c>
      <c r="V101" s="10">
        <f t="shared" si="203"/>
        <v>9.8180761683864221E-2</v>
      </c>
      <c r="W101" s="285"/>
      <c r="X101" s="10">
        <f t="shared" si="189"/>
        <v>5.5660169624295722E-2</v>
      </c>
      <c r="Y101" s="10">
        <f t="shared" si="190"/>
        <v>5.7389229455274797E-2</v>
      </c>
      <c r="Z101" s="10">
        <f t="shared" si="191"/>
        <v>5.4081452250660592E-2</v>
      </c>
      <c r="AA101" s="10">
        <f t="shared" si="192"/>
        <v>5.4989270875606774E-2</v>
      </c>
      <c r="AB101" s="10">
        <f t="shared" ref="AB101:AD101" si="204">AB85/AB72</f>
        <v>6.2176347193002475E-2</v>
      </c>
      <c r="AC101" s="10">
        <f t="shared" si="204"/>
        <v>7.177711630416439E-2</v>
      </c>
      <c r="AD101" s="10">
        <f t="shared" si="204"/>
        <v>8.4177730548703061E-2</v>
      </c>
    </row>
    <row r="102" spans="1:78">
      <c r="A102" s="185" t="s">
        <v>16</v>
      </c>
      <c r="B102" s="186" t="str">
        <f>'[2]TS BYDem'!D29</f>
        <v>TFRCO</v>
      </c>
      <c r="C102" s="186" t="str">
        <f>C23</f>
        <v>Transport Freight - Rail Corridor</v>
      </c>
      <c r="D102" s="185" t="s">
        <v>149</v>
      </c>
      <c r="F102" s="235">
        <f>'[2]TS BYDem'!J29</f>
        <v>22</v>
      </c>
      <c r="G102" s="24">
        <f t="shared" ref="G102:H102" si="205">G59</f>
        <v>23.183413464382845</v>
      </c>
      <c r="H102" s="24">
        <f t="shared" si="205"/>
        <v>23.609739017898917</v>
      </c>
      <c r="I102" s="24">
        <f t="shared" ref="I102:N102" si="206">I59</f>
        <v>23.903621816773025</v>
      </c>
      <c r="J102" s="10">
        <f t="shared" si="206"/>
        <v>22.525850653068453</v>
      </c>
      <c r="K102" s="10">
        <f t="shared" si="206"/>
        <v>22.901804042814582</v>
      </c>
      <c r="L102" s="10">
        <f t="shared" si="206"/>
        <v>27.260539966961023</v>
      </c>
      <c r="M102" s="10">
        <f t="shared" si="206"/>
        <v>33.126202386375169</v>
      </c>
      <c r="N102" s="10">
        <f t="shared" si="206"/>
        <v>40.89396794384745</v>
      </c>
      <c r="P102" s="10"/>
      <c r="W102" s="285"/>
    </row>
    <row r="103" spans="1:78">
      <c r="A103" s="185" t="s">
        <v>16</v>
      </c>
      <c r="B103" s="186" t="str">
        <f>'[2]TS BYDem'!D30</f>
        <v>TFROT</v>
      </c>
      <c r="C103" s="186" t="str">
        <f>C24</f>
        <v>Transport Freight - Rail Other</v>
      </c>
      <c r="D103" s="185" t="s">
        <v>149</v>
      </c>
      <c r="F103" s="235">
        <f>'[2]TS BYDem'!J30</f>
        <v>25.1</v>
      </c>
      <c r="G103" s="24">
        <f t="shared" ref="G103:H103" si="207">G47</f>
        <v>26.450167179818607</v>
      </c>
      <c r="H103" s="24">
        <f t="shared" si="207"/>
        <v>26.936565879511939</v>
      </c>
      <c r="I103" s="24">
        <f t="shared" ref="I103:N103" si="208">I47</f>
        <v>27.271859436409219</v>
      </c>
      <c r="J103" s="10">
        <f t="shared" si="208"/>
        <v>25.699947790546279</v>
      </c>
      <c r="K103" s="10">
        <f t="shared" si="208"/>
        <v>26.12887643066572</v>
      </c>
      <c r="L103" s="10">
        <f t="shared" si="208"/>
        <v>31.101797871396435</v>
      </c>
      <c r="M103" s="10">
        <f t="shared" si="208"/>
        <v>37.79398544990984</v>
      </c>
      <c r="N103" s="10">
        <f t="shared" si="208"/>
        <v>46.656299790480489</v>
      </c>
      <c r="P103" s="10"/>
    </row>
    <row r="104" spans="1:78">
      <c r="A104" s="185" t="s">
        <v>16</v>
      </c>
      <c r="B104" s="186" t="str">
        <f>'[2]TS BYDem'!D31</f>
        <v>TFREX</v>
      </c>
      <c r="C104" s="186" t="str">
        <f>C25</f>
        <v>Transport Freight - Rail Export (bulk mining)</v>
      </c>
      <c r="D104" s="185" t="s">
        <v>149</v>
      </c>
      <c r="F104" s="235">
        <f>'[2]TS BYDem'!J31</f>
        <v>82</v>
      </c>
      <c r="G104" s="24">
        <f>F104</f>
        <v>82</v>
      </c>
      <c r="H104" s="24">
        <f>G104</f>
        <v>82</v>
      </c>
      <c r="I104" s="24">
        <f>F104*(1+(F25+I25)/2*((I8/F8)^(1/(I$4-F$4))-1))^(I$4-F$4)</f>
        <v>86.036801673044508</v>
      </c>
      <c r="J104" s="10">
        <f>G104*(1+(G25+J25)/2*((J8/G8)^(1/(J$4-G$4))-1))^(J$4-G$4)</f>
        <v>76.525600127976475</v>
      </c>
      <c r="K104" s="10">
        <f>I104*(1+(I25+K25)/2*((K8/I8)^(1/(K$4-I$4))-1))^(K$4-I$4)</f>
        <v>81.331040777374611</v>
      </c>
      <c r="L104" s="10">
        <f>J104*(1+(J25+L25)/2*((L8/J8)^(1/(L$4-J$4))-1))^(L$4-J$4)</f>
        <v>87.911204464677908</v>
      </c>
      <c r="M104" s="10">
        <f>L104*(1+(L25+M25)/2*((M8/L8)^(1/(M$4-L$4))-1))^(M$4-L$4)</f>
        <v>108.4587289306711</v>
      </c>
      <c r="N104" s="10">
        <f>M104*(1+(M25+N25)/2*((N8/M8)^(1/(N$4-M$4))-1))^(N$4-M$4)</f>
        <v>131.69334513658779</v>
      </c>
      <c r="P104" s="10"/>
    </row>
    <row r="105" spans="1:78">
      <c r="B105" s="186"/>
      <c r="C105" s="186"/>
      <c r="F105" s="235"/>
      <c r="G105" s="10"/>
      <c r="H105" s="10"/>
      <c r="J105" s="10"/>
      <c r="L105" s="10"/>
      <c r="M105" s="10"/>
      <c r="N105" s="10"/>
      <c r="P105" s="10"/>
    </row>
    <row r="106" spans="1:78" ht="23.25">
      <c r="A106" s="114" t="s">
        <v>16</v>
      </c>
      <c r="B106" s="118" t="s">
        <v>18</v>
      </c>
      <c r="C106" s="118" t="s">
        <v>19</v>
      </c>
      <c r="D106" s="118" t="s">
        <v>20</v>
      </c>
      <c r="E106" s="118" t="s">
        <v>21</v>
      </c>
      <c r="F106" s="118" t="s">
        <v>22</v>
      </c>
      <c r="G106" s="118" t="s">
        <v>23</v>
      </c>
      <c r="H106" s="118" t="s">
        <v>24</v>
      </c>
      <c r="I106" s="118" t="s">
        <v>614</v>
      </c>
      <c r="J106" s="118" t="s">
        <v>644</v>
      </c>
      <c r="K106" s="118" t="s">
        <v>645</v>
      </c>
      <c r="L106" s="119" t="s">
        <v>25</v>
      </c>
      <c r="M106" s="185">
        <v>2012</v>
      </c>
      <c r="N106" s="185">
        <f t="shared" ref="N106:AY106" si="209">1+M106</f>
        <v>2013</v>
      </c>
      <c r="O106" s="185">
        <f t="shared" si="209"/>
        <v>2014</v>
      </c>
      <c r="P106" s="185">
        <f t="shared" si="209"/>
        <v>2015</v>
      </c>
      <c r="Q106" s="185">
        <f t="shared" si="209"/>
        <v>2016</v>
      </c>
      <c r="R106" s="185">
        <f t="shared" si="209"/>
        <v>2017</v>
      </c>
      <c r="S106" s="185">
        <f t="shared" si="209"/>
        <v>2018</v>
      </c>
      <c r="T106" s="185">
        <f t="shared" si="209"/>
        <v>2019</v>
      </c>
      <c r="U106" s="185">
        <f t="shared" si="209"/>
        <v>2020</v>
      </c>
      <c r="V106" s="185">
        <f t="shared" si="209"/>
        <v>2021</v>
      </c>
      <c r="W106" s="185">
        <f t="shared" si="209"/>
        <v>2022</v>
      </c>
      <c r="X106" s="185">
        <f t="shared" si="209"/>
        <v>2023</v>
      </c>
      <c r="Y106" s="185">
        <f t="shared" si="209"/>
        <v>2024</v>
      </c>
      <c r="Z106" s="185">
        <f t="shared" si="209"/>
        <v>2025</v>
      </c>
      <c r="AA106" s="185">
        <f t="shared" si="209"/>
        <v>2026</v>
      </c>
      <c r="AB106" s="185">
        <f t="shared" si="209"/>
        <v>2027</v>
      </c>
      <c r="AC106" s="185">
        <f t="shared" si="209"/>
        <v>2028</v>
      </c>
      <c r="AD106" s="185">
        <f t="shared" si="209"/>
        <v>2029</v>
      </c>
      <c r="AE106" s="185">
        <f t="shared" si="209"/>
        <v>2030</v>
      </c>
      <c r="AF106" s="185">
        <f t="shared" si="209"/>
        <v>2031</v>
      </c>
      <c r="AG106" s="185">
        <f t="shared" si="209"/>
        <v>2032</v>
      </c>
      <c r="AH106" s="185">
        <f t="shared" si="209"/>
        <v>2033</v>
      </c>
      <c r="AI106" s="185">
        <f t="shared" si="209"/>
        <v>2034</v>
      </c>
      <c r="AJ106" s="185">
        <f t="shared" si="209"/>
        <v>2035</v>
      </c>
      <c r="AK106" s="185">
        <f t="shared" si="209"/>
        <v>2036</v>
      </c>
      <c r="AL106" s="185">
        <f t="shared" si="209"/>
        <v>2037</v>
      </c>
      <c r="AM106" s="185">
        <f t="shared" si="209"/>
        <v>2038</v>
      </c>
      <c r="AN106" s="185">
        <f t="shared" si="209"/>
        <v>2039</v>
      </c>
      <c r="AO106" s="185">
        <f t="shared" si="209"/>
        <v>2040</v>
      </c>
      <c r="AP106" s="185">
        <f t="shared" si="209"/>
        <v>2041</v>
      </c>
      <c r="AQ106" s="185">
        <f t="shared" si="209"/>
        <v>2042</v>
      </c>
      <c r="AR106" s="185">
        <f t="shared" si="209"/>
        <v>2043</v>
      </c>
      <c r="AS106" s="185">
        <f t="shared" si="209"/>
        <v>2044</v>
      </c>
      <c r="AT106" s="185">
        <f t="shared" si="209"/>
        <v>2045</v>
      </c>
      <c r="AU106" s="185">
        <f t="shared" si="209"/>
        <v>2046</v>
      </c>
      <c r="AV106" s="185">
        <f t="shared" si="209"/>
        <v>2047</v>
      </c>
      <c r="AW106" s="185">
        <f t="shared" si="209"/>
        <v>2048</v>
      </c>
      <c r="AX106" s="185">
        <f t="shared" si="209"/>
        <v>2049</v>
      </c>
      <c r="AY106" s="185">
        <f t="shared" si="209"/>
        <v>2050</v>
      </c>
      <c r="AZ106" s="185">
        <v>2060</v>
      </c>
      <c r="BA106" s="185">
        <v>2070</v>
      </c>
    </row>
    <row r="107" spans="1:78" s="191" customFormat="1">
      <c r="A107" s="114" t="s">
        <v>16</v>
      </c>
      <c r="B107" s="191" t="s">
        <v>392</v>
      </c>
      <c r="C107" s="191">
        <v>1</v>
      </c>
      <c r="D107" s="191">
        <v>2012</v>
      </c>
      <c r="E107" s="191">
        <v>2015</v>
      </c>
      <c r="F107" s="191">
        <v>2017</v>
      </c>
      <c r="G107" s="191">
        <v>2019</v>
      </c>
      <c r="H107" s="191">
        <v>2020</v>
      </c>
      <c r="I107" s="191">
        <v>2021</v>
      </c>
      <c r="J107" s="191">
        <v>2030</v>
      </c>
      <c r="K107" s="191">
        <v>2040</v>
      </c>
      <c r="L107" s="236">
        <v>2050</v>
      </c>
      <c r="M107" s="191">
        <f t="shared" ref="M107:V108" si="210">MATCH(M$106,$D$107:$L$107,$C107)</f>
        <v>1</v>
      </c>
      <c r="N107" s="191">
        <f t="shared" si="210"/>
        <v>1</v>
      </c>
      <c r="O107" s="191">
        <f t="shared" si="210"/>
        <v>1</v>
      </c>
      <c r="P107" s="191">
        <f t="shared" si="210"/>
        <v>2</v>
      </c>
      <c r="Q107" s="191">
        <f t="shared" si="210"/>
        <v>2</v>
      </c>
      <c r="R107" s="191">
        <f t="shared" si="210"/>
        <v>3</v>
      </c>
      <c r="S107" s="191">
        <f t="shared" si="210"/>
        <v>3</v>
      </c>
      <c r="T107" s="191">
        <f t="shared" si="210"/>
        <v>4</v>
      </c>
      <c r="U107" s="191">
        <f t="shared" si="210"/>
        <v>5</v>
      </c>
      <c r="V107" s="191">
        <f t="shared" si="210"/>
        <v>6</v>
      </c>
      <c r="W107" s="191">
        <f t="shared" ref="W107:AF108" si="211">MATCH(W$106,$D$107:$L$107,$C107)</f>
        <v>6</v>
      </c>
      <c r="X107" s="191">
        <f t="shared" si="211"/>
        <v>6</v>
      </c>
      <c r="Y107" s="191">
        <f t="shared" si="211"/>
        <v>6</v>
      </c>
      <c r="Z107" s="191">
        <f t="shared" si="211"/>
        <v>6</v>
      </c>
      <c r="AA107" s="191">
        <f t="shared" si="211"/>
        <v>6</v>
      </c>
      <c r="AB107" s="191">
        <f t="shared" si="211"/>
        <v>6</v>
      </c>
      <c r="AC107" s="191">
        <f t="shared" si="211"/>
        <v>6</v>
      </c>
      <c r="AD107" s="191">
        <f t="shared" si="211"/>
        <v>6</v>
      </c>
      <c r="AE107" s="191">
        <f t="shared" si="211"/>
        <v>7</v>
      </c>
      <c r="AF107" s="191">
        <f t="shared" si="211"/>
        <v>7</v>
      </c>
      <c r="AG107" s="191">
        <f t="shared" ref="AG107:AP108" si="212">MATCH(AG$106,$D$107:$L$107,$C107)</f>
        <v>7</v>
      </c>
      <c r="AH107" s="191">
        <f t="shared" si="212"/>
        <v>7</v>
      </c>
      <c r="AI107" s="191">
        <f t="shared" si="212"/>
        <v>7</v>
      </c>
      <c r="AJ107" s="191">
        <f t="shared" si="212"/>
        <v>7</v>
      </c>
      <c r="AK107" s="191">
        <f t="shared" si="212"/>
        <v>7</v>
      </c>
      <c r="AL107" s="191">
        <f t="shared" si="212"/>
        <v>7</v>
      </c>
      <c r="AM107" s="191">
        <f t="shared" si="212"/>
        <v>7</v>
      </c>
      <c r="AN107" s="191">
        <f t="shared" si="212"/>
        <v>7</v>
      </c>
      <c r="AO107" s="191">
        <f t="shared" si="212"/>
        <v>8</v>
      </c>
      <c r="AP107" s="191">
        <f t="shared" si="212"/>
        <v>8</v>
      </c>
      <c r="AQ107" s="191">
        <f t="shared" ref="AQ107:BA108" si="213">MATCH(AQ$106,$D$107:$L$107,$C107)</f>
        <v>8</v>
      </c>
      <c r="AR107" s="191">
        <f t="shared" si="213"/>
        <v>8</v>
      </c>
      <c r="AS107" s="191">
        <f t="shared" si="213"/>
        <v>8</v>
      </c>
      <c r="AT107" s="191">
        <f t="shared" si="213"/>
        <v>8</v>
      </c>
      <c r="AU107" s="191">
        <f t="shared" si="213"/>
        <v>8</v>
      </c>
      <c r="AV107" s="191">
        <f t="shared" si="213"/>
        <v>8</v>
      </c>
      <c r="AW107" s="191">
        <f t="shared" si="213"/>
        <v>8</v>
      </c>
      <c r="AX107" s="191">
        <f t="shared" si="213"/>
        <v>8</v>
      </c>
      <c r="AY107" s="191">
        <f t="shared" si="213"/>
        <v>9</v>
      </c>
      <c r="AZ107" s="191">
        <f t="shared" si="213"/>
        <v>9</v>
      </c>
      <c r="BA107" s="191">
        <f t="shared" si="213"/>
        <v>9</v>
      </c>
      <c r="BB107" s="185"/>
      <c r="BC107" s="185"/>
      <c r="BD107" s="185"/>
      <c r="BE107" s="185"/>
      <c r="BF107" s="185"/>
      <c r="BG107" s="185"/>
      <c r="BH107" s="185"/>
      <c r="BI107" s="185"/>
      <c r="BJ107" s="185"/>
      <c r="BK107" s="185"/>
      <c r="BL107" s="185"/>
      <c r="BM107" s="185"/>
      <c r="BN107" s="185"/>
      <c r="BO107" s="185"/>
      <c r="BP107" s="185"/>
      <c r="BQ107" s="185"/>
      <c r="BR107" s="185"/>
      <c r="BS107" s="185"/>
      <c r="BT107" s="185"/>
      <c r="BU107" s="185"/>
      <c r="BV107" s="185"/>
      <c r="BW107" s="185"/>
      <c r="BX107" s="185"/>
      <c r="BY107" s="185"/>
      <c r="BZ107" s="185"/>
    </row>
    <row r="108" spans="1:78">
      <c r="A108" s="40" t="s">
        <v>16</v>
      </c>
      <c r="B108" s="185" t="s">
        <v>393</v>
      </c>
      <c r="C108" s="185">
        <v>0</v>
      </c>
      <c r="D108" s="185" cm="1">
        <f t="array" ref="D108">INDEX($D107:$L107,0,COUNT($D107:$L107)-D109)</f>
        <v>2050</v>
      </c>
      <c r="E108" s="281" cm="1">
        <f t="array" ref="E108">INDEX($D107:$L107,0,COUNT($D107:$L107)-E109)</f>
        <v>2040</v>
      </c>
      <c r="F108" s="281" cm="1">
        <f t="array" ref="F108">INDEX($D107:$L107,0,COUNT($D107:$L107)-F109)</f>
        <v>2030</v>
      </c>
      <c r="G108" s="281" cm="1">
        <f t="array" ref="G108">INDEX($D107:$L107,0,COUNT($D107:$L107)-G109)</f>
        <v>2021</v>
      </c>
      <c r="H108" s="281" cm="1">
        <f t="array" ref="H108">INDEX($D107:$L107,0,COUNT($D107:$L107)-H109)</f>
        <v>2020</v>
      </c>
      <c r="I108" s="281" cm="1">
        <f t="array" ref="I108">INDEX($D107:$L107,0,COUNT($D107:$L107)-I109)</f>
        <v>2019</v>
      </c>
      <c r="J108" s="281" cm="1">
        <f t="array" ref="J108">INDEX($D107:$L107,0,COUNT($D107:$L107)-J109)</f>
        <v>2017</v>
      </c>
      <c r="K108" s="281" cm="1">
        <f t="array" ref="K108">INDEX($D107:$L107,0,COUNT($D107:$L107)-K109)</f>
        <v>2015</v>
      </c>
      <c r="L108" s="281" cm="1">
        <f t="array" ref="L108">INDEX($D107:$L107,0,COUNT($D107:$L107)-L109)</f>
        <v>2012</v>
      </c>
      <c r="M108" s="40">
        <f t="shared" si="210"/>
        <v>1</v>
      </c>
      <c r="N108" s="40" t="e">
        <f t="shared" si="210"/>
        <v>#N/A</v>
      </c>
      <c r="O108" s="40" t="e">
        <f t="shared" si="210"/>
        <v>#N/A</v>
      </c>
      <c r="P108" s="40">
        <f t="shared" si="210"/>
        <v>2</v>
      </c>
      <c r="Q108" s="40" t="e">
        <f t="shared" si="210"/>
        <v>#N/A</v>
      </c>
      <c r="R108" s="40">
        <f t="shared" si="210"/>
        <v>3</v>
      </c>
      <c r="S108" s="40" t="e">
        <f t="shared" si="210"/>
        <v>#N/A</v>
      </c>
      <c r="T108" s="40">
        <f t="shared" si="210"/>
        <v>4</v>
      </c>
      <c r="U108" s="40">
        <f t="shared" si="210"/>
        <v>5</v>
      </c>
      <c r="V108" s="40">
        <f t="shared" si="210"/>
        <v>6</v>
      </c>
      <c r="W108" s="40" t="e">
        <f t="shared" si="211"/>
        <v>#N/A</v>
      </c>
      <c r="X108" s="40" t="e">
        <f t="shared" si="211"/>
        <v>#N/A</v>
      </c>
      <c r="Y108" s="40" t="e">
        <f t="shared" si="211"/>
        <v>#N/A</v>
      </c>
      <c r="Z108" s="40" t="e">
        <f t="shared" si="211"/>
        <v>#N/A</v>
      </c>
      <c r="AA108" s="40" t="e">
        <f t="shared" si="211"/>
        <v>#N/A</v>
      </c>
      <c r="AB108" s="40" t="e">
        <f t="shared" si="211"/>
        <v>#N/A</v>
      </c>
      <c r="AC108" s="40" t="e">
        <f t="shared" si="211"/>
        <v>#N/A</v>
      </c>
      <c r="AD108" s="40" t="e">
        <f t="shared" si="211"/>
        <v>#N/A</v>
      </c>
      <c r="AE108" s="40">
        <f t="shared" si="211"/>
        <v>7</v>
      </c>
      <c r="AF108" s="40" t="e">
        <f t="shared" si="211"/>
        <v>#N/A</v>
      </c>
      <c r="AG108" s="40" t="e">
        <f t="shared" si="212"/>
        <v>#N/A</v>
      </c>
      <c r="AH108" s="40" t="e">
        <f t="shared" si="212"/>
        <v>#N/A</v>
      </c>
      <c r="AI108" s="40" t="e">
        <f t="shared" si="212"/>
        <v>#N/A</v>
      </c>
      <c r="AJ108" s="40" t="e">
        <f t="shared" si="212"/>
        <v>#N/A</v>
      </c>
      <c r="AK108" s="40" t="e">
        <f t="shared" si="212"/>
        <v>#N/A</v>
      </c>
      <c r="AL108" s="40" t="e">
        <f t="shared" si="212"/>
        <v>#N/A</v>
      </c>
      <c r="AM108" s="40" t="e">
        <f t="shared" si="212"/>
        <v>#N/A</v>
      </c>
      <c r="AN108" s="40" t="e">
        <f t="shared" si="212"/>
        <v>#N/A</v>
      </c>
      <c r="AO108" s="40">
        <f t="shared" si="212"/>
        <v>8</v>
      </c>
      <c r="AP108" s="40" t="e">
        <f t="shared" si="212"/>
        <v>#N/A</v>
      </c>
      <c r="AQ108" s="40" t="e">
        <f t="shared" si="213"/>
        <v>#N/A</v>
      </c>
      <c r="AR108" s="40" t="e">
        <f t="shared" si="213"/>
        <v>#N/A</v>
      </c>
      <c r="AS108" s="40" t="e">
        <f t="shared" si="213"/>
        <v>#N/A</v>
      </c>
      <c r="AT108" s="40" t="e">
        <f t="shared" si="213"/>
        <v>#N/A</v>
      </c>
      <c r="AU108" s="40" t="e">
        <f t="shared" si="213"/>
        <v>#N/A</v>
      </c>
      <c r="AV108" s="40" t="e">
        <f t="shared" si="213"/>
        <v>#N/A</v>
      </c>
      <c r="AW108" s="40" t="e">
        <f t="shared" si="213"/>
        <v>#N/A</v>
      </c>
      <c r="AX108" s="40" t="e">
        <f t="shared" si="213"/>
        <v>#N/A</v>
      </c>
      <c r="AY108" s="40">
        <f t="shared" si="213"/>
        <v>9</v>
      </c>
      <c r="AZ108" s="40" t="e">
        <f t="shared" si="213"/>
        <v>#N/A</v>
      </c>
      <c r="BA108" s="40" t="e">
        <f t="shared" si="213"/>
        <v>#N/A</v>
      </c>
    </row>
    <row r="109" spans="1:78">
      <c r="A109" s="40" t="s">
        <v>16</v>
      </c>
      <c r="B109" s="185" t="s">
        <v>391</v>
      </c>
      <c r="C109" s="185">
        <v>-1</v>
      </c>
      <c r="D109" s="185">
        <v>0</v>
      </c>
      <c r="E109" s="281">
        <v>1</v>
      </c>
      <c r="F109" s="281">
        <v>2</v>
      </c>
      <c r="G109" s="281">
        <v>3</v>
      </c>
      <c r="H109" s="281">
        <v>4</v>
      </c>
      <c r="I109" s="281">
        <v>5</v>
      </c>
      <c r="J109" s="281">
        <v>6</v>
      </c>
      <c r="K109" s="281">
        <v>7</v>
      </c>
      <c r="L109" s="281">
        <v>8</v>
      </c>
      <c r="M109" s="40">
        <f t="shared" ref="M109:BA109" si="214">MATCH(M$106,$D$108:$L$108,$C109)</f>
        <v>9</v>
      </c>
      <c r="N109" s="40">
        <f t="shared" si="214"/>
        <v>8</v>
      </c>
      <c r="O109" s="40">
        <f t="shared" si="214"/>
        <v>8</v>
      </c>
      <c r="P109" s="40">
        <f t="shared" si="214"/>
        <v>8</v>
      </c>
      <c r="Q109" s="40">
        <f t="shared" si="214"/>
        <v>7</v>
      </c>
      <c r="R109" s="40">
        <f t="shared" si="214"/>
        <v>7</v>
      </c>
      <c r="S109" s="40">
        <f t="shared" si="214"/>
        <v>6</v>
      </c>
      <c r="T109" s="40">
        <f t="shared" si="214"/>
        <v>6</v>
      </c>
      <c r="U109" s="40">
        <f t="shared" si="214"/>
        <v>5</v>
      </c>
      <c r="V109" s="40">
        <f t="shared" si="214"/>
        <v>4</v>
      </c>
      <c r="W109" s="40">
        <f t="shared" si="214"/>
        <v>3</v>
      </c>
      <c r="X109" s="40">
        <f t="shared" si="214"/>
        <v>3</v>
      </c>
      <c r="Y109" s="40">
        <f t="shared" si="214"/>
        <v>3</v>
      </c>
      <c r="Z109" s="40">
        <f t="shared" si="214"/>
        <v>3</v>
      </c>
      <c r="AA109" s="40">
        <f t="shared" si="214"/>
        <v>3</v>
      </c>
      <c r="AB109" s="40">
        <f t="shared" si="214"/>
        <v>3</v>
      </c>
      <c r="AC109" s="40">
        <f t="shared" si="214"/>
        <v>3</v>
      </c>
      <c r="AD109" s="40">
        <f t="shared" si="214"/>
        <v>3</v>
      </c>
      <c r="AE109" s="40">
        <f t="shared" si="214"/>
        <v>3</v>
      </c>
      <c r="AF109" s="40">
        <f t="shared" si="214"/>
        <v>2</v>
      </c>
      <c r="AG109" s="40">
        <f t="shared" si="214"/>
        <v>2</v>
      </c>
      <c r="AH109" s="40">
        <f t="shared" si="214"/>
        <v>2</v>
      </c>
      <c r="AI109" s="40">
        <f t="shared" si="214"/>
        <v>2</v>
      </c>
      <c r="AJ109" s="40">
        <f t="shared" si="214"/>
        <v>2</v>
      </c>
      <c r="AK109" s="40">
        <f t="shared" si="214"/>
        <v>2</v>
      </c>
      <c r="AL109" s="40">
        <f t="shared" si="214"/>
        <v>2</v>
      </c>
      <c r="AM109" s="40">
        <f t="shared" si="214"/>
        <v>2</v>
      </c>
      <c r="AN109" s="40">
        <f t="shared" si="214"/>
        <v>2</v>
      </c>
      <c r="AO109" s="40">
        <f t="shared" si="214"/>
        <v>2</v>
      </c>
      <c r="AP109" s="40">
        <f t="shared" si="214"/>
        <v>1</v>
      </c>
      <c r="AQ109" s="40">
        <f t="shared" si="214"/>
        <v>1</v>
      </c>
      <c r="AR109" s="40">
        <f t="shared" si="214"/>
        <v>1</v>
      </c>
      <c r="AS109" s="40">
        <f t="shared" si="214"/>
        <v>1</v>
      </c>
      <c r="AT109" s="40">
        <f t="shared" si="214"/>
        <v>1</v>
      </c>
      <c r="AU109" s="40">
        <f t="shared" si="214"/>
        <v>1</v>
      </c>
      <c r="AV109" s="40">
        <f t="shared" si="214"/>
        <v>1</v>
      </c>
      <c r="AW109" s="40">
        <f t="shared" si="214"/>
        <v>1</v>
      </c>
      <c r="AX109" s="40">
        <f t="shared" si="214"/>
        <v>1</v>
      </c>
      <c r="AY109" s="40">
        <f t="shared" si="214"/>
        <v>1</v>
      </c>
      <c r="AZ109" s="40" t="e">
        <f t="shared" si="214"/>
        <v>#N/A</v>
      </c>
      <c r="BA109" s="40" t="e">
        <f t="shared" si="214"/>
        <v>#N/A</v>
      </c>
    </row>
    <row r="110" spans="1:78" s="117" customFormat="1">
      <c r="A110" s="116" t="s">
        <v>16</v>
      </c>
      <c r="B110" s="117" t="s">
        <v>394</v>
      </c>
      <c r="L110" s="122"/>
      <c r="M110" s="189">
        <f t="shared" ref="M110:BA110" si="215">IF(ISNA(M107),-1,IF(ISNA(M109),99,IF(ISNA(M108),M107,0)))</f>
        <v>0</v>
      </c>
      <c r="N110" s="189">
        <f t="shared" si="215"/>
        <v>1</v>
      </c>
      <c r="O110" s="189">
        <f t="shared" si="215"/>
        <v>1</v>
      </c>
      <c r="P110" s="189">
        <f t="shared" si="215"/>
        <v>0</v>
      </c>
      <c r="Q110" s="189">
        <f t="shared" si="215"/>
        <v>2</v>
      </c>
      <c r="R110" s="189">
        <f t="shared" si="215"/>
        <v>0</v>
      </c>
      <c r="S110" s="189">
        <f t="shared" si="215"/>
        <v>3</v>
      </c>
      <c r="T110" s="189">
        <f t="shared" si="215"/>
        <v>0</v>
      </c>
      <c r="U110" s="189">
        <f t="shared" si="215"/>
        <v>0</v>
      </c>
      <c r="V110" s="189">
        <f t="shared" si="215"/>
        <v>0</v>
      </c>
      <c r="W110" s="189">
        <f t="shared" si="215"/>
        <v>6</v>
      </c>
      <c r="X110" s="189">
        <f t="shared" si="215"/>
        <v>6</v>
      </c>
      <c r="Y110" s="189">
        <f t="shared" si="215"/>
        <v>6</v>
      </c>
      <c r="Z110" s="189">
        <f t="shared" si="215"/>
        <v>6</v>
      </c>
      <c r="AA110" s="189">
        <f t="shared" si="215"/>
        <v>6</v>
      </c>
      <c r="AB110" s="189">
        <f t="shared" si="215"/>
        <v>6</v>
      </c>
      <c r="AC110" s="189">
        <f t="shared" si="215"/>
        <v>6</v>
      </c>
      <c r="AD110" s="189">
        <f t="shared" si="215"/>
        <v>6</v>
      </c>
      <c r="AE110" s="189">
        <f t="shared" si="215"/>
        <v>0</v>
      </c>
      <c r="AF110" s="189">
        <f t="shared" si="215"/>
        <v>7</v>
      </c>
      <c r="AG110" s="189">
        <f t="shared" si="215"/>
        <v>7</v>
      </c>
      <c r="AH110" s="189">
        <f t="shared" si="215"/>
        <v>7</v>
      </c>
      <c r="AI110" s="189">
        <f t="shared" si="215"/>
        <v>7</v>
      </c>
      <c r="AJ110" s="189">
        <f t="shared" si="215"/>
        <v>7</v>
      </c>
      <c r="AK110" s="189">
        <f t="shared" si="215"/>
        <v>7</v>
      </c>
      <c r="AL110" s="189">
        <f t="shared" si="215"/>
        <v>7</v>
      </c>
      <c r="AM110" s="189">
        <f t="shared" si="215"/>
        <v>7</v>
      </c>
      <c r="AN110" s="189">
        <f t="shared" si="215"/>
        <v>7</v>
      </c>
      <c r="AO110" s="189">
        <f t="shared" si="215"/>
        <v>0</v>
      </c>
      <c r="AP110" s="189">
        <f t="shared" si="215"/>
        <v>8</v>
      </c>
      <c r="AQ110" s="189">
        <f t="shared" si="215"/>
        <v>8</v>
      </c>
      <c r="AR110" s="189">
        <f t="shared" si="215"/>
        <v>8</v>
      </c>
      <c r="AS110" s="189">
        <f t="shared" si="215"/>
        <v>8</v>
      </c>
      <c r="AT110" s="189">
        <f t="shared" si="215"/>
        <v>8</v>
      </c>
      <c r="AU110" s="189">
        <f t="shared" si="215"/>
        <v>8</v>
      </c>
      <c r="AV110" s="189">
        <f t="shared" si="215"/>
        <v>8</v>
      </c>
      <c r="AW110" s="189">
        <f t="shared" si="215"/>
        <v>8</v>
      </c>
      <c r="AX110" s="189">
        <f t="shared" si="215"/>
        <v>8</v>
      </c>
      <c r="AY110" s="189">
        <f t="shared" si="215"/>
        <v>0</v>
      </c>
      <c r="AZ110" s="189">
        <f t="shared" si="215"/>
        <v>99</v>
      </c>
      <c r="BA110" s="189">
        <f t="shared" si="215"/>
        <v>99</v>
      </c>
      <c r="BB110" s="185"/>
      <c r="BC110" s="185"/>
      <c r="BD110" s="185"/>
      <c r="BE110" s="185"/>
      <c r="BF110" s="185"/>
      <c r="BG110" s="185"/>
      <c r="BH110" s="185"/>
      <c r="BI110" s="185"/>
      <c r="BJ110" s="185"/>
      <c r="BK110" s="185"/>
      <c r="BL110" s="185"/>
      <c r="BM110" s="185"/>
      <c r="BN110" s="185"/>
      <c r="BO110" s="185"/>
      <c r="BP110" s="185"/>
      <c r="BQ110" s="185"/>
      <c r="BR110" s="185"/>
      <c r="BS110" s="185"/>
      <c r="BT110" s="185"/>
      <c r="BU110" s="185"/>
      <c r="BV110" s="185"/>
      <c r="BW110" s="185"/>
      <c r="BX110" s="185"/>
      <c r="BY110" s="185"/>
      <c r="BZ110" s="185"/>
    </row>
    <row r="111" spans="1:78">
      <c r="A111" s="116" t="s">
        <v>16</v>
      </c>
      <c r="B111" s="22" t="str">
        <f t="shared" ref="B111:B123" si="216">IF(A111="*","","COM_PROJ")</f>
        <v/>
      </c>
      <c r="C111" s="23" t="str">
        <f t="shared" ref="C111:C123" si="217">IF($A111="*","","-")</f>
        <v/>
      </c>
      <c r="D111" s="57" t="str">
        <f>ITEMS_TRA!C15</f>
        <v>TFLCV</v>
      </c>
      <c r="E111" s="23" t="str">
        <f t="shared" ref="E111:K123" si="218">IF($A111="*","","-")</f>
        <v/>
      </c>
      <c r="H111" s="23" t="str">
        <f t="shared" si="218"/>
        <v/>
      </c>
      <c r="J111" s="23" t="str">
        <f t="shared" si="218"/>
        <v/>
      </c>
      <c r="K111" s="23" t="str">
        <f t="shared" si="218"/>
        <v/>
      </c>
      <c r="L111" s="125" t="str">
        <f t="shared" ref="L111:L123" si="219">IF(A111="*","",0)</f>
        <v/>
      </c>
      <c r="M111" s="186">
        <f>INDEX('[2]TS BYDem'!J$10:J$59,MATCH($D111,'[2]TS BYDem'!D$10:D$59,0))</f>
        <v>43.510890756102256</v>
      </c>
      <c r="N111" s="186" cm="1">
        <f t="array" ref="N111">IF(N$110=-1,O111,IF(N$110=99,M111,IF(N$110=0,INDEX($F92:$N92,0,N$108),(INDEX($F92:$N92,0,N$110+1)-INDEX($F92:$N92,0,N$110))/(INDEX($F$4:$N$4,0,N$110+1)-INDEX($F$4:$N$4,0,N$110))+M111)))</f>
        <v>44.189879061043555</v>
      </c>
      <c r="O111" s="186" cm="1">
        <f t="array" ref="O111">IF(O$110=-1,P111,IF(O$110=99,N111,IF(O$110=0,INDEX($F92:$N92,0,O$108),(INDEX($F92:$N92,0,O$110+1)-INDEX($F92:$N92,0,O$110))/(INDEX($F$4:$N$4,0,O$110+1)-INDEX($F$4:$N$4,0,O$110))+N111)))</f>
        <v>44.868867365984855</v>
      </c>
      <c r="P111" s="186" cm="1">
        <f t="array" ref="P111">IF(P$110=-1,Q111,IF(P$110=99,O111,IF(P$110=0,INDEX($F92:$N92,0,P$108),(INDEX($F92:$N92,0,P$110+1)-INDEX($F92:$N92,0,P$110))/(INDEX($F$4:$N$4,0,P$110+1)-INDEX($F$4:$N$4,0,P$110))+O111)))</f>
        <v>45.547855670926104</v>
      </c>
      <c r="Q111" s="186" cm="1">
        <f t="array" ref="Q111">IF(Q$110=-1,R111,IF(Q$110=99,P111,IF(Q$110=0,INDEX($F92:$N92,0,Q$108),(INDEX($F92:$N92,0,Q$110+1)-INDEX($F92:$N92,0,Q$110))/(INDEX($F$4:$N$4,0,Q$110+1)-INDEX($F$4:$N$4,0,Q$110))+P111)))</f>
        <v>46.566338128338053</v>
      </c>
      <c r="R111" s="186" cm="1">
        <f t="array" ref="R111">IF(R$110=-1,S111,IF(R$110=99,Q111,IF(R$110=0,INDEX($F92:$N92,0,R$108),(INDEX($F92:$N92,0,R$110+1)-INDEX($F92:$N92,0,R$110))/(INDEX($F$4:$N$4,0,R$110+1)-INDEX($F$4:$N$4,0,R$110))+Q111)))</f>
        <v>47.584820585750002</v>
      </c>
      <c r="S111" s="186" cm="1">
        <f t="array" ref="S111">IF(S$110=-1,T111,IF(S$110=99,R111,IF(S$110=0,INDEX($F92:$N92,0,S$108),(INDEX($F92:$N92,0,S$110+1)-INDEX($F92:$N92,0,S$110))/(INDEX($F$4:$N$4,0,S$110+1)-INDEX($F$4:$N$4,0,S$110))+R111)))</f>
        <v>47.880977189748478</v>
      </c>
      <c r="T111" s="186" cm="1">
        <f t="array" ref="T111">IF(T$110=-1,U111,IF(T$110=99,S111,IF(T$110=0,INDEX($F92:$N92,0,T$108),(INDEX($F92:$N92,0,T$110+1)-INDEX($F92:$N92,0,T$110))/(INDEX($F$4:$N$4,0,T$110+1)-INDEX($F$4:$N$4,0,T$110))+S111)))</f>
        <v>48.177133793746961</v>
      </c>
      <c r="U111" s="186" cm="1">
        <f t="array" ref="U111">IF(U$110=-1,V111,IF(U$110=99,T111,IF(U$110=0,INDEX($F92:$N92,0,U$108),(INDEX($F92:$N92,0,U$110+1)-INDEX($F92:$N92,0,U$110))/(INDEX($F$4:$N$4,0,U$110+1)-INDEX($F$4:$N$4,0,U$110))+T111)))</f>
        <v>44.255958941812857</v>
      </c>
      <c r="V111" s="186" cm="1">
        <f t="array" ref="V111">IF(V$110=-1,W111,IF(V$110=99,U111,IF(V$110=0,INDEX($F92:$N92,0,V$108),(INDEX($F92:$N92,0,V$110+1)-INDEX($F92:$N92,0,V$110))/(INDEX($F$4:$N$4,0,V$110+1)-INDEX($F$4:$N$4,0,V$110))+U111)))</f>
        <v>46.157995886407633</v>
      </c>
      <c r="W111" s="186" cm="1">
        <f t="array" ref="W111">IF(W$110=-1,X111,IF(W$110=99,V111,IF(W$110=0,INDEX($F92:$N92,0,W$108),(INDEX($F92:$N92,0,W$110+1)-INDEX($F92:$N92,0,W$110))/(INDEX($F$4:$N$4,0,W$110+1)-INDEX($F$4:$N$4,0,W$110))+V111)))</f>
        <v>46.980227583643114</v>
      </c>
      <c r="X111" s="186" cm="1">
        <f t="array" ref="X111">IF(X$110=-1,Y111,IF(X$110=99,W111,IF(X$110=0,INDEX($F92:$N92,0,X$108),(INDEX($F92:$N92,0,X$110+1)-INDEX($F92:$N92,0,X$110))/(INDEX($F$4:$N$4,0,X$110+1)-INDEX($F$4:$N$4,0,X$110))+W111)))</f>
        <v>47.802459280878594</v>
      </c>
      <c r="Y111" s="186" cm="1">
        <f t="array" ref="Y111">IF(Y$110=-1,Z111,IF(Y$110=99,X111,IF(Y$110=0,INDEX($F92:$N92,0,Y$108),(INDEX($F92:$N92,0,Y$110+1)-INDEX($F92:$N92,0,Y$110))/(INDEX($F$4:$N$4,0,Y$110+1)-INDEX($F$4:$N$4,0,Y$110))+X111)))</f>
        <v>48.624690978114074</v>
      </c>
      <c r="Z111" s="186" cm="1">
        <f t="array" ref="Z111">IF(Z$110=-1,AA111,IF(Z$110=99,Y111,IF(Z$110=0,INDEX($F92:$N92,0,Z$108),(INDEX($F92:$N92,0,Z$110+1)-INDEX($F92:$N92,0,Z$110))/(INDEX($F$4:$N$4,0,Z$110+1)-INDEX($F$4:$N$4,0,Z$110))+Y111)))</f>
        <v>49.446922675349555</v>
      </c>
      <c r="AA111" s="186" cm="1">
        <f t="array" ref="AA111">IF(AA$110=-1,AB111,IF(AA$110=99,Z111,IF(AA$110=0,INDEX($F92:$N92,0,AA$108),(INDEX($F92:$N92,0,AA$110+1)-INDEX($F92:$N92,0,AA$110))/(INDEX($F$4:$N$4,0,AA$110+1)-INDEX($F$4:$N$4,0,AA$110))+Z111)))</f>
        <v>50.269154372585035</v>
      </c>
      <c r="AB111" s="186" cm="1">
        <f t="array" ref="AB111">IF(AB$110=-1,AC111,IF(AB$110=99,AA111,IF(AB$110=0,INDEX($F92:$N92,0,AB$108),(INDEX($F92:$N92,0,AB$110+1)-INDEX($F92:$N92,0,AB$110))/(INDEX($F$4:$N$4,0,AB$110+1)-INDEX($F$4:$N$4,0,AB$110))+AA111)))</f>
        <v>51.091386069820516</v>
      </c>
      <c r="AC111" s="186" cm="1">
        <f t="array" ref="AC111">IF(AC$110=-1,AD111,IF(AC$110=99,AB111,IF(AC$110=0,INDEX($F92:$N92,0,AC$108),(INDEX($F92:$N92,0,AC$110+1)-INDEX($F92:$N92,0,AC$110))/(INDEX($F$4:$N$4,0,AC$110+1)-INDEX($F$4:$N$4,0,AC$110))+AB111)))</f>
        <v>51.913617767055996</v>
      </c>
      <c r="AD111" s="186" cm="1">
        <f t="array" ref="AD111">IF(AD$110=-1,AE111,IF(AD$110=99,AC111,IF(AD$110=0,INDEX($F92:$N92,0,AD$108),(INDEX($F92:$N92,0,AD$110+1)-INDEX($F92:$N92,0,AD$110))/(INDEX($F$4:$N$4,0,AD$110+1)-INDEX($F$4:$N$4,0,AD$110))+AC111)))</f>
        <v>52.735849464291476</v>
      </c>
      <c r="AE111" s="186" cm="1">
        <f t="array" ref="AE111">IF(AE$110=-1,AF111,IF(AE$110=99,AD111,IF(AE$110=0,INDEX($F92:$N92,0,AE$108),(INDEX($F92:$N92,0,AE$110+1)-INDEX($F92:$N92,0,AE$110))/(INDEX($F$4:$N$4,0,AE$110+1)-INDEX($F$4:$N$4,0,AE$110))+AD111)))</f>
        <v>53.558081161526964</v>
      </c>
      <c r="AF111" s="186" cm="1">
        <f t="array" ref="AF111">IF(AF$110=-1,AG111,IF(AF$110=99,AE111,IF(AF$110=0,INDEX($F92:$N92,0,AF$108),(INDEX($F92:$N92,0,AF$110+1)-INDEX($F92:$N92,0,AF$110))/(INDEX($F$4:$N$4,0,AF$110+1)-INDEX($F$4:$N$4,0,AF$110))+AE111)))</f>
        <v>54.710492758310615</v>
      </c>
      <c r="AG111" s="186" cm="1">
        <f t="array" ref="AG111">IF(AG$110=-1,AH111,IF(AG$110=99,AF111,IF(AG$110=0,INDEX($F92:$N92,0,AG$108),(INDEX($F92:$N92,0,AG$110+1)-INDEX($F92:$N92,0,AG$110))/(INDEX($F$4:$N$4,0,AG$110+1)-INDEX($F$4:$N$4,0,AG$110))+AF111)))</f>
        <v>55.862904355094265</v>
      </c>
      <c r="AH111" s="186" cm="1">
        <f t="array" ref="AH111">IF(AH$110=-1,AI111,IF(AH$110=99,AG111,IF(AH$110=0,INDEX($F92:$N92,0,AH$108),(INDEX($F92:$N92,0,AH$110+1)-INDEX($F92:$N92,0,AH$110))/(INDEX($F$4:$N$4,0,AH$110+1)-INDEX($F$4:$N$4,0,AH$110))+AG111)))</f>
        <v>57.015315951877916</v>
      </c>
      <c r="AI111" s="186" cm="1">
        <f t="array" ref="AI111">IF(AI$110=-1,AJ111,IF(AI$110=99,AH111,IF(AI$110=0,INDEX($F92:$N92,0,AI$108),(INDEX($F92:$N92,0,AI$110+1)-INDEX($F92:$N92,0,AI$110))/(INDEX($F$4:$N$4,0,AI$110+1)-INDEX($F$4:$N$4,0,AI$110))+AH111)))</f>
        <v>58.167727548661567</v>
      </c>
      <c r="AJ111" s="186" cm="1">
        <f t="array" ref="AJ111">IF(AJ$110=-1,AK111,IF(AJ$110=99,AI111,IF(AJ$110=0,INDEX($F92:$N92,0,AJ$108),(INDEX($F92:$N92,0,AJ$110+1)-INDEX($F92:$N92,0,AJ$110))/(INDEX($F$4:$N$4,0,AJ$110+1)-INDEX($F$4:$N$4,0,AJ$110))+AI111)))</f>
        <v>59.320139145445218</v>
      </c>
      <c r="AK111" s="186" cm="1">
        <f t="array" ref="AK111">IF(AK$110=-1,AL111,IF(AK$110=99,AJ111,IF(AK$110=0,INDEX($F92:$N92,0,AK$108),(INDEX($F92:$N92,0,AK$110+1)-INDEX($F92:$N92,0,AK$110))/(INDEX($F$4:$N$4,0,AK$110+1)-INDEX($F$4:$N$4,0,AK$110))+AJ111)))</f>
        <v>60.472550742228869</v>
      </c>
      <c r="AL111" s="186" cm="1">
        <f t="array" ref="AL111">IF(AL$110=-1,AM111,IF(AL$110=99,AK111,IF(AL$110=0,INDEX($F92:$N92,0,AL$108),(INDEX($F92:$N92,0,AL$110+1)-INDEX($F92:$N92,0,AL$110))/(INDEX($F$4:$N$4,0,AL$110+1)-INDEX($F$4:$N$4,0,AL$110))+AK111)))</f>
        <v>61.624962339012519</v>
      </c>
      <c r="AM111" s="186" cm="1">
        <f t="array" ref="AM111">IF(AM$110=-1,AN111,IF(AM$110=99,AL111,IF(AM$110=0,INDEX($F92:$N92,0,AM$108),(INDEX($F92:$N92,0,AM$110+1)-INDEX($F92:$N92,0,AM$110))/(INDEX($F$4:$N$4,0,AM$110+1)-INDEX($F$4:$N$4,0,AM$110))+AL111)))</f>
        <v>62.77737393579617</v>
      </c>
      <c r="AN111" s="186" cm="1">
        <f t="array" ref="AN111">IF(AN$110=-1,AO111,IF(AN$110=99,AM111,IF(AN$110=0,INDEX($F92:$N92,0,AN$108),(INDEX($F92:$N92,0,AN$110+1)-INDEX($F92:$N92,0,AN$110))/(INDEX($F$4:$N$4,0,AN$110+1)-INDEX($F$4:$N$4,0,AN$110))+AM111)))</f>
        <v>63.929785532579821</v>
      </c>
      <c r="AO111" s="186" cm="1">
        <f t="array" ref="AO111">IF(AO$110=-1,AP111,IF(AO$110=99,AN111,IF(AO$110=0,INDEX($F92:$N92,0,AO$108),(INDEX($F92:$N92,0,AO$110+1)-INDEX($F92:$N92,0,AO$110))/(INDEX($F$4:$N$4,0,AO$110+1)-INDEX($F$4:$N$4,0,AO$110))+AN111)))</f>
        <v>65.082197129363479</v>
      </c>
      <c r="AP111" s="186" cm="1">
        <f t="array" ref="AP111">IF(AP$110=-1,AQ111,IF(AP$110=99,AO111,IF(AP$110=0,INDEX($F92:$N92,0,AP$108),(INDEX($F92:$N92,0,AP$110+1)-INDEX($F92:$N92,0,AP$110))/(INDEX($F$4:$N$4,0,AP$110+1)-INDEX($F$4:$N$4,0,AP$110))+AO111)))</f>
        <v>66.608310033491662</v>
      </c>
      <c r="AQ111" s="186" cm="1">
        <f t="array" ref="AQ111">IF(AQ$110=-1,AR111,IF(AQ$110=99,AP111,IF(AQ$110=0,INDEX($F92:$N92,0,AQ$108),(INDEX($F92:$N92,0,AQ$110+1)-INDEX($F92:$N92,0,AQ$110))/(INDEX($F$4:$N$4,0,AQ$110+1)-INDEX($F$4:$N$4,0,AQ$110))+AP111)))</f>
        <v>68.134422937619846</v>
      </c>
      <c r="AR111" s="186" cm="1">
        <f t="array" ref="AR111">IF(AR$110=-1,AS111,IF(AR$110=99,AQ111,IF(AR$110=0,INDEX($F92:$N92,0,AR$108),(INDEX($F92:$N92,0,AR$110+1)-INDEX($F92:$N92,0,AR$110))/(INDEX($F$4:$N$4,0,AR$110+1)-INDEX($F$4:$N$4,0,AR$110))+AQ111)))</f>
        <v>69.660535841748029</v>
      </c>
      <c r="AS111" s="186" cm="1">
        <f t="array" ref="AS111">IF(AS$110=-1,AT111,IF(AS$110=99,AR111,IF(AS$110=0,INDEX($F92:$N92,0,AS$108),(INDEX($F92:$N92,0,AS$110+1)-INDEX($F92:$N92,0,AS$110))/(INDEX($F$4:$N$4,0,AS$110+1)-INDEX($F$4:$N$4,0,AS$110))+AR111)))</f>
        <v>71.186648745876212</v>
      </c>
      <c r="AT111" s="186" cm="1">
        <f t="array" ref="AT111">IF(AT$110=-1,AU111,IF(AT$110=99,AS111,IF(AT$110=0,INDEX($F92:$N92,0,AT$108),(INDEX($F92:$N92,0,AT$110+1)-INDEX($F92:$N92,0,AT$110))/(INDEX($F$4:$N$4,0,AT$110+1)-INDEX($F$4:$N$4,0,AT$110))+AS111)))</f>
        <v>72.712761650004396</v>
      </c>
      <c r="AU111" s="186" cm="1">
        <f t="array" ref="AU111">IF(AU$110=-1,AV111,IF(AU$110=99,AT111,IF(AU$110=0,INDEX($F92:$N92,0,AU$108),(INDEX($F92:$N92,0,AU$110+1)-INDEX($F92:$N92,0,AU$110))/(INDEX($F$4:$N$4,0,AU$110+1)-INDEX($F$4:$N$4,0,AU$110))+AT111)))</f>
        <v>74.238874554132579</v>
      </c>
      <c r="AV111" s="186" cm="1">
        <f t="array" ref="AV111">IF(AV$110=-1,AW111,IF(AV$110=99,AU111,IF(AV$110=0,INDEX($F92:$N92,0,AV$108),(INDEX($F92:$N92,0,AV$110+1)-INDEX($F92:$N92,0,AV$110))/(INDEX($F$4:$N$4,0,AV$110+1)-INDEX($F$4:$N$4,0,AV$110))+AU111)))</f>
        <v>75.764987458260762</v>
      </c>
      <c r="AW111" s="186" cm="1">
        <f t="array" ref="AW111">IF(AW$110=-1,AX111,IF(AW$110=99,AV111,IF(AW$110=0,INDEX($F92:$N92,0,AW$108),(INDEX($F92:$N92,0,AW$110+1)-INDEX($F92:$N92,0,AW$110))/(INDEX($F$4:$N$4,0,AW$110+1)-INDEX($F$4:$N$4,0,AW$110))+AV111)))</f>
        <v>77.291100362388946</v>
      </c>
      <c r="AX111" s="186" cm="1">
        <f t="array" ref="AX111">IF(AX$110=-1,AY111,IF(AX$110=99,AW111,IF(AX$110=0,INDEX($F92:$N92,0,AX$108),(INDEX($F92:$N92,0,AX$110+1)-INDEX($F92:$N92,0,AX$110))/(INDEX($F$4:$N$4,0,AX$110+1)-INDEX($F$4:$N$4,0,AX$110))+AW111)))</f>
        <v>78.817213266517129</v>
      </c>
      <c r="AY111" s="186" cm="1">
        <f t="array" ref="AY111">IF(AY$110=-1,AZ111,IF(AY$110=99,AX111,IF(AY$110=0,INDEX($F92:$N92,0,AY$108),(INDEX($F92:$N92,0,AY$110+1)-INDEX($F92:$N92,0,AY$110))/(INDEX($F$4:$N$4,0,AY$110+1)-INDEX($F$4:$N$4,0,AY$110))+AX111)))</f>
        <v>80.343326170645369</v>
      </c>
      <c r="AZ111" s="186" cm="1">
        <f t="array" ref="AZ111">IF(AZ$110=-1,BA111,IF(AZ$110=99,AY111,IF(AZ$110=0,INDEX($F92:$N92,0,AZ$108),(INDEX($F92:$N92,0,AZ$110+1)-INDEX($F92:$N92,0,AZ$110))/(INDEX($F$4:$N$4,0,AZ$110+1)-INDEX($F$4:$N$4,0,AZ$110))+AY111)))</f>
        <v>80.343326170645369</v>
      </c>
      <c r="BA111" s="186" cm="1">
        <f t="array" ref="BA111">IF(BA$110=-1,BB111,IF(BA$110=99,AZ111,IF(BA$110=0,INDEX($F92:$N92,0,BA$108),(INDEX($F92:$N92,0,BA$110+1)-INDEX($F92:$N92,0,BA$110))/(INDEX($F$4:$N$4,0,BA$110+1)-INDEX($F$4:$N$4,0,BA$110))+AZ111)))</f>
        <v>80.343326170645369</v>
      </c>
    </row>
    <row r="112" spans="1:78">
      <c r="A112" s="116" t="s">
        <v>16</v>
      </c>
      <c r="B112" s="22" t="str">
        <f t="shared" si="216"/>
        <v/>
      </c>
      <c r="C112" s="23" t="str">
        <f t="shared" si="217"/>
        <v/>
      </c>
      <c r="D112" s="57" t="str">
        <f>ITEMS_TRA!C16</f>
        <v>TFHCV1</v>
      </c>
      <c r="E112" s="23" t="str">
        <f t="shared" si="218"/>
        <v/>
      </c>
      <c r="H112" s="23" t="str">
        <f t="shared" si="218"/>
        <v/>
      </c>
      <c r="J112" s="23" t="str">
        <f t="shared" si="218"/>
        <v/>
      </c>
      <c r="K112" s="23" t="str">
        <f t="shared" si="218"/>
        <v/>
      </c>
      <c r="L112" s="125" t="str">
        <f t="shared" si="219"/>
        <v/>
      </c>
      <c r="M112" s="186">
        <f>INDEX('[2]TS BYDem'!J$10:J$59,MATCH($D112,'[2]TS BYDem'!D$10:D$59,0))</f>
        <v>3.6611476956493059</v>
      </c>
      <c r="N112" s="186" cm="1">
        <f t="array" ref="N112">IF(N$110=-1,O112,IF(N$110=99,M112,IF(N$110=0,INDEX($F93:$N93,0,N$108),(INDEX($F93:$N93,0,N$110+1)-INDEX($F93:$N93,0,N$110))/(INDEX($F$4:$N$4,0,N$110+1)-INDEX($F$4:$N$4,0,N$110))+M112)))</f>
        <v>3.6595361414986383</v>
      </c>
      <c r="O112" s="186" cm="1">
        <f t="array" ref="O112">IF(O$110=-1,P112,IF(O$110=99,N112,IF(O$110=0,INDEX($F93:$N93,0,O$108),(INDEX($F93:$N93,0,O$110+1)-INDEX($F93:$N93,0,O$110))/(INDEX($F$4:$N$4,0,O$110+1)-INDEX($F$4:$N$4,0,O$110))+N112)))</f>
        <v>3.6579245873479707</v>
      </c>
      <c r="P112" s="186" cm="1">
        <f t="array" ref="P112">IF(P$110=-1,Q112,IF(P$110=99,O112,IF(P$110=0,INDEX($F93:$N93,0,P$108),(INDEX($F93:$N93,0,P$110+1)-INDEX($F93:$N93,0,P$110))/(INDEX($F$4:$N$4,0,P$110+1)-INDEX($F$4:$N$4,0,P$110))+O112)))</f>
        <v>3.6563130331972848</v>
      </c>
      <c r="Q112" s="186" cm="1">
        <f t="array" ref="Q112">IF(Q$110=-1,R112,IF(Q$110=99,P112,IF(Q$110=0,INDEX($F93:$N93,0,Q$108),(INDEX($F93:$N93,0,Q$110+1)-INDEX($F93:$N93,0,Q$110))/(INDEX($F$4:$N$4,0,Q$110+1)-INDEX($F$4:$N$4,0,Q$110))+P112)))</f>
        <v>3.6538957019712837</v>
      </c>
      <c r="R112" s="186" cm="1">
        <f t="array" ref="R112">IF(R$110=-1,S112,IF(R$110=99,Q112,IF(R$110=0,INDEX($F93:$N93,0,R$108),(INDEX($F93:$N93,0,R$110+1)-INDEX($F93:$N93,0,R$110))/(INDEX($F$4:$N$4,0,R$110+1)-INDEX($F$4:$N$4,0,R$110))+Q112)))</f>
        <v>3.6514783707452825</v>
      </c>
      <c r="S112" s="186" cm="1">
        <f t="array" ref="S112">IF(S$110=-1,T112,IF(S$110=99,R112,IF(S$110=0,INDEX($F93:$N93,0,S$108),(INDEX($F93:$N93,0,S$110+1)-INDEX($F93:$N93,0,S$110))/(INDEX($F$4:$N$4,0,S$110+1)-INDEX($F$4:$N$4,0,S$110))+R112)))</f>
        <v>3.6742043035226284</v>
      </c>
      <c r="T112" s="186" cm="1">
        <f t="array" ref="T112">IF(T$110=-1,U112,IF(T$110=99,S112,IF(T$110=0,INDEX($F93:$N93,0,T$108),(INDEX($F93:$N93,0,T$110+1)-INDEX($F93:$N93,0,T$110))/(INDEX($F$4:$N$4,0,T$110+1)-INDEX($F$4:$N$4,0,T$110))+S112)))</f>
        <v>3.6969302362999743</v>
      </c>
      <c r="U112" s="186" cm="1">
        <f t="array" ref="U112">IF(U$110=-1,V112,IF(U$110=99,T112,IF(U$110=0,INDEX($F93:$N93,0,U$108),(INDEX($F93:$N93,0,U$110+1)-INDEX($F93:$N93,0,U$110))/(INDEX($F$4:$N$4,0,U$110+1)-INDEX($F$4:$N$4,0,U$110))+T112)))</f>
        <v>3.4838443737120905</v>
      </c>
      <c r="V112" s="186" cm="1">
        <f t="array" ref="V112">IF(V$110=-1,W112,IF(V$110=99,U112,IF(V$110=0,INDEX($F93:$N93,0,V$108),(INDEX($F93:$N93,0,V$110+1)-INDEX($F93:$N93,0,V$110))/(INDEX($F$4:$N$4,0,V$110+1)-INDEX($F$4:$N$4,0,V$110))+U112)))</f>
        <v>3.5419892634131425</v>
      </c>
      <c r="W112" s="186" cm="1">
        <f t="array" ref="W112">IF(W$110=-1,X112,IF(W$110=99,V112,IF(W$110=0,INDEX($F93:$N93,0,W$108),(INDEX($F93:$N93,0,W$110+1)-INDEX($F93:$N93,0,W$110))/(INDEX($F$4:$N$4,0,W$110+1)-INDEX($F$4:$N$4,0,W$110))+V112)))</f>
        <v>3.6168916394516688</v>
      </c>
      <c r="X112" s="186" cm="1">
        <f t="array" ref="X112">IF(X$110=-1,Y112,IF(X$110=99,W112,IF(X$110=0,INDEX($F93:$N93,0,X$108),(INDEX($F93:$N93,0,X$110+1)-INDEX($F93:$N93,0,X$110))/(INDEX($F$4:$N$4,0,X$110+1)-INDEX($F$4:$N$4,0,X$110))+W112)))</f>
        <v>3.6917940154901951</v>
      </c>
      <c r="Y112" s="186" cm="1">
        <f t="array" ref="Y112">IF(Y$110=-1,Z112,IF(Y$110=99,X112,IF(Y$110=0,INDEX($F93:$N93,0,Y$108),(INDEX($F93:$N93,0,Y$110+1)-INDEX($F93:$N93,0,Y$110))/(INDEX($F$4:$N$4,0,Y$110+1)-INDEX($F$4:$N$4,0,Y$110))+X112)))</f>
        <v>3.7666963915287215</v>
      </c>
      <c r="Z112" s="186" cm="1">
        <f t="array" ref="Z112">IF(Z$110=-1,AA112,IF(Z$110=99,Y112,IF(Z$110=0,INDEX($F93:$N93,0,Z$108),(INDEX($F93:$N93,0,Z$110+1)-INDEX($F93:$N93,0,Z$110))/(INDEX($F$4:$N$4,0,Z$110+1)-INDEX($F$4:$N$4,0,Z$110))+Y112)))</f>
        <v>3.8415987675672478</v>
      </c>
      <c r="AA112" s="186" cm="1">
        <f t="array" ref="AA112">IF(AA$110=-1,AB112,IF(AA$110=99,Z112,IF(AA$110=0,INDEX($F93:$N93,0,AA$108),(INDEX($F93:$N93,0,AA$110+1)-INDEX($F93:$N93,0,AA$110))/(INDEX($F$4:$N$4,0,AA$110+1)-INDEX($F$4:$N$4,0,AA$110))+Z112)))</f>
        <v>3.9165011436057742</v>
      </c>
      <c r="AB112" s="186" cm="1">
        <f t="array" ref="AB112">IF(AB$110=-1,AC112,IF(AB$110=99,AA112,IF(AB$110=0,INDEX($F93:$N93,0,AB$108),(INDEX($F93:$N93,0,AB$110+1)-INDEX($F93:$N93,0,AB$110))/(INDEX($F$4:$N$4,0,AB$110+1)-INDEX($F$4:$N$4,0,AB$110))+AA112)))</f>
        <v>3.9914035196443005</v>
      </c>
      <c r="AC112" s="186" cm="1">
        <f t="array" ref="AC112">IF(AC$110=-1,AD112,IF(AC$110=99,AB112,IF(AC$110=0,INDEX($F93:$N93,0,AC$108),(INDEX($F93:$N93,0,AC$110+1)-INDEX($F93:$N93,0,AC$110))/(INDEX($F$4:$N$4,0,AC$110+1)-INDEX($F$4:$N$4,0,AC$110))+AB112)))</f>
        <v>4.0663058956828264</v>
      </c>
      <c r="AD112" s="186" cm="1">
        <f t="array" ref="AD112">IF(AD$110=-1,AE112,IF(AD$110=99,AC112,IF(AD$110=0,INDEX($F93:$N93,0,AD$108),(INDEX($F93:$N93,0,AD$110+1)-INDEX($F93:$N93,0,AD$110))/(INDEX($F$4:$N$4,0,AD$110+1)-INDEX($F$4:$N$4,0,AD$110))+AC112)))</f>
        <v>4.1412082717213528</v>
      </c>
      <c r="AE112" s="186" cm="1">
        <f t="array" ref="AE112">IF(AE$110=-1,AF112,IF(AE$110=99,AD112,IF(AE$110=0,INDEX($F93:$N93,0,AE$108),(INDEX($F93:$N93,0,AE$110+1)-INDEX($F93:$N93,0,AE$110))/(INDEX($F$4:$N$4,0,AE$110+1)-INDEX($F$4:$N$4,0,AE$110))+AD112)))</f>
        <v>4.2161106477598791</v>
      </c>
      <c r="AF112" s="186" cm="1">
        <f t="array" ref="AF112">IF(AF$110=-1,AG112,IF(AF$110=99,AE112,IF(AF$110=0,INDEX($F93:$N93,0,AF$108),(INDEX($F93:$N93,0,AF$110+1)-INDEX($F93:$N93,0,AF$110))/(INDEX($F$4:$N$4,0,AF$110+1)-INDEX($F$4:$N$4,0,AF$110))+AE112)))</f>
        <v>4.3068288866965592</v>
      </c>
      <c r="AG112" s="186" cm="1">
        <f t="array" ref="AG112">IF(AG$110=-1,AH112,IF(AG$110=99,AF112,IF(AG$110=0,INDEX($F93:$N93,0,AG$108),(INDEX($F93:$N93,0,AG$110+1)-INDEX($F93:$N93,0,AG$110))/(INDEX($F$4:$N$4,0,AG$110+1)-INDEX($F$4:$N$4,0,AG$110))+AF112)))</f>
        <v>4.3975471256332392</v>
      </c>
      <c r="AH112" s="186" cm="1">
        <f t="array" ref="AH112">IF(AH$110=-1,AI112,IF(AH$110=99,AG112,IF(AH$110=0,INDEX($F93:$N93,0,AH$108),(INDEX($F93:$N93,0,AH$110+1)-INDEX($F93:$N93,0,AH$110))/(INDEX($F$4:$N$4,0,AH$110+1)-INDEX($F$4:$N$4,0,AH$110))+AG112)))</f>
        <v>4.4882653645699193</v>
      </c>
      <c r="AI112" s="186" cm="1">
        <f t="array" ref="AI112">IF(AI$110=-1,AJ112,IF(AI$110=99,AH112,IF(AI$110=0,INDEX($F93:$N93,0,AI$108),(INDEX($F93:$N93,0,AI$110+1)-INDEX($F93:$N93,0,AI$110))/(INDEX($F$4:$N$4,0,AI$110+1)-INDEX($F$4:$N$4,0,AI$110))+AH112)))</f>
        <v>4.5789836035065994</v>
      </c>
      <c r="AJ112" s="186" cm="1">
        <f t="array" ref="AJ112">IF(AJ$110=-1,AK112,IF(AJ$110=99,AI112,IF(AJ$110=0,INDEX($F93:$N93,0,AJ$108),(INDEX($F93:$N93,0,AJ$110+1)-INDEX($F93:$N93,0,AJ$110))/(INDEX($F$4:$N$4,0,AJ$110+1)-INDEX($F$4:$N$4,0,AJ$110))+AI112)))</f>
        <v>4.6697018424432795</v>
      </c>
      <c r="AK112" s="186" cm="1">
        <f t="array" ref="AK112">IF(AK$110=-1,AL112,IF(AK$110=99,AJ112,IF(AK$110=0,INDEX($F93:$N93,0,AK$108),(INDEX($F93:$N93,0,AK$110+1)-INDEX($F93:$N93,0,AK$110))/(INDEX($F$4:$N$4,0,AK$110+1)-INDEX($F$4:$N$4,0,AK$110))+AJ112)))</f>
        <v>4.7604200813799595</v>
      </c>
      <c r="AL112" s="186" cm="1">
        <f t="array" ref="AL112">IF(AL$110=-1,AM112,IF(AL$110=99,AK112,IF(AL$110=0,INDEX($F93:$N93,0,AL$108),(INDEX($F93:$N93,0,AL$110+1)-INDEX($F93:$N93,0,AL$110))/(INDEX($F$4:$N$4,0,AL$110+1)-INDEX($F$4:$N$4,0,AL$110))+AK112)))</f>
        <v>4.8511383203166396</v>
      </c>
      <c r="AM112" s="186" cm="1">
        <f t="array" ref="AM112">IF(AM$110=-1,AN112,IF(AM$110=99,AL112,IF(AM$110=0,INDEX($F93:$N93,0,AM$108),(INDEX($F93:$N93,0,AM$110+1)-INDEX($F93:$N93,0,AM$110))/(INDEX($F$4:$N$4,0,AM$110+1)-INDEX($F$4:$N$4,0,AM$110))+AL112)))</f>
        <v>4.9418565592533197</v>
      </c>
      <c r="AN112" s="186" cm="1">
        <f t="array" ref="AN112">IF(AN$110=-1,AO112,IF(AN$110=99,AM112,IF(AN$110=0,INDEX($F93:$N93,0,AN$108),(INDEX($F93:$N93,0,AN$110+1)-INDEX($F93:$N93,0,AN$110))/(INDEX($F$4:$N$4,0,AN$110+1)-INDEX($F$4:$N$4,0,AN$110))+AM112)))</f>
        <v>5.0325747981899998</v>
      </c>
      <c r="AO112" s="186" cm="1">
        <f t="array" ref="AO112">IF(AO$110=-1,AP112,IF(AO$110=99,AN112,IF(AO$110=0,INDEX($F93:$N93,0,AO$108),(INDEX($F93:$N93,0,AO$110+1)-INDEX($F93:$N93,0,AO$110))/(INDEX($F$4:$N$4,0,AO$110+1)-INDEX($F$4:$N$4,0,AO$110))+AN112)))</f>
        <v>5.1232930371266825</v>
      </c>
      <c r="AP112" s="186" cm="1">
        <f t="array" ref="AP112">IF(AP$110=-1,AQ112,IF(AP$110=99,AO112,IF(AP$110=0,INDEX($F93:$N93,0,AP$108),(INDEX($F93:$N93,0,AP$110+1)-INDEX($F93:$N93,0,AP$110))/(INDEX($F$4:$N$4,0,AP$110+1)-INDEX($F$4:$N$4,0,AP$110))+AO112)))</f>
        <v>5.2434291720523039</v>
      </c>
      <c r="AQ112" s="186" cm="1">
        <f t="array" ref="AQ112">IF(AQ$110=-1,AR112,IF(AQ$110=99,AP112,IF(AQ$110=0,INDEX($F93:$N93,0,AQ$108),(INDEX($F93:$N93,0,AQ$110+1)-INDEX($F93:$N93,0,AQ$110))/(INDEX($F$4:$N$4,0,AQ$110+1)-INDEX($F$4:$N$4,0,AQ$110))+AP112)))</f>
        <v>5.3635653069779252</v>
      </c>
      <c r="AR112" s="186" cm="1">
        <f t="array" ref="AR112">IF(AR$110=-1,AS112,IF(AR$110=99,AQ112,IF(AR$110=0,INDEX($F93:$N93,0,AR$108),(INDEX($F93:$N93,0,AR$110+1)-INDEX($F93:$N93,0,AR$110))/(INDEX($F$4:$N$4,0,AR$110+1)-INDEX($F$4:$N$4,0,AR$110))+AQ112)))</f>
        <v>5.4837014419035466</v>
      </c>
      <c r="AS112" s="186" cm="1">
        <f t="array" ref="AS112">IF(AS$110=-1,AT112,IF(AS$110=99,AR112,IF(AS$110=0,INDEX($F93:$N93,0,AS$108),(INDEX($F93:$N93,0,AS$110+1)-INDEX($F93:$N93,0,AS$110))/(INDEX($F$4:$N$4,0,AS$110+1)-INDEX($F$4:$N$4,0,AS$110))+AR112)))</f>
        <v>5.6038375768291679</v>
      </c>
      <c r="AT112" s="186" cm="1">
        <f t="array" ref="AT112">IF(AT$110=-1,AU112,IF(AT$110=99,AS112,IF(AT$110=0,INDEX($F93:$N93,0,AT$108),(INDEX($F93:$N93,0,AT$110+1)-INDEX($F93:$N93,0,AT$110))/(INDEX($F$4:$N$4,0,AT$110+1)-INDEX($F$4:$N$4,0,AT$110))+AS112)))</f>
        <v>5.7239737117547893</v>
      </c>
      <c r="AU112" s="186" cm="1">
        <f t="array" ref="AU112">IF(AU$110=-1,AV112,IF(AU$110=99,AT112,IF(AU$110=0,INDEX($F93:$N93,0,AU$108),(INDEX($F93:$N93,0,AU$110+1)-INDEX($F93:$N93,0,AU$110))/(INDEX($F$4:$N$4,0,AU$110+1)-INDEX($F$4:$N$4,0,AU$110))+AT112)))</f>
        <v>5.8441098466804107</v>
      </c>
      <c r="AV112" s="186" cm="1">
        <f t="array" ref="AV112">IF(AV$110=-1,AW112,IF(AV$110=99,AU112,IF(AV$110=0,INDEX($F93:$N93,0,AV$108),(INDEX($F93:$N93,0,AV$110+1)-INDEX($F93:$N93,0,AV$110))/(INDEX($F$4:$N$4,0,AV$110+1)-INDEX($F$4:$N$4,0,AV$110))+AU112)))</f>
        <v>5.964245981606032</v>
      </c>
      <c r="AW112" s="186" cm="1">
        <f t="array" ref="AW112">IF(AW$110=-1,AX112,IF(AW$110=99,AV112,IF(AW$110=0,INDEX($F93:$N93,0,AW$108),(INDEX($F93:$N93,0,AW$110+1)-INDEX($F93:$N93,0,AW$110))/(INDEX($F$4:$N$4,0,AW$110+1)-INDEX($F$4:$N$4,0,AW$110))+AV112)))</f>
        <v>6.0843821165316534</v>
      </c>
      <c r="AX112" s="186" cm="1">
        <f t="array" ref="AX112">IF(AX$110=-1,AY112,IF(AX$110=99,AW112,IF(AX$110=0,INDEX($F93:$N93,0,AX$108),(INDEX($F93:$N93,0,AX$110+1)-INDEX($F93:$N93,0,AX$110))/(INDEX($F$4:$N$4,0,AX$110+1)-INDEX($F$4:$N$4,0,AX$110))+AW112)))</f>
        <v>6.2045182514572748</v>
      </c>
      <c r="AY112" s="186" cm="1">
        <f t="array" ref="AY112">IF(AY$110=-1,AZ112,IF(AY$110=99,AX112,IF(AY$110=0,INDEX($F93:$N93,0,AY$108),(INDEX($F93:$N93,0,AY$110+1)-INDEX($F93:$N93,0,AY$110))/(INDEX($F$4:$N$4,0,AY$110+1)-INDEX($F$4:$N$4,0,AY$110))+AX112)))</f>
        <v>6.3246543863829006</v>
      </c>
      <c r="AZ112" s="186" cm="1">
        <f t="array" ref="AZ112">IF(AZ$110=-1,BA112,IF(AZ$110=99,AY112,IF(AZ$110=0,INDEX($F93:$N93,0,AZ$108),(INDEX($F93:$N93,0,AZ$110+1)-INDEX($F93:$N93,0,AZ$110))/(INDEX($F$4:$N$4,0,AZ$110+1)-INDEX($F$4:$N$4,0,AZ$110))+AY112)))</f>
        <v>6.3246543863829006</v>
      </c>
      <c r="BA112" s="186" cm="1">
        <f t="array" ref="BA112">IF(BA$110=-1,BB112,IF(BA$110=99,AZ112,IF(BA$110=0,INDEX($F93:$N93,0,BA$108),(INDEX($F93:$N93,0,BA$110+1)-INDEX($F93:$N93,0,BA$110))/(INDEX($F$4:$N$4,0,BA$110+1)-INDEX($F$4:$N$4,0,BA$110))+AZ112)))</f>
        <v>6.3246543863829006</v>
      </c>
    </row>
    <row r="113" spans="1:53">
      <c r="A113" s="116" t="s">
        <v>16</v>
      </c>
      <c r="B113" s="22" t="str">
        <f t="shared" si="216"/>
        <v/>
      </c>
      <c r="C113" s="23" t="str">
        <f t="shared" si="217"/>
        <v/>
      </c>
      <c r="D113" s="57" t="str">
        <f>ITEMS_TRA!C17</f>
        <v>TFHCV2</v>
      </c>
      <c r="E113" s="23" t="str">
        <f t="shared" si="218"/>
        <v/>
      </c>
      <c r="H113" s="23" t="str">
        <f t="shared" si="218"/>
        <v/>
      </c>
      <c r="J113" s="23" t="str">
        <f t="shared" si="218"/>
        <v/>
      </c>
      <c r="K113" s="23" t="str">
        <f t="shared" si="218"/>
        <v/>
      </c>
      <c r="L113" s="125" t="str">
        <f t="shared" si="219"/>
        <v/>
      </c>
      <c r="M113" s="186">
        <f>INDEX('[2]TS BYDem'!J$10:J$59,MATCH($D113,'[2]TS BYDem'!D$10:D$59,0))</f>
        <v>0.91016288033514725</v>
      </c>
      <c r="N113" s="186" cm="1">
        <f t="array" ref="N113">IF(N$110=-1,O113,IF(N$110=99,M113,IF(N$110=0,INDEX($F94:$N94,0,N$108),(INDEX($F94:$N94,0,N$110+1)-INDEX($F94:$N94,0,N$110))/(INDEX($F$4:$N$4,0,N$110+1)-INDEX($F$4:$N$4,0,N$110))+M113)))</f>
        <v>0.92563893602886782</v>
      </c>
      <c r="O113" s="186" cm="1">
        <f t="array" ref="O113">IF(O$110=-1,P113,IF(O$110=99,N113,IF(O$110=0,INDEX($F94:$N94,0,O$108),(INDEX($F94:$N94,0,O$110+1)-INDEX($F94:$N94,0,O$110))/(INDEX($F$4:$N$4,0,O$110+1)-INDEX($F$4:$N$4,0,O$110))+N113)))</f>
        <v>0.94111499172258839</v>
      </c>
      <c r="P113" s="186" cm="1">
        <f t="array" ref="P113">IF(P$110=-1,Q113,IF(P$110=99,O113,IF(P$110=0,INDEX($F94:$N94,0,P$108),(INDEX($F94:$N94,0,P$110+1)-INDEX($F94:$N94,0,P$110))/(INDEX($F$4:$N$4,0,P$110+1)-INDEX($F$4:$N$4,0,P$110))+O113)))</f>
        <v>0.95659104741630863</v>
      </c>
      <c r="Q113" s="186" cm="1">
        <f t="array" ref="Q113">IF(Q$110=-1,R113,IF(Q$110=99,P113,IF(Q$110=0,INDEX($F94:$N94,0,Q$108),(INDEX($F94:$N94,0,Q$110+1)-INDEX($F94:$N94,0,Q$110))/(INDEX($F$4:$N$4,0,Q$110+1)-INDEX($F$4:$N$4,0,Q$110))+P113)))</f>
        <v>0.97980513095688937</v>
      </c>
      <c r="R113" s="186" cm="1">
        <f t="array" ref="R113">IF(R$110=-1,S113,IF(R$110=99,Q113,IF(R$110=0,INDEX($F94:$N94,0,R$108),(INDEX($F94:$N94,0,R$110+1)-INDEX($F94:$N94,0,R$110))/(INDEX($F$4:$N$4,0,R$110+1)-INDEX($F$4:$N$4,0,R$110))+Q113)))</f>
        <v>1.0030192144974701</v>
      </c>
      <c r="S113" s="186" cm="1">
        <f t="array" ref="S113">IF(S$110=-1,T113,IF(S$110=99,R113,IF(S$110=0,INDEX($F94:$N94,0,S$108),(INDEX($F94:$N94,0,S$110+1)-INDEX($F94:$N94,0,S$110))/(INDEX($F$4:$N$4,0,S$110+1)-INDEX($F$4:$N$4,0,S$110))+R113)))</f>
        <v>1.009261767493451</v>
      </c>
      <c r="T113" s="186" cm="1">
        <f t="array" ref="T113">IF(T$110=-1,U113,IF(T$110=99,S113,IF(T$110=0,INDEX($F94:$N94,0,T$108),(INDEX($F94:$N94,0,T$110+1)-INDEX($F94:$N94,0,T$110))/(INDEX($F$4:$N$4,0,T$110+1)-INDEX($F$4:$N$4,0,T$110))+S113)))</f>
        <v>1.0155043204894318</v>
      </c>
      <c r="U113" s="186" cm="1">
        <f t="array" ref="U113">IF(U$110=-1,V113,IF(U$110=99,T113,IF(U$110=0,INDEX($F94:$N94,0,U$108),(INDEX($F94:$N94,0,U$110+1)-INDEX($F94:$N94,0,U$110))/(INDEX($F$4:$N$4,0,U$110+1)-INDEX($F$4:$N$4,0,U$110))+T113)))</f>
        <v>0.95697207880185675</v>
      </c>
      <c r="V113" s="186" cm="1">
        <f t="array" ref="V113">IF(V$110=-1,W113,IF(V$110=99,U113,IF(V$110=0,INDEX($F94:$N94,0,V$108),(INDEX($F94:$N94,0,V$110+1)-INDEX($F94:$N94,0,V$110))/(INDEX($F$4:$N$4,0,V$110+1)-INDEX($F$4:$N$4,0,V$110))+U113)))</f>
        <v>0.97294381289789855</v>
      </c>
      <c r="W113" s="186" cm="1">
        <f t="array" ref="W113">IF(W$110=-1,X113,IF(W$110=99,V113,IF(W$110=0,INDEX($F94:$N94,0,W$108),(INDEX($F94:$N94,0,W$110+1)-INDEX($F94:$N94,0,W$110))/(INDEX($F$4:$N$4,0,W$110+1)-INDEX($F$4:$N$4,0,W$110))+V113)))</f>
        <v>0.99351863622974879</v>
      </c>
      <c r="X113" s="186" cm="1">
        <f t="array" ref="X113">IF(X$110=-1,Y113,IF(X$110=99,W113,IF(X$110=0,INDEX($F94:$N94,0,X$108),(INDEX($F94:$N94,0,X$110+1)-INDEX($F94:$N94,0,X$110))/(INDEX($F$4:$N$4,0,X$110+1)-INDEX($F$4:$N$4,0,X$110))+W113)))</f>
        <v>1.0140934595615991</v>
      </c>
      <c r="Y113" s="186" cm="1">
        <f t="array" ref="Y113">IF(Y$110=-1,Z113,IF(Y$110=99,X113,IF(Y$110=0,INDEX($F94:$N94,0,Y$108),(INDEX($F94:$N94,0,Y$110+1)-INDEX($F94:$N94,0,Y$110))/(INDEX($F$4:$N$4,0,Y$110+1)-INDEX($F$4:$N$4,0,Y$110))+X113)))</f>
        <v>1.0346682828934495</v>
      </c>
      <c r="Z113" s="186" cm="1">
        <f t="array" ref="Z113">IF(Z$110=-1,AA113,IF(Z$110=99,Y113,IF(Z$110=0,INDEX($F94:$N94,0,Z$108),(INDEX($F94:$N94,0,Z$110+1)-INDEX($F94:$N94,0,Z$110))/(INDEX($F$4:$N$4,0,Z$110+1)-INDEX($F$4:$N$4,0,Z$110))+Y113)))</f>
        <v>1.0552431062252998</v>
      </c>
      <c r="AA113" s="186" cm="1">
        <f t="array" ref="AA113">IF(AA$110=-1,AB113,IF(AA$110=99,Z113,IF(AA$110=0,INDEX($F94:$N94,0,AA$108),(INDEX($F94:$N94,0,AA$110+1)-INDEX($F94:$N94,0,AA$110))/(INDEX($F$4:$N$4,0,AA$110+1)-INDEX($F$4:$N$4,0,AA$110))+Z113)))</f>
        <v>1.0758179295571502</v>
      </c>
      <c r="AB113" s="186" cm="1">
        <f t="array" ref="AB113">IF(AB$110=-1,AC113,IF(AB$110=99,AA113,IF(AB$110=0,INDEX($F94:$N94,0,AB$108),(INDEX($F94:$N94,0,AB$110+1)-INDEX($F94:$N94,0,AB$110))/(INDEX($F$4:$N$4,0,AB$110+1)-INDEX($F$4:$N$4,0,AB$110))+AA113)))</f>
        <v>1.0963927528890005</v>
      </c>
      <c r="AC113" s="186" cm="1">
        <f t="array" ref="AC113">IF(AC$110=-1,AD113,IF(AC$110=99,AB113,IF(AC$110=0,INDEX($F94:$N94,0,AC$108),(INDEX($F94:$N94,0,AC$110+1)-INDEX($F94:$N94,0,AC$110))/(INDEX($F$4:$N$4,0,AC$110+1)-INDEX($F$4:$N$4,0,AC$110))+AB113)))</f>
        <v>1.1169675762208509</v>
      </c>
      <c r="AD113" s="186" cm="1">
        <f t="array" ref="AD113">IF(AD$110=-1,AE113,IF(AD$110=99,AC113,IF(AD$110=0,INDEX($F94:$N94,0,AD$108),(INDEX($F94:$N94,0,AD$110+1)-INDEX($F94:$N94,0,AD$110))/(INDEX($F$4:$N$4,0,AD$110+1)-INDEX($F$4:$N$4,0,AD$110))+AC113)))</f>
        <v>1.1375423995527012</v>
      </c>
      <c r="AE113" s="186" cm="1">
        <f t="array" ref="AE113">IF(AE$110=-1,AF113,IF(AE$110=99,AD113,IF(AE$110=0,INDEX($F94:$N94,0,AE$108),(INDEX($F94:$N94,0,AE$110+1)-INDEX($F94:$N94,0,AE$110))/(INDEX($F$4:$N$4,0,AE$110+1)-INDEX($F$4:$N$4,0,AE$110))+AD113)))</f>
        <v>1.1581172228845511</v>
      </c>
      <c r="AF113" s="186" cm="1">
        <f t="array" ref="AF113">IF(AF$110=-1,AG113,IF(AF$110=99,AE113,IF(AF$110=0,INDEX($F94:$N94,0,AF$108),(INDEX($F94:$N94,0,AF$110+1)-INDEX($F94:$N94,0,AF$110))/(INDEX($F$4:$N$4,0,AF$110+1)-INDEX($F$4:$N$4,0,AF$110))+AE113)))</f>
        <v>1.1830364822968125</v>
      </c>
      <c r="AG113" s="186" cm="1">
        <f t="array" ref="AG113">IF(AG$110=-1,AH113,IF(AG$110=99,AF113,IF(AG$110=0,INDEX($F94:$N94,0,AG$108),(INDEX($F94:$N94,0,AG$110+1)-INDEX($F94:$N94,0,AG$110))/(INDEX($F$4:$N$4,0,AG$110+1)-INDEX($F$4:$N$4,0,AG$110))+AF113)))</f>
        <v>1.2079557417090738</v>
      </c>
      <c r="AH113" s="186" cm="1">
        <f t="array" ref="AH113">IF(AH$110=-1,AI113,IF(AH$110=99,AG113,IF(AH$110=0,INDEX($F94:$N94,0,AH$108),(INDEX($F94:$N94,0,AH$110+1)-INDEX($F94:$N94,0,AH$110))/(INDEX($F$4:$N$4,0,AH$110+1)-INDEX($F$4:$N$4,0,AH$110))+AG113)))</f>
        <v>1.2328750011213352</v>
      </c>
      <c r="AI113" s="186" cm="1">
        <f t="array" ref="AI113">IF(AI$110=-1,AJ113,IF(AI$110=99,AH113,IF(AI$110=0,INDEX($F94:$N94,0,AI$108),(INDEX($F94:$N94,0,AI$110+1)-INDEX($F94:$N94,0,AI$110))/(INDEX($F$4:$N$4,0,AI$110+1)-INDEX($F$4:$N$4,0,AI$110))+AH113)))</f>
        <v>1.2577942605335966</v>
      </c>
      <c r="AJ113" s="186" cm="1">
        <f t="array" ref="AJ113">IF(AJ$110=-1,AK113,IF(AJ$110=99,AI113,IF(AJ$110=0,INDEX($F94:$N94,0,AJ$108),(INDEX($F94:$N94,0,AJ$110+1)-INDEX($F94:$N94,0,AJ$110))/(INDEX($F$4:$N$4,0,AJ$110+1)-INDEX($F$4:$N$4,0,AJ$110))+AI113)))</f>
        <v>1.2827135199458579</v>
      </c>
      <c r="AK113" s="186" cm="1">
        <f t="array" ref="AK113">IF(AK$110=-1,AL113,IF(AK$110=99,AJ113,IF(AK$110=0,INDEX($F94:$N94,0,AK$108),(INDEX($F94:$N94,0,AK$110+1)-INDEX($F94:$N94,0,AK$110))/(INDEX($F$4:$N$4,0,AK$110+1)-INDEX($F$4:$N$4,0,AK$110))+AJ113)))</f>
        <v>1.3076327793581193</v>
      </c>
      <c r="AL113" s="186" cm="1">
        <f t="array" ref="AL113">IF(AL$110=-1,AM113,IF(AL$110=99,AK113,IF(AL$110=0,INDEX($F94:$N94,0,AL$108),(INDEX($F94:$N94,0,AL$110+1)-INDEX($F94:$N94,0,AL$110))/(INDEX($F$4:$N$4,0,AL$110+1)-INDEX($F$4:$N$4,0,AL$110))+AK113)))</f>
        <v>1.3325520387703806</v>
      </c>
      <c r="AM113" s="186" cm="1">
        <f t="array" ref="AM113">IF(AM$110=-1,AN113,IF(AM$110=99,AL113,IF(AM$110=0,INDEX($F94:$N94,0,AM$108),(INDEX($F94:$N94,0,AM$110+1)-INDEX($F94:$N94,0,AM$110))/(INDEX($F$4:$N$4,0,AM$110+1)-INDEX($F$4:$N$4,0,AM$110))+AL113)))</f>
        <v>1.357471298182642</v>
      </c>
      <c r="AN113" s="186" cm="1">
        <f t="array" ref="AN113">IF(AN$110=-1,AO113,IF(AN$110=99,AM113,IF(AN$110=0,INDEX($F94:$N94,0,AN$108),(INDEX($F94:$N94,0,AN$110+1)-INDEX($F94:$N94,0,AN$110))/(INDEX($F$4:$N$4,0,AN$110+1)-INDEX($F$4:$N$4,0,AN$110))+AM113)))</f>
        <v>1.3823905575949034</v>
      </c>
      <c r="AO113" s="186" cm="1">
        <f t="array" ref="AO113">IF(AO$110=-1,AP113,IF(AO$110=99,AN113,IF(AO$110=0,INDEX($F94:$N94,0,AO$108),(INDEX($F94:$N94,0,AO$110+1)-INDEX($F94:$N94,0,AO$110))/(INDEX($F$4:$N$4,0,AO$110+1)-INDEX($F$4:$N$4,0,AO$110))+AN113)))</f>
        <v>1.4073098170071641</v>
      </c>
      <c r="AP113" s="186" cm="1">
        <f t="array" ref="AP113">IF(AP$110=-1,AQ113,IF(AP$110=99,AO113,IF(AP$110=0,INDEX($F94:$N94,0,AP$108),(INDEX($F94:$N94,0,AP$110+1)-INDEX($F94:$N94,0,AP$110))/(INDEX($F$4:$N$4,0,AP$110+1)-INDEX($F$4:$N$4,0,AP$110))+AO113)))</f>
        <v>1.4403098349317573</v>
      </c>
      <c r="AQ113" s="186" cm="1">
        <f t="array" ref="AQ113">IF(AQ$110=-1,AR113,IF(AQ$110=99,AP113,IF(AQ$110=0,INDEX($F94:$N94,0,AQ$108),(INDEX($F94:$N94,0,AQ$110+1)-INDEX($F94:$N94,0,AQ$110))/(INDEX($F$4:$N$4,0,AQ$110+1)-INDEX($F$4:$N$4,0,AQ$110))+AP113)))</f>
        <v>1.4733098528563506</v>
      </c>
      <c r="AR113" s="186" cm="1">
        <f t="array" ref="AR113">IF(AR$110=-1,AS113,IF(AR$110=99,AQ113,IF(AR$110=0,INDEX($F94:$N94,0,AR$108),(INDEX($F94:$N94,0,AR$110+1)-INDEX($F94:$N94,0,AR$110))/(INDEX($F$4:$N$4,0,AR$110+1)-INDEX($F$4:$N$4,0,AR$110))+AQ113)))</f>
        <v>1.5063098707809439</v>
      </c>
      <c r="AS113" s="186" cm="1">
        <f t="array" ref="AS113">IF(AS$110=-1,AT113,IF(AS$110=99,AR113,IF(AS$110=0,INDEX($F94:$N94,0,AS$108),(INDEX($F94:$N94,0,AS$110+1)-INDEX($F94:$N94,0,AS$110))/(INDEX($F$4:$N$4,0,AS$110+1)-INDEX($F$4:$N$4,0,AS$110))+AR113)))</f>
        <v>1.5393098887055372</v>
      </c>
      <c r="AT113" s="186" cm="1">
        <f t="array" ref="AT113">IF(AT$110=-1,AU113,IF(AT$110=99,AS113,IF(AT$110=0,INDEX($F94:$N94,0,AT$108),(INDEX($F94:$N94,0,AT$110+1)-INDEX($F94:$N94,0,AT$110))/(INDEX($F$4:$N$4,0,AT$110+1)-INDEX($F$4:$N$4,0,AT$110))+AS113)))</f>
        <v>1.5723099066301305</v>
      </c>
      <c r="AU113" s="186" cm="1">
        <f t="array" ref="AU113">IF(AU$110=-1,AV113,IF(AU$110=99,AT113,IF(AU$110=0,INDEX($F94:$N94,0,AU$108),(INDEX($F94:$N94,0,AU$110+1)-INDEX($F94:$N94,0,AU$110))/(INDEX($F$4:$N$4,0,AU$110+1)-INDEX($F$4:$N$4,0,AU$110))+AT113)))</f>
        <v>1.6053099245547238</v>
      </c>
      <c r="AV113" s="186" cm="1">
        <f t="array" ref="AV113">IF(AV$110=-1,AW113,IF(AV$110=99,AU113,IF(AV$110=0,INDEX($F94:$N94,0,AV$108),(INDEX($F94:$N94,0,AV$110+1)-INDEX($F94:$N94,0,AV$110))/(INDEX($F$4:$N$4,0,AV$110+1)-INDEX($F$4:$N$4,0,AV$110))+AU113)))</f>
        <v>1.638309942479317</v>
      </c>
      <c r="AW113" s="186" cm="1">
        <f t="array" ref="AW113">IF(AW$110=-1,AX113,IF(AW$110=99,AV113,IF(AW$110=0,INDEX($F94:$N94,0,AW$108),(INDEX($F94:$N94,0,AW$110+1)-INDEX($F94:$N94,0,AW$110))/(INDEX($F$4:$N$4,0,AW$110+1)-INDEX($F$4:$N$4,0,AW$110))+AV113)))</f>
        <v>1.6713099604039103</v>
      </c>
      <c r="AX113" s="186" cm="1">
        <f t="array" ref="AX113">IF(AX$110=-1,AY113,IF(AX$110=99,AW113,IF(AX$110=0,INDEX($F94:$N94,0,AX$108),(INDEX($F94:$N94,0,AX$110+1)-INDEX($F94:$N94,0,AX$110))/(INDEX($F$4:$N$4,0,AX$110+1)-INDEX($F$4:$N$4,0,AX$110))+AW113)))</f>
        <v>1.7043099783285036</v>
      </c>
      <c r="AY113" s="186" cm="1">
        <f t="array" ref="AY113">IF(AY$110=-1,AZ113,IF(AY$110=99,AX113,IF(AY$110=0,INDEX($F94:$N94,0,AY$108),(INDEX($F94:$N94,0,AY$110+1)-INDEX($F94:$N94,0,AY$110))/(INDEX($F$4:$N$4,0,AY$110+1)-INDEX($F$4:$N$4,0,AY$110))+AX113)))</f>
        <v>1.7373099962530976</v>
      </c>
      <c r="AZ113" s="186" cm="1">
        <f t="array" ref="AZ113">IF(AZ$110=-1,BA113,IF(AZ$110=99,AY113,IF(AZ$110=0,INDEX($F94:$N94,0,AZ$108),(INDEX($F94:$N94,0,AZ$110+1)-INDEX($F94:$N94,0,AZ$110))/(INDEX($F$4:$N$4,0,AZ$110+1)-INDEX($F$4:$N$4,0,AZ$110))+AY113)))</f>
        <v>1.7373099962530976</v>
      </c>
      <c r="BA113" s="186" cm="1">
        <f t="array" ref="BA113">IF(BA$110=-1,BB113,IF(BA$110=99,AZ113,IF(BA$110=0,INDEX($F94:$N94,0,BA$108),(INDEX($F94:$N94,0,BA$110+1)-INDEX($F94:$N94,0,BA$110))/(INDEX($F$4:$N$4,0,BA$110+1)-INDEX($F$4:$N$4,0,BA$110))+AZ113)))</f>
        <v>1.7373099962530976</v>
      </c>
    </row>
    <row r="114" spans="1:53">
      <c r="A114" s="116" t="s">
        <v>16</v>
      </c>
      <c r="B114" s="22" t="str">
        <f t="shared" si="216"/>
        <v/>
      </c>
      <c r="C114" s="23" t="str">
        <f t="shared" si="217"/>
        <v/>
      </c>
      <c r="D114" s="57" t="str">
        <f>ITEMS_TRA!C18</f>
        <v>TFHCV3</v>
      </c>
      <c r="E114" s="23" t="str">
        <f t="shared" si="218"/>
        <v/>
      </c>
      <c r="H114" s="23" t="str">
        <f t="shared" si="218"/>
        <v/>
      </c>
      <c r="J114" s="23" t="str">
        <f t="shared" si="218"/>
        <v/>
      </c>
      <c r="K114" s="23" t="str">
        <f t="shared" si="218"/>
        <v/>
      </c>
      <c r="L114" s="125" t="str">
        <f t="shared" si="219"/>
        <v/>
      </c>
      <c r="M114" s="186">
        <f>INDEX('[2]TS BYDem'!J$10:J$59,MATCH($D114,'[2]TS BYDem'!D$10:D$59,0))</f>
        <v>3.0423873008641582</v>
      </c>
      <c r="N114" s="186" cm="1">
        <f t="array" ref="N114">IF(N$110=-1,O114,IF(N$110=99,M114,IF(N$110=0,INDEX($F95:$N95,0,N$108),(INDEX($F95:$N95,0,N$110+1)-INDEX($F95:$N95,0,N$110))/(INDEX($F$4:$N$4,0,N$110+1)-INDEX($F$4:$N$4,0,N$110))+M114)))</f>
        <v>3.0852151471238134</v>
      </c>
      <c r="O114" s="186" cm="1">
        <f t="array" ref="O114">IF(O$110=-1,P114,IF(O$110=99,N114,IF(O$110=0,INDEX($F95:$N95,0,O$108),(INDEX($F95:$N95,0,O$110+1)-INDEX($F95:$N95,0,O$110))/(INDEX($F$4:$N$4,0,O$110+1)-INDEX($F$4:$N$4,0,O$110))+N114)))</f>
        <v>3.1280429933834686</v>
      </c>
      <c r="P114" s="186" cm="1">
        <f t="array" ref="P114">IF(P$110=-1,Q114,IF(P$110=99,O114,IF(P$110=0,INDEX($F95:$N95,0,P$108),(INDEX($F95:$N95,0,P$110+1)-INDEX($F95:$N95,0,P$110))/(INDEX($F$4:$N$4,0,P$110+1)-INDEX($F$4:$N$4,0,P$110))+O114)))</f>
        <v>3.1708708396431251</v>
      </c>
      <c r="Q114" s="186" cm="1">
        <f t="array" ref="Q114">IF(Q$110=-1,R114,IF(Q$110=99,P114,IF(Q$110=0,INDEX($F95:$N95,0,Q$108),(INDEX($F95:$N95,0,Q$110+1)-INDEX($F95:$N95,0,Q$110))/(INDEX($F$4:$N$4,0,Q$110+1)-INDEX($F$4:$N$4,0,Q$110))+P114)))</f>
        <v>3.2351126090326074</v>
      </c>
      <c r="R114" s="186" cm="1">
        <f t="array" ref="R114">IF(R$110=-1,S114,IF(R$110=99,Q114,IF(R$110=0,INDEX($F95:$N95,0,R$108),(INDEX($F95:$N95,0,R$110+1)-INDEX($F95:$N95,0,R$110))/(INDEX($F$4:$N$4,0,R$110+1)-INDEX($F$4:$N$4,0,R$110))+Q114)))</f>
        <v>3.2993543784220902</v>
      </c>
      <c r="S114" s="186" cm="1">
        <f t="array" ref="S114">IF(S$110=-1,T114,IF(S$110=99,R114,IF(S$110=0,INDEX($F95:$N95,0,S$108),(INDEX($F95:$N95,0,S$110+1)-INDEX($F95:$N95,0,S$110))/(INDEX($F$4:$N$4,0,S$110+1)-INDEX($F$4:$N$4,0,S$110))+R114)))</f>
        <v>3.3198887752333626</v>
      </c>
      <c r="T114" s="186" cm="1">
        <f t="array" ref="T114">IF(T$110=-1,U114,IF(T$110=99,S114,IF(T$110=0,INDEX($F95:$N95,0,T$108),(INDEX($F95:$N95,0,T$110+1)-INDEX($F95:$N95,0,T$110))/(INDEX($F$4:$N$4,0,T$110+1)-INDEX($F$4:$N$4,0,T$110))+S114)))</f>
        <v>3.3404231720446353</v>
      </c>
      <c r="U114" s="186" cm="1">
        <f t="array" ref="U114">IF(U$110=-1,V114,IF(U$110=99,T114,IF(U$110=0,INDEX($F95:$N95,0,U$108),(INDEX($F95:$N95,0,U$110+1)-INDEX($F95:$N95,0,U$110))/(INDEX($F$4:$N$4,0,U$110+1)-INDEX($F$4:$N$4,0,U$110))+T114)))</f>
        <v>3.1478858755507528</v>
      </c>
      <c r="V114" s="186" cm="1">
        <f t="array" ref="V114">IF(V$110=-1,W114,IF(V$110=99,U114,IF(V$110=0,INDEX($F95:$N95,0,V$108),(INDEX($F95:$N95,0,V$110+1)-INDEX($F95:$N95,0,V$110))/(INDEX($F$4:$N$4,0,V$110+1)-INDEX($F$4:$N$4,0,V$110))+U114)))</f>
        <v>3.2004236635204188</v>
      </c>
      <c r="W114" s="186" cm="1">
        <f t="array" ref="W114">IF(W$110=-1,X114,IF(W$110=99,V114,IF(W$110=0,INDEX($F95:$N95,0,W$108),(INDEX($F95:$N95,0,W$110+1)-INDEX($F95:$N95,0,W$110))/(INDEX($F$4:$N$4,0,W$110+1)-INDEX($F$4:$N$4,0,W$110))+V114)))</f>
        <v>3.2681029586565664</v>
      </c>
      <c r="X114" s="186" cm="1">
        <f t="array" ref="X114">IF(X$110=-1,Y114,IF(X$110=99,W114,IF(X$110=0,INDEX($F95:$N95,0,X$108),(INDEX($F95:$N95,0,X$110+1)-INDEX($F95:$N95,0,X$110))/(INDEX($F$4:$N$4,0,X$110+1)-INDEX($F$4:$N$4,0,X$110))+W114)))</f>
        <v>3.335782253792714</v>
      </c>
      <c r="Y114" s="186" cm="1">
        <f t="array" ref="Y114">IF(Y$110=-1,Z114,IF(Y$110=99,X114,IF(Y$110=0,INDEX($F95:$N95,0,Y$108),(INDEX($F95:$N95,0,Y$110+1)-INDEX($F95:$N95,0,Y$110))/(INDEX($F$4:$N$4,0,Y$110+1)-INDEX($F$4:$N$4,0,Y$110))+X114)))</f>
        <v>3.4034615489288615</v>
      </c>
      <c r="Z114" s="186" cm="1">
        <f t="array" ref="Z114">IF(Z$110=-1,AA114,IF(Z$110=99,Y114,IF(Z$110=0,INDEX($F95:$N95,0,Z$108),(INDEX($F95:$N95,0,Z$110+1)-INDEX($F95:$N95,0,Z$110))/(INDEX($F$4:$N$4,0,Z$110+1)-INDEX($F$4:$N$4,0,Z$110))+Y114)))</f>
        <v>3.4711408440650091</v>
      </c>
      <c r="AA114" s="186" cm="1">
        <f t="array" ref="AA114">IF(AA$110=-1,AB114,IF(AA$110=99,Z114,IF(AA$110=0,INDEX($F95:$N95,0,AA$108),(INDEX($F95:$N95,0,AA$110+1)-INDEX($F95:$N95,0,AA$110))/(INDEX($F$4:$N$4,0,AA$110+1)-INDEX($F$4:$N$4,0,AA$110))+Z114)))</f>
        <v>3.5388201392011567</v>
      </c>
      <c r="AB114" s="186" cm="1">
        <f t="array" ref="AB114">IF(AB$110=-1,AC114,IF(AB$110=99,AA114,IF(AB$110=0,INDEX($F95:$N95,0,AB$108),(INDEX($F95:$N95,0,AB$110+1)-INDEX($F95:$N95,0,AB$110))/(INDEX($F$4:$N$4,0,AB$110+1)-INDEX($F$4:$N$4,0,AB$110))+AA114)))</f>
        <v>3.6064994343373042</v>
      </c>
      <c r="AC114" s="186" cm="1">
        <f t="array" ref="AC114">IF(AC$110=-1,AD114,IF(AC$110=99,AB114,IF(AC$110=0,INDEX($F95:$N95,0,AC$108),(INDEX($F95:$N95,0,AC$110+1)-INDEX($F95:$N95,0,AC$110))/(INDEX($F$4:$N$4,0,AC$110+1)-INDEX($F$4:$N$4,0,AC$110))+AB114)))</f>
        <v>3.6741787294734518</v>
      </c>
      <c r="AD114" s="186" cm="1">
        <f t="array" ref="AD114">IF(AD$110=-1,AE114,IF(AD$110=99,AC114,IF(AD$110=0,INDEX($F95:$N95,0,AD$108),(INDEX($F95:$N95,0,AD$110+1)-INDEX($F95:$N95,0,AD$110))/(INDEX($F$4:$N$4,0,AD$110+1)-INDEX($F$4:$N$4,0,AD$110))+AC114)))</f>
        <v>3.7418580246095994</v>
      </c>
      <c r="AE114" s="186" cm="1">
        <f t="array" ref="AE114">IF(AE$110=-1,AF114,IF(AE$110=99,AD114,IF(AE$110=0,INDEX($F95:$N95,0,AE$108),(INDEX($F95:$N95,0,AE$110+1)-INDEX($F95:$N95,0,AE$110))/(INDEX($F$4:$N$4,0,AE$110+1)-INDEX($F$4:$N$4,0,AE$110))+AD114)))</f>
        <v>3.8095373197457469</v>
      </c>
      <c r="AF114" s="186" cm="1">
        <f t="array" ref="AF114">IF(AF$110=-1,AG114,IF(AF$110=99,AE114,IF(AF$110=0,INDEX($F95:$N95,0,AF$108),(INDEX($F95:$N95,0,AF$110+1)-INDEX($F95:$N95,0,AF$110))/(INDEX($F$4:$N$4,0,AF$110+1)-INDEX($F$4:$N$4,0,AF$110))+AE114)))</f>
        <v>3.8915073024345359</v>
      </c>
      <c r="AG114" s="186" cm="1">
        <f t="array" ref="AG114">IF(AG$110=-1,AH114,IF(AG$110=99,AF114,IF(AG$110=0,INDEX($F95:$N95,0,AG$108),(INDEX($F95:$N95,0,AG$110+1)-INDEX($F95:$N95,0,AG$110))/(INDEX($F$4:$N$4,0,AG$110+1)-INDEX($F$4:$N$4,0,AG$110))+AF114)))</f>
        <v>3.9734772851233249</v>
      </c>
      <c r="AH114" s="186" cm="1">
        <f t="array" ref="AH114">IF(AH$110=-1,AI114,IF(AH$110=99,AG114,IF(AH$110=0,INDEX($F95:$N95,0,AH$108),(INDEX($F95:$N95,0,AH$110+1)-INDEX($F95:$N95,0,AH$110))/(INDEX($F$4:$N$4,0,AH$110+1)-INDEX($F$4:$N$4,0,AH$110))+AG114)))</f>
        <v>4.0554472678121138</v>
      </c>
      <c r="AI114" s="186" cm="1">
        <f t="array" ref="AI114">IF(AI$110=-1,AJ114,IF(AI$110=99,AH114,IF(AI$110=0,INDEX($F95:$N95,0,AI$108),(INDEX($F95:$N95,0,AI$110+1)-INDEX($F95:$N95,0,AI$110))/(INDEX($F$4:$N$4,0,AI$110+1)-INDEX($F$4:$N$4,0,AI$110))+AH114)))</f>
        <v>4.1374172505009028</v>
      </c>
      <c r="AJ114" s="186" cm="1">
        <f t="array" ref="AJ114">IF(AJ$110=-1,AK114,IF(AJ$110=99,AI114,IF(AJ$110=0,INDEX($F95:$N95,0,AJ$108),(INDEX($F95:$N95,0,AJ$110+1)-INDEX($F95:$N95,0,AJ$110))/(INDEX($F$4:$N$4,0,AJ$110+1)-INDEX($F$4:$N$4,0,AJ$110))+AI114)))</f>
        <v>4.2193872331896918</v>
      </c>
      <c r="AK114" s="186" cm="1">
        <f t="array" ref="AK114">IF(AK$110=-1,AL114,IF(AK$110=99,AJ114,IF(AK$110=0,INDEX($F95:$N95,0,AK$108),(INDEX($F95:$N95,0,AK$110+1)-INDEX($F95:$N95,0,AK$110))/(INDEX($F$4:$N$4,0,AK$110+1)-INDEX($F$4:$N$4,0,AK$110))+AJ114)))</f>
        <v>4.3013572158784807</v>
      </c>
      <c r="AL114" s="186" cm="1">
        <f t="array" ref="AL114">IF(AL$110=-1,AM114,IF(AL$110=99,AK114,IF(AL$110=0,INDEX($F95:$N95,0,AL$108),(INDEX($F95:$N95,0,AL$110+1)-INDEX($F95:$N95,0,AL$110))/(INDEX($F$4:$N$4,0,AL$110+1)-INDEX($F$4:$N$4,0,AL$110))+AK114)))</f>
        <v>4.3833271985672697</v>
      </c>
      <c r="AM114" s="186" cm="1">
        <f t="array" ref="AM114">IF(AM$110=-1,AN114,IF(AM$110=99,AL114,IF(AM$110=0,INDEX($F95:$N95,0,AM$108),(INDEX($F95:$N95,0,AM$110+1)-INDEX($F95:$N95,0,AM$110))/(INDEX($F$4:$N$4,0,AM$110+1)-INDEX($F$4:$N$4,0,AM$110))+AL114)))</f>
        <v>4.4652971812560587</v>
      </c>
      <c r="AN114" s="186" cm="1">
        <f t="array" ref="AN114">IF(AN$110=-1,AO114,IF(AN$110=99,AM114,IF(AN$110=0,INDEX($F95:$N95,0,AN$108),(INDEX($F95:$N95,0,AN$110+1)-INDEX($F95:$N95,0,AN$110))/(INDEX($F$4:$N$4,0,AN$110+1)-INDEX($F$4:$N$4,0,AN$110))+AM114)))</f>
        <v>4.5472671639448476</v>
      </c>
      <c r="AO114" s="186" cm="1">
        <f t="array" ref="AO114">IF(AO$110=-1,AP114,IF(AO$110=99,AN114,IF(AO$110=0,INDEX($F95:$N95,0,AO$108),(INDEX($F95:$N95,0,AO$110+1)-INDEX($F95:$N95,0,AO$110))/(INDEX($F$4:$N$4,0,AO$110+1)-INDEX($F$4:$N$4,0,AO$110))+AN114)))</f>
        <v>4.6292371466336357</v>
      </c>
      <c r="AP114" s="186" cm="1">
        <f t="array" ref="AP114">IF(AP$110=-1,AQ114,IF(AP$110=99,AO114,IF(AP$110=0,INDEX($F95:$N95,0,AP$108),(INDEX($F95:$N95,0,AP$110+1)-INDEX($F95:$N95,0,AP$110))/(INDEX($F$4:$N$4,0,AP$110+1)-INDEX($F$4:$N$4,0,AP$110))+AO114)))</f>
        <v>4.7377881614634614</v>
      </c>
      <c r="AQ114" s="186" cm="1">
        <f t="array" ref="AQ114">IF(AQ$110=-1,AR114,IF(AQ$110=99,AP114,IF(AQ$110=0,INDEX($F95:$N95,0,AQ$108),(INDEX($F95:$N95,0,AQ$110+1)-INDEX($F95:$N95,0,AQ$110))/(INDEX($F$4:$N$4,0,AQ$110+1)-INDEX($F$4:$N$4,0,AQ$110))+AP114)))</f>
        <v>4.846339176293287</v>
      </c>
      <c r="AR114" s="186" cm="1">
        <f t="array" ref="AR114">IF(AR$110=-1,AS114,IF(AR$110=99,AQ114,IF(AR$110=0,INDEX($F95:$N95,0,AR$108),(INDEX($F95:$N95,0,AR$110+1)-INDEX($F95:$N95,0,AR$110))/(INDEX($F$4:$N$4,0,AR$110+1)-INDEX($F$4:$N$4,0,AR$110))+AQ114)))</f>
        <v>4.9548901911231127</v>
      </c>
      <c r="AS114" s="186" cm="1">
        <f t="array" ref="AS114">IF(AS$110=-1,AT114,IF(AS$110=99,AR114,IF(AS$110=0,INDEX($F95:$N95,0,AS$108),(INDEX($F95:$N95,0,AS$110+1)-INDEX($F95:$N95,0,AS$110))/(INDEX($F$4:$N$4,0,AS$110+1)-INDEX($F$4:$N$4,0,AS$110))+AR114)))</f>
        <v>5.0634412059529383</v>
      </c>
      <c r="AT114" s="186" cm="1">
        <f t="array" ref="AT114">IF(AT$110=-1,AU114,IF(AT$110=99,AS114,IF(AT$110=0,INDEX($F95:$N95,0,AT$108),(INDEX($F95:$N95,0,AT$110+1)-INDEX($F95:$N95,0,AT$110))/(INDEX($F$4:$N$4,0,AT$110+1)-INDEX($F$4:$N$4,0,AT$110))+AS114)))</f>
        <v>5.171992220782764</v>
      </c>
      <c r="AU114" s="186" cm="1">
        <f t="array" ref="AU114">IF(AU$110=-1,AV114,IF(AU$110=99,AT114,IF(AU$110=0,INDEX($F95:$N95,0,AU$108),(INDEX($F95:$N95,0,AU$110+1)-INDEX($F95:$N95,0,AU$110))/(INDEX($F$4:$N$4,0,AU$110+1)-INDEX($F$4:$N$4,0,AU$110))+AT114)))</f>
        <v>5.2805432356125896</v>
      </c>
      <c r="AV114" s="186" cm="1">
        <f t="array" ref="AV114">IF(AV$110=-1,AW114,IF(AV$110=99,AU114,IF(AV$110=0,INDEX($F95:$N95,0,AV$108),(INDEX($F95:$N95,0,AV$110+1)-INDEX($F95:$N95,0,AV$110))/(INDEX($F$4:$N$4,0,AV$110+1)-INDEX($F$4:$N$4,0,AV$110))+AU114)))</f>
        <v>5.3890942504424153</v>
      </c>
      <c r="AW114" s="186" cm="1">
        <f t="array" ref="AW114">IF(AW$110=-1,AX114,IF(AW$110=99,AV114,IF(AW$110=0,INDEX($F95:$N95,0,AW$108),(INDEX($F95:$N95,0,AW$110+1)-INDEX($F95:$N95,0,AW$110))/(INDEX($F$4:$N$4,0,AW$110+1)-INDEX($F$4:$N$4,0,AW$110))+AV114)))</f>
        <v>5.497645265272241</v>
      </c>
      <c r="AX114" s="186" cm="1">
        <f t="array" ref="AX114">IF(AX$110=-1,AY114,IF(AX$110=99,AW114,IF(AX$110=0,INDEX($F95:$N95,0,AX$108),(INDEX($F95:$N95,0,AX$110+1)-INDEX($F95:$N95,0,AX$110))/(INDEX($F$4:$N$4,0,AX$110+1)-INDEX($F$4:$N$4,0,AX$110))+AW114)))</f>
        <v>5.6061962801020666</v>
      </c>
      <c r="AY114" s="186" cm="1">
        <f t="array" ref="AY114">IF(AY$110=-1,AZ114,IF(AY$110=99,AX114,IF(AY$110=0,INDEX($F95:$N95,0,AY$108),(INDEX($F95:$N95,0,AY$110+1)-INDEX($F95:$N95,0,AY$110))/(INDEX($F$4:$N$4,0,AY$110+1)-INDEX($F$4:$N$4,0,AY$110))+AX114)))</f>
        <v>5.7147472949318887</v>
      </c>
      <c r="AZ114" s="186" cm="1">
        <f t="array" ref="AZ114">IF(AZ$110=-1,BA114,IF(AZ$110=99,AY114,IF(AZ$110=0,INDEX($F95:$N95,0,AZ$108),(INDEX($F95:$N95,0,AZ$110+1)-INDEX($F95:$N95,0,AZ$110))/(INDEX($F$4:$N$4,0,AZ$110+1)-INDEX($F$4:$N$4,0,AZ$110))+AY114)))</f>
        <v>5.7147472949318887</v>
      </c>
      <c r="BA114" s="186" cm="1">
        <f t="array" ref="BA114">IF(BA$110=-1,BB114,IF(BA$110=99,AZ114,IF(BA$110=0,INDEX($F95:$N95,0,BA$108),(INDEX($F95:$N95,0,BA$110+1)-INDEX($F95:$N95,0,BA$110))/(INDEX($F$4:$N$4,0,BA$110+1)-INDEX($F$4:$N$4,0,BA$110))+AZ114)))</f>
        <v>5.7147472949318887</v>
      </c>
    </row>
    <row r="115" spans="1:53">
      <c r="A115" s="116" t="s">
        <v>16</v>
      </c>
      <c r="B115" s="22" t="str">
        <f t="shared" si="216"/>
        <v/>
      </c>
      <c r="C115" s="23" t="str">
        <f t="shared" si="217"/>
        <v/>
      </c>
      <c r="D115" s="57" t="str">
        <f>ITEMS_TRA!C19</f>
        <v>TFHCV4</v>
      </c>
      <c r="E115" s="23" t="str">
        <f t="shared" si="218"/>
        <v/>
      </c>
      <c r="H115" s="23" t="str">
        <f t="shared" si="218"/>
        <v/>
      </c>
      <c r="J115" s="23" t="str">
        <f t="shared" si="218"/>
        <v/>
      </c>
      <c r="K115" s="23" t="str">
        <f t="shared" si="218"/>
        <v/>
      </c>
      <c r="L115" s="125" t="str">
        <f t="shared" si="219"/>
        <v/>
      </c>
      <c r="M115" s="186">
        <f>INDEX('[2]TS BYDem'!J$10:J$59,MATCH($D115,'[2]TS BYDem'!D$10:D$59,0))</f>
        <v>0.64156299948434192</v>
      </c>
      <c r="N115" s="186" cm="1">
        <f t="array" ref="N115">IF(N$110=-1,O115,IF(N$110=99,M115,IF(N$110=0,INDEX($F96:$N96,0,N$108),(INDEX($F96:$N96,0,N$110+1)-INDEX($F96:$N96,0,N$110))/(INDEX($F$4:$N$4,0,N$110+1)-INDEX($F$4:$N$4,0,N$110))+M115)))</f>
        <v>0.62717766269161657</v>
      </c>
      <c r="O115" s="186" cm="1">
        <f t="array" ref="O115">IF(O$110=-1,P115,IF(O$110=99,N115,IF(O$110=0,INDEX($F96:$N96,0,O$108),(INDEX($F96:$N96,0,O$110+1)-INDEX($F96:$N96,0,O$110))/(INDEX($F$4:$N$4,0,O$110+1)-INDEX($F$4:$N$4,0,O$110))+N115)))</f>
        <v>0.61279232589889121</v>
      </c>
      <c r="P115" s="186" cm="1">
        <f t="array" ref="P115">IF(P$110=-1,Q115,IF(P$110=99,O115,IF(P$110=0,INDEX($F96:$N96,0,P$108),(INDEX($F96:$N96,0,P$110+1)-INDEX($F96:$N96,0,P$110))/(INDEX($F$4:$N$4,0,P$110+1)-INDEX($F$4:$N$4,0,P$110))+O115)))</f>
        <v>0.59840698910616308</v>
      </c>
      <c r="Q115" s="186" cm="1">
        <f t="array" ref="Q115">IF(Q$110=-1,R115,IF(Q$110=99,P115,IF(Q$110=0,INDEX($F96:$N96,0,Q$108),(INDEX($F96:$N96,0,Q$110+1)-INDEX($F96:$N96,0,Q$110))/(INDEX($F$4:$N$4,0,Q$110+1)-INDEX($F$4:$N$4,0,Q$110))+P115)))</f>
        <v>0.59840698910616308</v>
      </c>
      <c r="R115" s="186" cm="1">
        <f t="array" ref="R115">IF(R$110=-1,S115,IF(R$110=99,Q115,IF(R$110=0,INDEX($F96:$N96,0,R$108),(INDEX($F96:$N96,0,R$110+1)-INDEX($F96:$N96,0,R$110))/(INDEX($F$4:$N$4,0,R$110+1)-INDEX($F$4:$N$4,0,R$110))+Q115)))</f>
        <v>0.59840698910616308</v>
      </c>
      <c r="S115" s="186" cm="1">
        <f t="array" ref="S115">IF(S$110=-1,T115,IF(S$110=99,R115,IF(S$110=0,INDEX($F96:$N96,0,S$108),(INDEX($F96:$N96,0,S$110+1)-INDEX($F96:$N96,0,S$110))/(INDEX($F$4:$N$4,0,S$110+1)-INDEX($F$4:$N$4,0,S$110))+R115)))</f>
        <v>0.60213133185919032</v>
      </c>
      <c r="T115" s="186" cm="1">
        <f t="array" ref="T115">IF(T$110=-1,U115,IF(T$110=99,S115,IF(T$110=0,INDEX($F96:$N96,0,T$108),(INDEX($F96:$N96,0,T$110+1)-INDEX($F96:$N96,0,T$110))/(INDEX($F$4:$N$4,0,T$110+1)-INDEX($F$4:$N$4,0,T$110))+S115)))</f>
        <v>0.60585567461221745</v>
      </c>
      <c r="U115" s="186" cm="1">
        <f t="array" ref="U115">IF(U$110=-1,V115,IF(U$110=99,T115,IF(U$110=0,INDEX($F96:$N96,0,U$108),(INDEX($F96:$N96,0,U$110+1)-INDEX($F96:$N96,0,U$110))/(INDEX($F$4:$N$4,0,U$110+1)-INDEX($F$4:$N$4,0,U$110))+T115)))</f>
        <v>0.57093500509000428</v>
      </c>
      <c r="V115" s="186" cm="1">
        <f t="array" ref="V115">IF(V$110=-1,W115,IF(V$110=99,U115,IF(V$110=0,INDEX($F96:$N96,0,V$108),(INDEX($F96:$N96,0,V$110+1)-INDEX($F96:$N96,0,V$110))/(INDEX($F$4:$N$4,0,V$110+1)-INDEX($F$4:$N$4,0,V$110))+U115)))</f>
        <v>0.58046383282637526</v>
      </c>
      <c r="W115" s="186" cm="1">
        <f t="array" ref="W115">IF(W$110=-1,X115,IF(W$110=99,V115,IF(W$110=0,INDEX($F96:$N96,0,W$108),(INDEX($F96:$N96,0,W$110+1)-INDEX($F96:$N96,0,W$110))/(INDEX($F$4:$N$4,0,W$110+1)-INDEX($F$4:$N$4,0,W$110))+V115)))</f>
        <v>0.59273888987757273</v>
      </c>
      <c r="X115" s="186" cm="1">
        <f t="array" ref="X115">IF(X$110=-1,Y115,IF(X$110=99,W115,IF(X$110=0,INDEX($F96:$N96,0,X$108),(INDEX($F96:$N96,0,X$110+1)-INDEX($F96:$N96,0,X$110))/(INDEX($F$4:$N$4,0,X$110+1)-INDEX($F$4:$N$4,0,X$110))+W115)))</f>
        <v>0.6050139469287702</v>
      </c>
      <c r="Y115" s="186" cm="1">
        <f t="array" ref="Y115">IF(Y$110=-1,Z115,IF(Y$110=99,X115,IF(Y$110=0,INDEX($F96:$N96,0,Y$108),(INDEX($F96:$N96,0,Y$110+1)-INDEX($F96:$N96,0,Y$110))/(INDEX($F$4:$N$4,0,Y$110+1)-INDEX($F$4:$N$4,0,Y$110))+X115)))</f>
        <v>0.61728900397996767</v>
      </c>
      <c r="Z115" s="186" cm="1">
        <f t="array" ref="Z115">IF(Z$110=-1,AA115,IF(Z$110=99,Y115,IF(Z$110=0,INDEX($F96:$N96,0,Z$108),(INDEX($F96:$N96,0,Z$110+1)-INDEX($F96:$N96,0,Z$110))/(INDEX($F$4:$N$4,0,Z$110+1)-INDEX($F$4:$N$4,0,Z$110))+Y115)))</f>
        <v>0.62956406103116513</v>
      </c>
      <c r="AA115" s="186" cm="1">
        <f t="array" ref="AA115">IF(AA$110=-1,AB115,IF(AA$110=99,Z115,IF(AA$110=0,INDEX($F96:$N96,0,AA$108),(INDEX($F96:$N96,0,AA$110+1)-INDEX($F96:$N96,0,AA$110))/(INDEX($F$4:$N$4,0,AA$110+1)-INDEX($F$4:$N$4,0,AA$110))+Z115)))</f>
        <v>0.6418391180823626</v>
      </c>
      <c r="AB115" s="186" cm="1">
        <f t="array" ref="AB115">IF(AB$110=-1,AC115,IF(AB$110=99,AA115,IF(AB$110=0,INDEX($F96:$N96,0,AB$108),(INDEX($F96:$N96,0,AB$110+1)-INDEX($F96:$N96,0,AB$110))/(INDEX($F$4:$N$4,0,AB$110+1)-INDEX($F$4:$N$4,0,AB$110))+AA115)))</f>
        <v>0.65411417513356007</v>
      </c>
      <c r="AC115" s="186" cm="1">
        <f t="array" ref="AC115">IF(AC$110=-1,AD115,IF(AC$110=99,AB115,IF(AC$110=0,INDEX($F96:$N96,0,AC$108),(INDEX($F96:$N96,0,AC$110+1)-INDEX($F96:$N96,0,AC$110))/(INDEX($F$4:$N$4,0,AC$110+1)-INDEX($F$4:$N$4,0,AC$110))+AB115)))</f>
        <v>0.66638923218475754</v>
      </c>
      <c r="AD115" s="186" cm="1">
        <f t="array" ref="AD115">IF(AD$110=-1,AE115,IF(AD$110=99,AC115,IF(AD$110=0,INDEX($F96:$N96,0,AD$108),(INDEX($F96:$N96,0,AD$110+1)-INDEX($F96:$N96,0,AD$110))/(INDEX($F$4:$N$4,0,AD$110+1)-INDEX($F$4:$N$4,0,AD$110))+AC115)))</f>
        <v>0.67866428923595501</v>
      </c>
      <c r="AE115" s="186" cm="1">
        <f t="array" ref="AE115">IF(AE$110=-1,AF115,IF(AE$110=99,AD115,IF(AE$110=0,INDEX($F96:$N96,0,AE$108),(INDEX($F96:$N96,0,AE$110+1)-INDEX($F96:$N96,0,AE$110))/(INDEX($F$4:$N$4,0,AE$110+1)-INDEX($F$4:$N$4,0,AE$110))+AD115)))</f>
        <v>0.69093934628715292</v>
      </c>
      <c r="AF115" s="186" cm="1">
        <f t="array" ref="AF115">IF(AF$110=-1,AG115,IF(AF$110=99,AE115,IF(AF$110=0,INDEX($F96:$N96,0,AF$108),(INDEX($F96:$N96,0,AF$110+1)-INDEX($F96:$N96,0,AF$110))/(INDEX($F$4:$N$4,0,AF$110+1)-INDEX($F$4:$N$4,0,AF$110))+AE115)))</f>
        <v>0.70580631870414479</v>
      </c>
      <c r="AG115" s="186" cm="1">
        <f t="array" ref="AG115">IF(AG$110=-1,AH115,IF(AG$110=99,AF115,IF(AG$110=0,INDEX($F96:$N96,0,AG$108),(INDEX($F96:$N96,0,AG$110+1)-INDEX($F96:$N96,0,AG$110))/(INDEX($F$4:$N$4,0,AG$110+1)-INDEX($F$4:$N$4,0,AG$110))+AF115)))</f>
        <v>0.72067329112113665</v>
      </c>
      <c r="AH115" s="186" cm="1">
        <f t="array" ref="AH115">IF(AH$110=-1,AI115,IF(AH$110=99,AG115,IF(AH$110=0,INDEX($F96:$N96,0,AH$108),(INDEX($F96:$N96,0,AH$110+1)-INDEX($F96:$N96,0,AH$110))/(INDEX($F$4:$N$4,0,AH$110+1)-INDEX($F$4:$N$4,0,AH$110))+AG115)))</f>
        <v>0.73554026353812851</v>
      </c>
      <c r="AI115" s="186" cm="1">
        <f t="array" ref="AI115">IF(AI$110=-1,AJ115,IF(AI$110=99,AH115,IF(AI$110=0,INDEX($F96:$N96,0,AI$108),(INDEX($F96:$N96,0,AI$110+1)-INDEX($F96:$N96,0,AI$110))/(INDEX($F$4:$N$4,0,AI$110+1)-INDEX($F$4:$N$4,0,AI$110))+AH115)))</f>
        <v>0.75040723595512038</v>
      </c>
      <c r="AJ115" s="186" cm="1">
        <f t="array" ref="AJ115">IF(AJ$110=-1,AK115,IF(AJ$110=99,AI115,IF(AJ$110=0,INDEX($F96:$N96,0,AJ$108),(INDEX($F96:$N96,0,AJ$110+1)-INDEX($F96:$N96,0,AJ$110))/(INDEX($F$4:$N$4,0,AJ$110+1)-INDEX($F$4:$N$4,0,AJ$110))+AI115)))</f>
        <v>0.76527420837211224</v>
      </c>
      <c r="AK115" s="186" cm="1">
        <f t="array" ref="AK115">IF(AK$110=-1,AL115,IF(AK$110=99,AJ115,IF(AK$110=0,INDEX($F96:$N96,0,AK$108),(INDEX($F96:$N96,0,AK$110+1)-INDEX($F96:$N96,0,AK$110))/(INDEX($F$4:$N$4,0,AK$110+1)-INDEX($F$4:$N$4,0,AK$110))+AJ115)))</f>
        <v>0.78014118078910411</v>
      </c>
      <c r="AL115" s="186" cm="1">
        <f t="array" ref="AL115">IF(AL$110=-1,AM115,IF(AL$110=99,AK115,IF(AL$110=0,INDEX($F96:$N96,0,AL$108),(INDEX($F96:$N96,0,AL$110+1)-INDEX($F96:$N96,0,AL$110))/(INDEX($F$4:$N$4,0,AL$110+1)-INDEX($F$4:$N$4,0,AL$110))+AK115)))</f>
        <v>0.79500815320609597</v>
      </c>
      <c r="AM115" s="186" cm="1">
        <f t="array" ref="AM115">IF(AM$110=-1,AN115,IF(AM$110=99,AL115,IF(AM$110=0,INDEX($F96:$N96,0,AM$108),(INDEX($F96:$N96,0,AM$110+1)-INDEX($F96:$N96,0,AM$110))/(INDEX($F$4:$N$4,0,AM$110+1)-INDEX($F$4:$N$4,0,AM$110))+AL115)))</f>
        <v>0.80987512562308783</v>
      </c>
      <c r="AN115" s="186" cm="1">
        <f t="array" ref="AN115">IF(AN$110=-1,AO115,IF(AN$110=99,AM115,IF(AN$110=0,INDEX($F96:$N96,0,AN$108),(INDEX($F96:$N96,0,AN$110+1)-INDEX($F96:$N96,0,AN$110))/(INDEX($F$4:$N$4,0,AN$110+1)-INDEX($F$4:$N$4,0,AN$110))+AM115)))</f>
        <v>0.8247420980400797</v>
      </c>
      <c r="AO115" s="186" cm="1">
        <f t="array" ref="AO115">IF(AO$110=-1,AP115,IF(AO$110=99,AN115,IF(AO$110=0,INDEX($F96:$N96,0,AO$108),(INDEX($F96:$N96,0,AO$110+1)-INDEX($F96:$N96,0,AO$110))/(INDEX($F$4:$N$4,0,AO$110+1)-INDEX($F$4:$N$4,0,AO$110))+AN115)))</f>
        <v>0.83960907045707112</v>
      </c>
      <c r="AP115" s="186" cm="1">
        <f t="array" ref="AP115">IF(AP$110=-1,AQ115,IF(AP$110=99,AO115,IF(AP$110=0,INDEX($F96:$N96,0,AP$108),(INDEX($F96:$N96,0,AP$110+1)-INDEX($F96:$N96,0,AP$110))/(INDEX($F$4:$N$4,0,AP$110+1)-INDEX($F$4:$N$4,0,AP$110))+AO115)))</f>
        <v>0.85929706953154461</v>
      </c>
      <c r="AQ115" s="186" cm="1">
        <f t="array" ref="AQ115">IF(AQ$110=-1,AR115,IF(AQ$110=99,AP115,IF(AQ$110=0,INDEX($F96:$N96,0,AQ$108),(INDEX($F96:$N96,0,AQ$110+1)-INDEX($F96:$N96,0,AQ$110))/(INDEX($F$4:$N$4,0,AQ$110+1)-INDEX($F$4:$N$4,0,AQ$110))+AP115)))</f>
        <v>0.87898506860601811</v>
      </c>
      <c r="AR115" s="186" cm="1">
        <f t="array" ref="AR115">IF(AR$110=-1,AS115,IF(AR$110=99,AQ115,IF(AR$110=0,INDEX($F96:$N96,0,AR$108),(INDEX($F96:$N96,0,AR$110+1)-INDEX($F96:$N96,0,AR$110))/(INDEX($F$4:$N$4,0,AR$110+1)-INDEX($F$4:$N$4,0,AR$110))+AQ115)))</f>
        <v>0.8986730676804916</v>
      </c>
      <c r="AS115" s="186" cm="1">
        <f t="array" ref="AS115">IF(AS$110=-1,AT115,IF(AS$110=99,AR115,IF(AS$110=0,INDEX($F96:$N96,0,AS$108),(INDEX($F96:$N96,0,AS$110+1)-INDEX($F96:$N96,0,AS$110))/(INDEX($F$4:$N$4,0,AS$110+1)-INDEX($F$4:$N$4,0,AS$110))+AR115)))</f>
        <v>0.91836106675496509</v>
      </c>
      <c r="AT115" s="186" cm="1">
        <f t="array" ref="AT115">IF(AT$110=-1,AU115,IF(AT$110=99,AS115,IF(AT$110=0,INDEX($F96:$N96,0,AT$108),(INDEX($F96:$N96,0,AT$110+1)-INDEX($F96:$N96,0,AT$110))/(INDEX($F$4:$N$4,0,AT$110+1)-INDEX($F$4:$N$4,0,AT$110))+AS115)))</f>
        <v>0.93804906582943859</v>
      </c>
      <c r="AU115" s="186" cm="1">
        <f t="array" ref="AU115">IF(AU$110=-1,AV115,IF(AU$110=99,AT115,IF(AU$110=0,INDEX($F96:$N96,0,AU$108),(INDEX($F96:$N96,0,AU$110+1)-INDEX($F96:$N96,0,AU$110))/(INDEX($F$4:$N$4,0,AU$110+1)-INDEX($F$4:$N$4,0,AU$110))+AT115)))</f>
        <v>0.95773706490391208</v>
      </c>
      <c r="AV115" s="186" cm="1">
        <f t="array" ref="AV115">IF(AV$110=-1,AW115,IF(AV$110=99,AU115,IF(AV$110=0,INDEX($F96:$N96,0,AV$108),(INDEX($F96:$N96,0,AV$110+1)-INDEX($F96:$N96,0,AV$110))/(INDEX($F$4:$N$4,0,AV$110+1)-INDEX($F$4:$N$4,0,AV$110))+AU115)))</f>
        <v>0.97742506397838558</v>
      </c>
      <c r="AW115" s="186" cm="1">
        <f t="array" ref="AW115">IF(AW$110=-1,AX115,IF(AW$110=99,AV115,IF(AW$110=0,INDEX($F96:$N96,0,AW$108),(INDEX($F96:$N96,0,AW$110+1)-INDEX($F96:$N96,0,AW$110))/(INDEX($F$4:$N$4,0,AW$110+1)-INDEX($F$4:$N$4,0,AW$110))+AV115)))</f>
        <v>0.99711306305285907</v>
      </c>
      <c r="AX115" s="186" cm="1">
        <f t="array" ref="AX115">IF(AX$110=-1,AY115,IF(AX$110=99,AW115,IF(AX$110=0,INDEX($F96:$N96,0,AX$108),(INDEX($F96:$N96,0,AX$110+1)-INDEX($F96:$N96,0,AX$110))/(INDEX($F$4:$N$4,0,AX$110+1)-INDEX($F$4:$N$4,0,AX$110))+AW115)))</f>
        <v>1.0168010621273327</v>
      </c>
      <c r="AY115" s="186" cm="1">
        <f t="array" ref="AY115">IF(AY$110=-1,AZ115,IF(AY$110=99,AX115,IF(AY$110=0,INDEX($F96:$N96,0,AY$108),(INDEX($F96:$N96,0,AY$110+1)-INDEX($F96:$N96,0,AY$110))/(INDEX($F$4:$N$4,0,AY$110+1)-INDEX($F$4:$N$4,0,AY$110))+AX115)))</f>
        <v>1.0364890612018061</v>
      </c>
      <c r="AZ115" s="186" cm="1">
        <f t="array" ref="AZ115">IF(AZ$110=-1,BA115,IF(AZ$110=99,AY115,IF(AZ$110=0,INDEX($F96:$N96,0,AZ$108),(INDEX($F96:$N96,0,AZ$110+1)-INDEX($F96:$N96,0,AZ$110))/(INDEX($F$4:$N$4,0,AZ$110+1)-INDEX($F$4:$N$4,0,AZ$110))+AY115)))</f>
        <v>1.0364890612018061</v>
      </c>
      <c r="BA115" s="186" cm="1">
        <f t="array" ref="BA115">IF(BA$110=-1,BB115,IF(BA$110=99,AZ115,IF(BA$110=0,INDEX($F96:$N96,0,BA$108),(INDEX($F96:$N96,0,BA$110+1)-INDEX($F96:$N96,0,BA$110))/(INDEX($F$4:$N$4,0,BA$110+1)-INDEX($F$4:$N$4,0,BA$110))+AZ115)))</f>
        <v>1.0364890612018061</v>
      </c>
    </row>
    <row r="116" spans="1:53">
      <c r="A116" s="116" t="s">
        <v>16</v>
      </c>
      <c r="B116" s="22" t="str">
        <f t="shared" si="216"/>
        <v/>
      </c>
      <c r="C116" s="23" t="str">
        <f t="shared" si="217"/>
        <v/>
      </c>
      <c r="D116" s="57" t="str">
        <f>ITEMS_TRA!C20</f>
        <v>TFHCV5</v>
      </c>
      <c r="E116" s="23" t="str">
        <f t="shared" si="218"/>
        <v/>
      </c>
      <c r="H116" s="23" t="str">
        <f t="shared" si="218"/>
        <v/>
      </c>
      <c r="J116" s="23" t="str">
        <f t="shared" si="218"/>
        <v/>
      </c>
      <c r="K116" s="23" t="str">
        <f t="shared" si="218"/>
        <v/>
      </c>
      <c r="L116" s="125" t="str">
        <f t="shared" si="219"/>
        <v/>
      </c>
      <c r="M116" s="186">
        <f>INDEX('[2]TS BYDem'!J$10:J$59,MATCH($D116,'[2]TS BYDem'!D$10:D$59,0))</f>
        <v>0.28132785630344881</v>
      </c>
      <c r="N116" s="186" cm="1">
        <f t="array" ref="N116">IF(N$110=-1,O116,IF(N$110=99,M116,IF(N$110=0,INDEX($F97:$N97,0,N$108),(INDEX($F97:$N97,0,N$110+1)-INDEX($F97:$N97,0,N$110))/(INDEX($F$4:$N$4,0,N$110+1)-INDEX($F$4:$N$4,0,N$110))+M116)))</f>
        <v>0.28410456292842851</v>
      </c>
      <c r="O116" s="186" cm="1">
        <f t="array" ref="O116">IF(O$110=-1,P116,IF(O$110=99,N116,IF(O$110=0,INDEX($F97:$N97,0,O$108),(INDEX($F97:$N97,0,O$110+1)-INDEX($F97:$N97,0,O$110))/(INDEX($F$4:$N$4,0,O$110+1)-INDEX($F$4:$N$4,0,O$110))+N116)))</f>
        <v>0.2868812695534082</v>
      </c>
      <c r="P116" s="186" cm="1">
        <f t="array" ref="P116">IF(P$110=-1,Q116,IF(P$110=99,O116,IF(P$110=0,INDEX($F97:$N97,0,P$108),(INDEX($F97:$N97,0,P$110+1)-INDEX($F97:$N97,0,P$110))/(INDEX($F$4:$N$4,0,P$110+1)-INDEX($F$4:$N$4,0,P$110))+O116)))</f>
        <v>0.28965797617838801</v>
      </c>
      <c r="Q116" s="186" cm="1">
        <f t="array" ref="Q116">IF(Q$110=-1,R116,IF(Q$110=99,P116,IF(Q$110=0,INDEX($F97:$N97,0,Q$108),(INDEX($F97:$N97,0,Q$110+1)-INDEX($F97:$N97,0,Q$110))/(INDEX($F$4:$N$4,0,Q$110+1)-INDEX($F$4:$N$4,0,Q$110))+P116)))</f>
        <v>0.29382303611585753</v>
      </c>
      <c r="R116" s="186" cm="1">
        <f t="array" ref="R116">IF(R$110=-1,S116,IF(R$110=99,Q116,IF(R$110=0,INDEX($F97:$N97,0,R$108),(INDEX($F97:$N97,0,R$110+1)-INDEX($F97:$N97,0,R$110))/(INDEX($F$4:$N$4,0,R$110+1)-INDEX($F$4:$N$4,0,R$110))+Q116)))</f>
        <v>0.29798809605332705</v>
      </c>
      <c r="S116" s="186" cm="1">
        <f t="array" ref="S116">IF(S$110=-1,T116,IF(S$110=99,R116,IF(S$110=0,INDEX($F97:$N97,0,S$108),(INDEX($F97:$N97,0,S$110+1)-INDEX($F97:$N97,0,S$110))/(INDEX($F$4:$N$4,0,S$110+1)-INDEX($F$4:$N$4,0,S$110))+R116)))</f>
        <v>0.29984270307869332</v>
      </c>
      <c r="T116" s="186" cm="1">
        <f t="array" ref="T116">IF(T$110=-1,U116,IF(T$110=99,S116,IF(T$110=0,INDEX($F97:$N97,0,T$108),(INDEX($F97:$N97,0,T$110+1)-INDEX($F97:$N97,0,T$110))/(INDEX($F$4:$N$4,0,T$110+1)-INDEX($F$4:$N$4,0,T$110))+S116)))</f>
        <v>0.30169731010405959</v>
      </c>
      <c r="U116" s="186" cm="1">
        <f t="array" ref="U116">IF(U$110=-1,V116,IF(U$110=99,T116,IF(U$110=0,INDEX($F97:$N97,0,U$108),(INDEX($F97:$N97,0,U$110+1)-INDEX($F97:$N97,0,U$110))/(INDEX($F$4:$N$4,0,U$110+1)-INDEX($F$4:$N$4,0,U$110))+T116)))</f>
        <v>0.28430790120130756</v>
      </c>
      <c r="V116" s="186" cm="1">
        <f t="array" ref="V116">IF(V$110=-1,W116,IF(V$110=99,U116,IF(V$110=0,INDEX($F97:$N97,0,V$108),(INDEX($F97:$N97,0,V$110+1)-INDEX($F97:$N97,0,V$110))/(INDEX($F$4:$N$4,0,V$110+1)-INDEX($F$4:$N$4,0,V$110))+U116)))</f>
        <v>0.28905296148047083</v>
      </c>
      <c r="W116" s="186" cm="1">
        <f t="array" ref="W116">IF(W$110=-1,X116,IF(W$110=99,V116,IF(W$110=0,INDEX($F97:$N97,0,W$108),(INDEX($F97:$N97,0,W$110+1)-INDEX($F97:$N97,0,W$110))/(INDEX($F$4:$N$4,0,W$110+1)-INDEX($F$4:$N$4,0,W$110))+V116)))</f>
        <v>0.2951655586697115</v>
      </c>
      <c r="X116" s="186" cm="1">
        <f t="array" ref="X116">IF(X$110=-1,Y116,IF(X$110=99,W116,IF(X$110=0,INDEX($F97:$N97,0,X$108),(INDEX($F97:$N97,0,X$110+1)-INDEX($F97:$N97,0,X$110))/(INDEX($F$4:$N$4,0,X$110+1)-INDEX($F$4:$N$4,0,X$110))+W116)))</f>
        <v>0.30127815585895218</v>
      </c>
      <c r="Y116" s="186" cm="1">
        <f t="array" ref="Y116">IF(Y$110=-1,Z116,IF(Y$110=99,X116,IF(Y$110=0,INDEX($F97:$N97,0,Y$108),(INDEX($F97:$N97,0,Y$110+1)-INDEX($F97:$N97,0,Y$110))/(INDEX($F$4:$N$4,0,Y$110+1)-INDEX($F$4:$N$4,0,Y$110))+X116)))</f>
        <v>0.30739075304819286</v>
      </c>
      <c r="Z116" s="186" cm="1">
        <f t="array" ref="Z116">IF(Z$110=-1,AA116,IF(Z$110=99,Y116,IF(Z$110=0,INDEX($F97:$N97,0,Z$108),(INDEX($F97:$N97,0,Z$110+1)-INDEX($F97:$N97,0,Z$110))/(INDEX($F$4:$N$4,0,Z$110+1)-INDEX($F$4:$N$4,0,Z$110))+Y116)))</f>
        <v>0.31350335023743353</v>
      </c>
      <c r="AA116" s="186" cm="1">
        <f t="array" ref="AA116">IF(AA$110=-1,AB116,IF(AA$110=99,Z116,IF(AA$110=0,INDEX($F97:$N97,0,AA$108),(INDEX($F97:$N97,0,AA$110+1)-INDEX($F97:$N97,0,AA$110))/(INDEX($F$4:$N$4,0,AA$110+1)-INDEX($F$4:$N$4,0,AA$110))+Z116)))</f>
        <v>0.31961594742667421</v>
      </c>
      <c r="AB116" s="186" cm="1">
        <f t="array" ref="AB116">IF(AB$110=-1,AC116,IF(AB$110=99,AA116,IF(AB$110=0,INDEX($F97:$N97,0,AB$108),(INDEX($F97:$N97,0,AB$110+1)-INDEX($F97:$N97,0,AB$110))/(INDEX($F$4:$N$4,0,AB$110+1)-INDEX($F$4:$N$4,0,AB$110))+AA116)))</f>
        <v>0.32572854461591488</v>
      </c>
      <c r="AC116" s="186" cm="1">
        <f t="array" ref="AC116">IF(AC$110=-1,AD116,IF(AC$110=99,AB116,IF(AC$110=0,INDEX($F97:$N97,0,AC$108),(INDEX($F97:$N97,0,AC$110+1)-INDEX($F97:$N97,0,AC$110))/(INDEX($F$4:$N$4,0,AC$110+1)-INDEX($F$4:$N$4,0,AC$110))+AB116)))</f>
        <v>0.33184114180515556</v>
      </c>
      <c r="AD116" s="186" cm="1">
        <f t="array" ref="AD116">IF(AD$110=-1,AE116,IF(AD$110=99,AC116,IF(AD$110=0,INDEX($F97:$N97,0,AD$108),(INDEX($F97:$N97,0,AD$110+1)-INDEX($F97:$N97,0,AD$110))/(INDEX($F$4:$N$4,0,AD$110+1)-INDEX($F$4:$N$4,0,AD$110))+AC116)))</f>
        <v>0.33795373899439624</v>
      </c>
      <c r="AE116" s="186" cm="1">
        <f t="array" ref="AE116">IF(AE$110=-1,AF116,IF(AE$110=99,AD116,IF(AE$110=0,INDEX($F97:$N97,0,AE$108),(INDEX($F97:$N97,0,AE$110+1)-INDEX($F97:$N97,0,AE$110))/(INDEX($F$4:$N$4,0,AE$110+1)-INDEX($F$4:$N$4,0,AE$110))+AD116)))</f>
        <v>0.34406633618363702</v>
      </c>
      <c r="AF116" s="186" cm="1">
        <f t="array" ref="AF116">IF(AF$110=-1,AG116,IF(AF$110=99,AE116,IF(AF$110=0,INDEX($F97:$N97,0,AF$108),(INDEX($F97:$N97,0,AF$110+1)-INDEX($F97:$N97,0,AF$110))/(INDEX($F$4:$N$4,0,AF$110+1)-INDEX($F$4:$N$4,0,AF$110))+AE116)))</f>
        <v>0.35146962672881271</v>
      </c>
      <c r="AG116" s="186" cm="1">
        <f t="array" ref="AG116">IF(AG$110=-1,AH116,IF(AG$110=99,AF116,IF(AG$110=0,INDEX($F97:$N97,0,AG$108),(INDEX($F97:$N97,0,AG$110+1)-INDEX($F97:$N97,0,AG$110))/(INDEX($F$4:$N$4,0,AG$110+1)-INDEX($F$4:$N$4,0,AG$110))+AF116)))</f>
        <v>0.3588729172739884</v>
      </c>
      <c r="AH116" s="186" cm="1">
        <f t="array" ref="AH116">IF(AH$110=-1,AI116,IF(AH$110=99,AG116,IF(AH$110=0,INDEX($F97:$N97,0,AH$108),(INDEX($F97:$N97,0,AH$110+1)-INDEX($F97:$N97,0,AH$110))/(INDEX($F$4:$N$4,0,AH$110+1)-INDEX($F$4:$N$4,0,AH$110))+AG116)))</f>
        <v>0.36627620781916409</v>
      </c>
      <c r="AI116" s="186" cm="1">
        <f t="array" ref="AI116">IF(AI$110=-1,AJ116,IF(AI$110=99,AH116,IF(AI$110=0,INDEX($F97:$N97,0,AI$108),(INDEX($F97:$N97,0,AI$110+1)-INDEX($F97:$N97,0,AI$110))/(INDEX($F$4:$N$4,0,AI$110+1)-INDEX($F$4:$N$4,0,AI$110))+AH116)))</f>
        <v>0.37367949836433978</v>
      </c>
      <c r="AJ116" s="186" cm="1">
        <f t="array" ref="AJ116">IF(AJ$110=-1,AK116,IF(AJ$110=99,AI116,IF(AJ$110=0,INDEX($F97:$N97,0,AJ$108),(INDEX($F97:$N97,0,AJ$110+1)-INDEX($F97:$N97,0,AJ$110))/(INDEX($F$4:$N$4,0,AJ$110+1)-INDEX($F$4:$N$4,0,AJ$110))+AI116)))</f>
        <v>0.38108278890951547</v>
      </c>
      <c r="AK116" s="186" cm="1">
        <f t="array" ref="AK116">IF(AK$110=-1,AL116,IF(AK$110=99,AJ116,IF(AK$110=0,INDEX($F97:$N97,0,AK$108),(INDEX($F97:$N97,0,AK$110+1)-INDEX($F97:$N97,0,AK$110))/(INDEX($F$4:$N$4,0,AK$110+1)-INDEX($F$4:$N$4,0,AK$110))+AJ116)))</f>
        <v>0.38848607945469116</v>
      </c>
      <c r="AL116" s="186" cm="1">
        <f t="array" ref="AL116">IF(AL$110=-1,AM116,IF(AL$110=99,AK116,IF(AL$110=0,INDEX($F97:$N97,0,AL$108),(INDEX($F97:$N97,0,AL$110+1)-INDEX($F97:$N97,0,AL$110))/(INDEX($F$4:$N$4,0,AL$110+1)-INDEX($F$4:$N$4,0,AL$110))+AK116)))</f>
        <v>0.39588936999986685</v>
      </c>
      <c r="AM116" s="186" cm="1">
        <f t="array" ref="AM116">IF(AM$110=-1,AN116,IF(AM$110=99,AL116,IF(AM$110=0,INDEX($F97:$N97,0,AM$108),(INDEX($F97:$N97,0,AM$110+1)-INDEX($F97:$N97,0,AM$110))/(INDEX($F$4:$N$4,0,AM$110+1)-INDEX($F$4:$N$4,0,AM$110))+AL116)))</f>
        <v>0.40329266054504254</v>
      </c>
      <c r="AN116" s="186" cm="1">
        <f t="array" ref="AN116">IF(AN$110=-1,AO116,IF(AN$110=99,AM116,IF(AN$110=0,INDEX($F97:$N97,0,AN$108),(INDEX($F97:$N97,0,AN$110+1)-INDEX($F97:$N97,0,AN$110))/(INDEX($F$4:$N$4,0,AN$110+1)-INDEX($F$4:$N$4,0,AN$110))+AM116)))</f>
        <v>0.41069595109021823</v>
      </c>
      <c r="AO116" s="186" cm="1">
        <f t="array" ref="AO116">IF(AO$110=-1,AP116,IF(AO$110=99,AN116,IF(AO$110=0,INDEX($F97:$N97,0,AO$108),(INDEX($F97:$N97,0,AO$110+1)-INDEX($F97:$N97,0,AO$110))/(INDEX($F$4:$N$4,0,AO$110+1)-INDEX($F$4:$N$4,0,AO$110))+AN116)))</f>
        <v>0.41809924163539414</v>
      </c>
      <c r="AP116" s="186" cm="1">
        <f t="array" ref="AP116">IF(AP$110=-1,AQ116,IF(AP$110=99,AO116,IF(AP$110=0,INDEX($F97:$N97,0,AP$108),(INDEX($F97:$N97,0,AP$110+1)-INDEX($F97:$N97,0,AP$110))/(INDEX($F$4:$N$4,0,AP$110+1)-INDEX($F$4:$N$4,0,AP$110))+AO116)))</f>
        <v>0.4279032537310169</v>
      </c>
      <c r="AQ116" s="186" cm="1">
        <f t="array" ref="AQ116">IF(AQ$110=-1,AR116,IF(AQ$110=99,AP116,IF(AQ$110=0,INDEX($F97:$N97,0,AQ$108),(INDEX($F97:$N97,0,AQ$110+1)-INDEX($F97:$N97,0,AQ$110))/(INDEX($F$4:$N$4,0,AQ$110+1)-INDEX($F$4:$N$4,0,AQ$110))+AP116)))</f>
        <v>0.43770726582663966</v>
      </c>
      <c r="AR116" s="186" cm="1">
        <f t="array" ref="AR116">IF(AR$110=-1,AS116,IF(AR$110=99,AQ116,IF(AR$110=0,INDEX($F97:$N97,0,AR$108),(INDEX($F97:$N97,0,AR$110+1)-INDEX($F97:$N97,0,AR$110))/(INDEX($F$4:$N$4,0,AR$110+1)-INDEX($F$4:$N$4,0,AR$110))+AQ116)))</f>
        <v>0.44751127792226242</v>
      </c>
      <c r="AS116" s="186" cm="1">
        <f t="array" ref="AS116">IF(AS$110=-1,AT116,IF(AS$110=99,AR116,IF(AS$110=0,INDEX($F97:$N97,0,AS$108),(INDEX($F97:$N97,0,AS$110+1)-INDEX($F97:$N97,0,AS$110))/(INDEX($F$4:$N$4,0,AS$110+1)-INDEX($F$4:$N$4,0,AS$110))+AR116)))</f>
        <v>0.45731529001788518</v>
      </c>
      <c r="AT116" s="186" cm="1">
        <f t="array" ref="AT116">IF(AT$110=-1,AU116,IF(AT$110=99,AS116,IF(AT$110=0,INDEX($F97:$N97,0,AT$108),(INDEX($F97:$N97,0,AT$110+1)-INDEX($F97:$N97,0,AT$110))/(INDEX($F$4:$N$4,0,AT$110+1)-INDEX($F$4:$N$4,0,AT$110))+AS116)))</f>
        <v>0.46711930211350794</v>
      </c>
      <c r="AU116" s="186" cm="1">
        <f t="array" ref="AU116">IF(AU$110=-1,AV116,IF(AU$110=99,AT116,IF(AU$110=0,INDEX($F97:$N97,0,AU$108),(INDEX($F97:$N97,0,AU$110+1)-INDEX($F97:$N97,0,AU$110))/(INDEX($F$4:$N$4,0,AU$110+1)-INDEX($F$4:$N$4,0,AU$110))+AT116)))</f>
        <v>0.4769233142091307</v>
      </c>
      <c r="AV116" s="186" cm="1">
        <f t="array" ref="AV116">IF(AV$110=-1,AW116,IF(AV$110=99,AU116,IF(AV$110=0,INDEX($F97:$N97,0,AV$108),(INDEX($F97:$N97,0,AV$110+1)-INDEX($F97:$N97,0,AV$110))/(INDEX($F$4:$N$4,0,AV$110+1)-INDEX($F$4:$N$4,0,AV$110))+AU116)))</f>
        <v>0.48672732630475346</v>
      </c>
      <c r="AW116" s="186" cm="1">
        <f t="array" ref="AW116">IF(AW$110=-1,AX116,IF(AW$110=99,AV116,IF(AW$110=0,INDEX($F97:$N97,0,AW$108),(INDEX($F97:$N97,0,AW$110+1)-INDEX($F97:$N97,0,AW$110))/(INDEX($F$4:$N$4,0,AW$110+1)-INDEX($F$4:$N$4,0,AW$110))+AV116)))</f>
        <v>0.49653133840037622</v>
      </c>
      <c r="AX116" s="186" cm="1">
        <f t="array" ref="AX116">IF(AX$110=-1,AY116,IF(AX$110=99,AW116,IF(AX$110=0,INDEX($F97:$N97,0,AX$108),(INDEX($F97:$N97,0,AX$110+1)-INDEX($F97:$N97,0,AX$110))/(INDEX($F$4:$N$4,0,AX$110+1)-INDEX($F$4:$N$4,0,AX$110))+AW116)))</f>
        <v>0.50633535049599898</v>
      </c>
      <c r="AY116" s="186" cm="1">
        <f t="array" ref="AY116">IF(AY$110=-1,AZ116,IF(AY$110=99,AX116,IF(AY$110=0,INDEX($F97:$N97,0,AY$108),(INDEX($F97:$N97,0,AY$110+1)-INDEX($F97:$N97,0,AY$110))/(INDEX($F$4:$N$4,0,AY$110+1)-INDEX($F$4:$N$4,0,AY$110))+AX116)))</f>
        <v>0.51613936259162185</v>
      </c>
      <c r="AZ116" s="186" cm="1">
        <f t="array" ref="AZ116">IF(AZ$110=-1,BA116,IF(AZ$110=99,AY116,IF(AZ$110=0,INDEX($F97:$N97,0,AZ$108),(INDEX($F97:$N97,0,AZ$110+1)-INDEX($F97:$N97,0,AZ$110))/(INDEX($F$4:$N$4,0,AZ$110+1)-INDEX($F$4:$N$4,0,AZ$110))+AY116)))</f>
        <v>0.51613936259162185</v>
      </c>
      <c r="BA116" s="186" cm="1">
        <f t="array" ref="BA116">IF(BA$110=-1,BB116,IF(BA$110=99,AZ116,IF(BA$110=0,INDEX($F97:$N97,0,BA$108),(INDEX($F97:$N97,0,BA$110+1)-INDEX($F97:$N97,0,BA$110))/(INDEX($F$4:$N$4,0,BA$110+1)-INDEX($F$4:$N$4,0,BA$110))+AZ116)))</f>
        <v>0.51613936259162185</v>
      </c>
    </row>
    <row r="117" spans="1:53">
      <c r="A117" s="116" t="s">
        <v>16</v>
      </c>
      <c r="B117" s="22" t="str">
        <f t="shared" si="216"/>
        <v/>
      </c>
      <c r="C117" s="23" t="str">
        <f t="shared" si="217"/>
        <v/>
      </c>
      <c r="D117" s="57" t="str">
        <f>ITEMS_TRA!C21</f>
        <v>TFHCV6</v>
      </c>
      <c r="E117" s="23" t="str">
        <f t="shared" si="218"/>
        <v/>
      </c>
      <c r="H117" s="23" t="str">
        <f t="shared" si="218"/>
        <v/>
      </c>
      <c r="J117" s="23" t="str">
        <f t="shared" si="218"/>
        <v/>
      </c>
      <c r="K117" s="23" t="str">
        <f t="shared" si="218"/>
        <v/>
      </c>
      <c r="L117" s="125" t="str">
        <f t="shared" si="219"/>
        <v/>
      </c>
      <c r="M117" s="186">
        <f>INDEX('[2]TS BYDem'!J$10:J$59,MATCH($D117,'[2]TS BYDem'!D$10:D$59,0))</f>
        <v>5.1541817584817791</v>
      </c>
      <c r="N117" s="186" cm="1">
        <f t="array" ref="N117">IF(N$110=-1,O117,IF(N$110=99,M117,IF(N$110=0,INDEX($F98:$N98,0,N$108),(INDEX($F98:$N98,0,N$110+1)-INDEX($F98:$N98,0,N$110))/(INDEX($F$4:$N$4,0,N$110+1)-INDEX($F$4:$N$4,0,N$110))+M117)))</f>
        <v>5.4055160928410038</v>
      </c>
      <c r="O117" s="186" cm="1">
        <f t="array" ref="O117">IF(O$110=-1,P117,IF(O$110=99,N117,IF(O$110=0,INDEX($F98:$N98,0,O$108),(INDEX($F98:$N98,0,O$110+1)-INDEX($F98:$N98,0,O$110))/(INDEX($F$4:$N$4,0,O$110+1)-INDEX($F$4:$N$4,0,O$110))+N117)))</f>
        <v>5.6568504272002285</v>
      </c>
      <c r="P117" s="186" cm="1">
        <f t="array" ref="P117">IF(P$110=-1,Q117,IF(P$110=99,O117,IF(P$110=0,INDEX($F98:$N98,0,P$108),(INDEX($F98:$N98,0,P$110+1)-INDEX($F98:$N98,0,P$110))/(INDEX($F$4:$N$4,0,P$110+1)-INDEX($F$4:$N$4,0,P$110))+O117)))</f>
        <v>5.9081847615594549</v>
      </c>
      <c r="Q117" s="186" cm="1">
        <f t="array" ref="Q117">IF(Q$110=-1,R117,IF(Q$110=99,P117,IF(Q$110=0,INDEX($F98:$N98,0,Q$108),(INDEX($F98:$N98,0,Q$110+1)-INDEX($F98:$N98,0,Q$110))/(INDEX($F$4:$N$4,0,Q$110+1)-INDEX($F$4:$N$4,0,Q$110))+P117)))</f>
        <v>6.2851862630982929</v>
      </c>
      <c r="R117" s="186" cm="1">
        <f t="array" ref="R117">IF(R$110=-1,S117,IF(R$110=99,Q117,IF(R$110=0,INDEX($F98:$N98,0,R$108),(INDEX($F98:$N98,0,R$110+1)-INDEX($F98:$N98,0,R$110))/(INDEX($F$4:$N$4,0,R$110+1)-INDEX($F$4:$N$4,0,R$110))+Q117)))</f>
        <v>6.6621877646371299</v>
      </c>
      <c r="S117" s="186" cm="1">
        <f t="array" ref="S117">IF(S$110=-1,T117,IF(S$110=99,R117,IF(S$110=0,INDEX($F98:$N98,0,S$108),(INDEX($F98:$N98,0,S$110+1)-INDEX($F98:$N98,0,S$110))/(INDEX($F$4:$N$4,0,S$110+1)-INDEX($F$4:$N$4,0,S$110))+R117)))</f>
        <v>6.7036516365039915</v>
      </c>
      <c r="T117" s="186" cm="1">
        <f t="array" ref="T117">IF(T$110=-1,U117,IF(T$110=99,S117,IF(T$110=0,INDEX($F98:$N98,0,T$108),(INDEX($F98:$N98,0,T$110+1)-INDEX($F98:$N98,0,T$110))/(INDEX($F$4:$N$4,0,T$110+1)-INDEX($F$4:$N$4,0,T$110))+S117)))</f>
        <v>6.7451155083708541</v>
      </c>
      <c r="U117" s="186" cm="1">
        <f t="array" ref="U117">IF(U$110=-1,V117,IF(U$110=99,T117,IF(U$110=0,INDEX($F98:$N98,0,U$108),(INDEX($F98:$N98,0,U$110+1)-INDEX($F98:$N98,0,U$110))/(INDEX($F$4:$N$4,0,U$110+1)-INDEX($F$4:$N$4,0,U$110))+T117)))</f>
        <v>6.3563365310876332</v>
      </c>
      <c r="V117" s="186" cm="1">
        <f t="array" ref="V117">IF(V$110=-1,W117,IF(V$110=99,U117,IF(V$110=0,INDEX($F98:$N98,0,V$108),(INDEX($F98:$N98,0,V$110+1)-INDEX($F98:$N98,0,V$110))/(INDEX($F$4:$N$4,0,V$110+1)-INDEX($F$4:$N$4,0,V$110))+U117)))</f>
        <v>6.4624229249838852</v>
      </c>
      <c r="W117" s="186" cm="1">
        <f t="array" ref="W117">IF(W$110=-1,X117,IF(W$110=99,V117,IF(W$110=0,INDEX($F98:$N98,0,W$108),(INDEX($F98:$N98,0,W$110+1)-INDEX($F98:$N98,0,W$110))/(INDEX($F$4:$N$4,0,W$110+1)-INDEX($F$4:$N$4,0,W$110))+V117)))</f>
        <v>6.5990836531930652</v>
      </c>
      <c r="X117" s="186" cm="1">
        <f t="array" ref="X117">IF(X$110=-1,Y117,IF(X$110=99,W117,IF(X$110=0,INDEX($F98:$N98,0,X$108),(INDEX($F98:$N98,0,X$110+1)-INDEX($F98:$N98,0,X$110))/(INDEX($F$4:$N$4,0,X$110+1)-INDEX($F$4:$N$4,0,X$110))+W117)))</f>
        <v>6.7357443814022453</v>
      </c>
      <c r="Y117" s="186" cm="1">
        <f t="array" ref="Y117">IF(Y$110=-1,Z117,IF(Y$110=99,X117,IF(Y$110=0,INDEX($F98:$N98,0,Y$108),(INDEX($F98:$N98,0,Y$110+1)-INDEX($F98:$N98,0,Y$110))/(INDEX($F$4:$N$4,0,Y$110+1)-INDEX($F$4:$N$4,0,Y$110))+X117)))</f>
        <v>6.8724051096114254</v>
      </c>
      <c r="Z117" s="186" cm="1">
        <f t="array" ref="Z117">IF(Z$110=-1,AA117,IF(Z$110=99,Y117,IF(Z$110=0,INDEX($F98:$N98,0,Z$108),(INDEX($F98:$N98,0,Z$110+1)-INDEX($F98:$N98,0,Z$110))/(INDEX($F$4:$N$4,0,Z$110+1)-INDEX($F$4:$N$4,0,Z$110))+Y117)))</f>
        <v>7.0090658378206054</v>
      </c>
      <c r="AA117" s="186" cm="1">
        <f t="array" ref="AA117">IF(AA$110=-1,AB117,IF(AA$110=99,Z117,IF(AA$110=0,INDEX($F98:$N98,0,AA$108),(INDEX($F98:$N98,0,AA$110+1)-INDEX($F98:$N98,0,AA$110))/(INDEX($F$4:$N$4,0,AA$110+1)-INDEX($F$4:$N$4,0,AA$110))+Z117)))</f>
        <v>7.1457265660297855</v>
      </c>
      <c r="AB117" s="186" cm="1">
        <f t="array" ref="AB117">IF(AB$110=-1,AC117,IF(AB$110=99,AA117,IF(AB$110=0,INDEX($F98:$N98,0,AB$108),(INDEX($F98:$N98,0,AB$110+1)-INDEX($F98:$N98,0,AB$110))/(INDEX($F$4:$N$4,0,AB$110+1)-INDEX($F$4:$N$4,0,AB$110))+AA117)))</f>
        <v>7.2823872942389656</v>
      </c>
      <c r="AC117" s="186" cm="1">
        <f t="array" ref="AC117">IF(AC$110=-1,AD117,IF(AC$110=99,AB117,IF(AC$110=0,INDEX($F98:$N98,0,AC$108),(INDEX($F98:$N98,0,AC$110+1)-INDEX($F98:$N98,0,AC$110))/(INDEX($F$4:$N$4,0,AC$110+1)-INDEX($F$4:$N$4,0,AC$110))+AB117)))</f>
        <v>7.4190480224481457</v>
      </c>
      <c r="AD117" s="186" cm="1">
        <f t="array" ref="AD117">IF(AD$110=-1,AE117,IF(AD$110=99,AC117,IF(AD$110=0,INDEX($F98:$N98,0,AD$108),(INDEX($F98:$N98,0,AD$110+1)-INDEX($F98:$N98,0,AD$110))/(INDEX($F$4:$N$4,0,AD$110+1)-INDEX($F$4:$N$4,0,AD$110))+AC117)))</f>
        <v>7.5557087506573257</v>
      </c>
      <c r="AE117" s="186" cm="1">
        <f t="array" ref="AE117">IF(AE$110=-1,AF117,IF(AE$110=99,AD117,IF(AE$110=0,INDEX($F98:$N98,0,AE$108),(INDEX($F98:$N98,0,AE$110+1)-INDEX($F98:$N98,0,AE$110))/(INDEX($F$4:$N$4,0,AE$110+1)-INDEX($F$4:$N$4,0,AE$110))+AD117)))</f>
        <v>7.6923694788665022</v>
      </c>
      <c r="AF117" s="186" cm="1">
        <f t="array" ref="AF117">IF(AF$110=-1,AG117,IF(AF$110=99,AE117,IF(AF$110=0,INDEX($F98:$N98,0,AF$108),(INDEX($F98:$N98,0,AF$110+1)-INDEX($F98:$N98,0,AF$110))/(INDEX($F$4:$N$4,0,AF$110+1)-INDEX($F$4:$N$4,0,AF$110))+AE117)))</f>
        <v>7.8578865325386626</v>
      </c>
      <c r="AG117" s="186" cm="1">
        <f t="array" ref="AG117">IF(AG$110=-1,AH117,IF(AG$110=99,AF117,IF(AG$110=0,INDEX($F98:$N98,0,AG$108),(INDEX($F98:$N98,0,AG$110+1)-INDEX($F98:$N98,0,AG$110))/(INDEX($F$4:$N$4,0,AG$110+1)-INDEX($F$4:$N$4,0,AG$110))+AF117)))</f>
        <v>8.0234035862108222</v>
      </c>
      <c r="AH117" s="186" cm="1">
        <f t="array" ref="AH117">IF(AH$110=-1,AI117,IF(AH$110=99,AG117,IF(AH$110=0,INDEX($F98:$N98,0,AH$108),(INDEX($F98:$N98,0,AH$110+1)-INDEX($F98:$N98,0,AH$110))/(INDEX($F$4:$N$4,0,AH$110+1)-INDEX($F$4:$N$4,0,AH$110))+AG117)))</f>
        <v>8.1889206398829817</v>
      </c>
      <c r="AI117" s="186" cm="1">
        <f t="array" ref="AI117">IF(AI$110=-1,AJ117,IF(AI$110=99,AH117,IF(AI$110=0,INDEX($F98:$N98,0,AI$108),(INDEX($F98:$N98,0,AI$110+1)-INDEX($F98:$N98,0,AI$110))/(INDEX($F$4:$N$4,0,AI$110+1)-INDEX($F$4:$N$4,0,AI$110))+AH117)))</f>
        <v>8.3544376935551412</v>
      </c>
      <c r="AJ117" s="186" cm="1">
        <f t="array" ref="AJ117">IF(AJ$110=-1,AK117,IF(AJ$110=99,AI117,IF(AJ$110=0,INDEX($F98:$N98,0,AJ$108),(INDEX($F98:$N98,0,AJ$110+1)-INDEX($F98:$N98,0,AJ$110))/(INDEX($F$4:$N$4,0,AJ$110+1)-INDEX($F$4:$N$4,0,AJ$110))+AI117)))</f>
        <v>8.5199547472273007</v>
      </c>
      <c r="AK117" s="186" cm="1">
        <f t="array" ref="AK117">IF(AK$110=-1,AL117,IF(AK$110=99,AJ117,IF(AK$110=0,INDEX($F98:$N98,0,AK$108),(INDEX($F98:$N98,0,AK$110+1)-INDEX($F98:$N98,0,AK$110))/(INDEX($F$4:$N$4,0,AK$110+1)-INDEX($F$4:$N$4,0,AK$110))+AJ117)))</f>
        <v>8.6854718008994602</v>
      </c>
      <c r="AL117" s="186" cm="1">
        <f t="array" ref="AL117">IF(AL$110=-1,AM117,IF(AL$110=99,AK117,IF(AL$110=0,INDEX($F98:$N98,0,AL$108),(INDEX($F98:$N98,0,AL$110+1)-INDEX($F98:$N98,0,AL$110))/(INDEX($F$4:$N$4,0,AL$110+1)-INDEX($F$4:$N$4,0,AL$110))+AK117)))</f>
        <v>8.8509888545716198</v>
      </c>
      <c r="AM117" s="186" cm="1">
        <f t="array" ref="AM117">IF(AM$110=-1,AN117,IF(AM$110=99,AL117,IF(AM$110=0,INDEX($F98:$N98,0,AM$108),(INDEX($F98:$N98,0,AM$110+1)-INDEX($F98:$N98,0,AM$110))/(INDEX($F$4:$N$4,0,AM$110+1)-INDEX($F$4:$N$4,0,AM$110))+AL117)))</f>
        <v>9.0165059082437793</v>
      </c>
      <c r="AN117" s="186" cm="1">
        <f t="array" ref="AN117">IF(AN$110=-1,AO117,IF(AN$110=99,AM117,IF(AN$110=0,INDEX($F98:$N98,0,AN$108),(INDEX($F98:$N98,0,AN$110+1)-INDEX($F98:$N98,0,AN$110))/(INDEX($F$4:$N$4,0,AN$110+1)-INDEX($F$4:$N$4,0,AN$110))+AM117)))</f>
        <v>9.1820229619159388</v>
      </c>
      <c r="AO117" s="186" cm="1">
        <f t="array" ref="AO117">IF(AO$110=-1,AP117,IF(AO$110=99,AN117,IF(AO$110=0,INDEX($F98:$N98,0,AO$108),(INDEX($F98:$N98,0,AO$110+1)-INDEX($F98:$N98,0,AO$110))/(INDEX($F$4:$N$4,0,AO$110+1)-INDEX($F$4:$N$4,0,AO$110))+AN117)))</f>
        <v>9.3475400155881054</v>
      </c>
      <c r="AP117" s="186" cm="1">
        <f t="array" ref="AP117">IF(AP$110=-1,AQ117,IF(AP$110=99,AO117,IF(AP$110=0,INDEX($F98:$N98,0,AP$108),(INDEX($F98:$N98,0,AP$110+1)-INDEX($F98:$N98,0,AP$110))/(INDEX($F$4:$N$4,0,AP$110+1)-INDEX($F$4:$N$4,0,AP$110))+AO117)))</f>
        <v>9.5667305480049567</v>
      </c>
      <c r="AQ117" s="186" cm="1">
        <f t="array" ref="AQ117">IF(AQ$110=-1,AR117,IF(AQ$110=99,AP117,IF(AQ$110=0,INDEX($F98:$N98,0,AQ$108),(INDEX($F98:$N98,0,AQ$110+1)-INDEX($F98:$N98,0,AQ$110))/(INDEX($F$4:$N$4,0,AQ$110+1)-INDEX($F$4:$N$4,0,AQ$110))+AP117)))</f>
        <v>9.785921080421808</v>
      </c>
      <c r="AR117" s="186" cm="1">
        <f t="array" ref="AR117">IF(AR$110=-1,AS117,IF(AR$110=99,AQ117,IF(AR$110=0,INDEX($F98:$N98,0,AR$108),(INDEX($F98:$N98,0,AR$110+1)-INDEX($F98:$N98,0,AR$110))/(INDEX($F$4:$N$4,0,AR$110+1)-INDEX($F$4:$N$4,0,AR$110))+AQ117)))</f>
        <v>10.005111612838659</v>
      </c>
      <c r="AS117" s="186" cm="1">
        <f t="array" ref="AS117">IF(AS$110=-1,AT117,IF(AS$110=99,AR117,IF(AS$110=0,INDEX($F98:$N98,0,AS$108),(INDEX($F98:$N98,0,AS$110+1)-INDEX($F98:$N98,0,AS$110))/(INDEX($F$4:$N$4,0,AS$110+1)-INDEX($F$4:$N$4,0,AS$110))+AR117)))</f>
        <v>10.224302145255511</v>
      </c>
      <c r="AT117" s="186" cm="1">
        <f t="array" ref="AT117">IF(AT$110=-1,AU117,IF(AT$110=99,AS117,IF(AT$110=0,INDEX($F98:$N98,0,AT$108),(INDEX($F98:$N98,0,AT$110+1)-INDEX($F98:$N98,0,AT$110))/(INDEX($F$4:$N$4,0,AT$110+1)-INDEX($F$4:$N$4,0,AT$110))+AS117)))</f>
        <v>10.443492677672362</v>
      </c>
      <c r="AU117" s="186" cm="1">
        <f t="array" ref="AU117">IF(AU$110=-1,AV117,IF(AU$110=99,AT117,IF(AU$110=0,INDEX($F98:$N98,0,AU$108),(INDEX($F98:$N98,0,AU$110+1)-INDEX($F98:$N98,0,AU$110))/(INDEX($F$4:$N$4,0,AU$110+1)-INDEX($F$4:$N$4,0,AU$110))+AT117)))</f>
        <v>10.662683210089213</v>
      </c>
      <c r="AV117" s="186" cm="1">
        <f t="array" ref="AV117">IF(AV$110=-1,AW117,IF(AV$110=99,AU117,IF(AV$110=0,INDEX($F98:$N98,0,AV$108),(INDEX($F98:$N98,0,AV$110+1)-INDEX($F98:$N98,0,AV$110))/(INDEX($F$4:$N$4,0,AV$110+1)-INDEX($F$4:$N$4,0,AV$110))+AU117)))</f>
        <v>10.881873742506064</v>
      </c>
      <c r="AW117" s="186" cm="1">
        <f t="array" ref="AW117">IF(AW$110=-1,AX117,IF(AW$110=99,AV117,IF(AW$110=0,INDEX($F98:$N98,0,AW$108),(INDEX($F98:$N98,0,AW$110+1)-INDEX($F98:$N98,0,AW$110))/(INDEX($F$4:$N$4,0,AW$110+1)-INDEX($F$4:$N$4,0,AW$110))+AV117)))</f>
        <v>11.101064274922916</v>
      </c>
      <c r="AX117" s="186" cm="1">
        <f t="array" ref="AX117">IF(AX$110=-1,AY117,IF(AX$110=99,AW117,IF(AX$110=0,INDEX($F98:$N98,0,AX$108),(INDEX($F98:$N98,0,AX$110+1)-INDEX($F98:$N98,0,AX$110))/(INDEX($F$4:$N$4,0,AX$110+1)-INDEX($F$4:$N$4,0,AX$110))+AW117)))</f>
        <v>11.320254807339767</v>
      </c>
      <c r="AY117" s="186" cm="1">
        <f t="array" ref="AY117">IF(AY$110=-1,AZ117,IF(AY$110=99,AX117,IF(AY$110=0,INDEX($F98:$N98,0,AY$108),(INDEX($F98:$N98,0,AY$110+1)-INDEX($F98:$N98,0,AY$110))/(INDEX($F$4:$N$4,0,AY$110+1)-INDEX($F$4:$N$4,0,AY$110))+AX117)))</f>
        <v>11.539445339756615</v>
      </c>
      <c r="AZ117" s="186" cm="1">
        <f t="array" ref="AZ117">IF(AZ$110=-1,BA117,IF(AZ$110=99,AY117,IF(AZ$110=0,INDEX($F98:$N98,0,AZ$108),(INDEX($F98:$N98,0,AZ$110+1)-INDEX($F98:$N98,0,AZ$110))/(INDEX($F$4:$N$4,0,AZ$110+1)-INDEX($F$4:$N$4,0,AZ$110))+AY117)))</f>
        <v>11.539445339756615</v>
      </c>
      <c r="BA117" s="186" cm="1">
        <f t="array" ref="BA117">IF(BA$110=-1,BB117,IF(BA$110=99,AZ117,IF(BA$110=0,INDEX($F98:$N98,0,BA$108),(INDEX($F98:$N98,0,BA$110+1)-INDEX($F98:$N98,0,BA$110))/(INDEX($F$4:$N$4,0,BA$110+1)-INDEX($F$4:$N$4,0,BA$110))+AZ117)))</f>
        <v>11.539445339756615</v>
      </c>
    </row>
    <row r="118" spans="1:53">
      <c r="A118" s="116" t="s">
        <v>16</v>
      </c>
      <c r="B118" s="22" t="str">
        <f t="shared" si="216"/>
        <v/>
      </c>
      <c r="C118" s="23" t="str">
        <f t="shared" si="217"/>
        <v/>
      </c>
      <c r="D118" s="57" t="str">
        <f>ITEMS_TRA!C22</f>
        <v>TFHCV7</v>
      </c>
      <c r="E118" s="23" t="str">
        <f t="shared" si="218"/>
        <v/>
      </c>
      <c r="H118" s="23" t="str">
        <f t="shared" si="218"/>
        <v/>
      </c>
      <c r="J118" s="23" t="str">
        <f t="shared" si="218"/>
        <v/>
      </c>
      <c r="K118" s="23" t="str">
        <f t="shared" si="218"/>
        <v/>
      </c>
      <c r="L118" s="125" t="str">
        <f t="shared" si="219"/>
        <v/>
      </c>
      <c r="M118" s="186">
        <f>INDEX('[2]TS BYDem'!J$10:J$59,MATCH($D118,'[2]TS BYDem'!D$10:D$59,0))</f>
        <v>1.9761616214119715</v>
      </c>
      <c r="N118" s="186" cm="1">
        <f t="array" ref="N118">IF(N$110=-1,O118,IF(N$110=99,M118,IF(N$110=0,INDEX($F99:$N99,0,N$108),(INDEX($F99:$N99,0,N$110+1)-INDEX($F99:$N99,0,N$110))/(INDEX($F$4:$N$4,0,N$110+1)-INDEX($F$4:$N$4,0,N$110))+M118)))</f>
        <v>2.0178274562873066</v>
      </c>
      <c r="O118" s="186" cm="1">
        <f t="array" ref="O118">IF(O$110=-1,P118,IF(O$110=99,N118,IF(O$110=0,INDEX($F99:$N99,0,O$108),(INDEX($F99:$N99,0,O$110+1)-INDEX($F99:$N99,0,O$110))/(INDEX($F$4:$N$4,0,O$110+1)-INDEX($F$4:$N$4,0,O$110))+N118)))</f>
        <v>2.0594932911626418</v>
      </c>
      <c r="P118" s="186" cm="1">
        <f t="array" ref="P118">IF(P$110=-1,Q118,IF(P$110=99,O118,IF(P$110=0,INDEX($F99:$N99,0,P$108),(INDEX($F99:$N99,0,P$110+1)-INDEX($F99:$N99,0,P$110))/(INDEX($F$4:$N$4,0,P$110+1)-INDEX($F$4:$N$4,0,P$110))+O118)))</f>
        <v>2.1011591260379752</v>
      </c>
      <c r="Q118" s="186" cm="1">
        <f t="array" ref="Q118">IF(Q$110=-1,R118,IF(Q$110=99,P118,IF(Q$110=0,INDEX($F99:$N99,0,Q$108),(INDEX($F99:$N99,0,Q$110+1)-INDEX($F99:$N99,0,Q$110))/(INDEX($F$4:$N$4,0,Q$110+1)-INDEX($F$4:$N$4,0,Q$110))+P118)))</f>
        <v>2.1636578783509774</v>
      </c>
      <c r="R118" s="186" cm="1">
        <f t="array" ref="R118">IF(R$110=-1,S118,IF(R$110=99,Q118,IF(R$110=0,INDEX($F99:$N99,0,R$108),(INDEX($F99:$N99,0,R$110+1)-INDEX($F99:$N99,0,R$110))/(INDEX($F$4:$N$4,0,R$110+1)-INDEX($F$4:$N$4,0,R$110))+Q118)))</f>
        <v>2.2261566306639802</v>
      </c>
      <c r="S118" s="186" cm="1">
        <f t="array" ref="S118">IF(S$110=-1,T118,IF(S$110=99,R118,IF(S$110=0,INDEX($F99:$N99,0,S$108),(INDEX($F99:$N99,0,S$110+1)-INDEX($F99:$N99,0,S$110))/(INDEX($F$4:$N$4,0,S$110+1)-INDEX($F$4:$N$4,0,S$110))+R118)))</f>
        <v>2.240011699982106</v>
      </c>
      <c r="T118" s="186" cm="1">
        <f t="array" ref="T118">IF(T$110=-1,U118,IF(T$110=99,S118,IF(T$110=0,INDEX($F99:$N99,0,T$108),(INDEX($F99:$N99,0,T$110+1)-INDEX($F99:$N99,0,T$110))/(INDEX($F$4:$N$4,0,T$110+1)-INDEX($F$4:$N$4,0,T$110))+S118)))</f>
        <v>2.2538667693002314</v>
      </c>
      <c r="U118" s="186" cm="1">
        <f t="array" ref="U118">IF(U$110=-1,V118,IF(U$110=99,T118,IF(U$110=0,INDEX($F99:$N99,0,U$108),(INDEX($F99:$N99,0,U$110+1)-INDEX($F99:$N99,0,U$110))/(INDEX($F$4:$N$4,0,U$110+1)-INDEX($F$4:$N$4,0,U$110))+T118)))</f>
        <v>2.1239570566476127</v>
      </c>
      <c r="V118" s="186" cm="1">
        <f t="array" ref="V118">IF(V$110=-1,W118,IF(V$110=99,U118,IF(V$110=0,INDEX($F99:$N99,0,V$108),(INDEX($F99:$N99,0,V$110+1)-INDEX($F99:$N99,0,V$110))/(INDEX($F$4:$N$4,0,V$110+1)-INDEX($F$4:$N$4,0,V$110))+U118)))</f>
        <v>2.1594056116176379</v>
      </c>
      <c r="W118" s="186" cm="1">
        <f t="array" ref="W118">IF(W$110=-1,X118,IF(W$110=99,V118,IF(W$110=0,INDEX($F99:$N99,0,W$108),(INDEX($F99:$N99,0,W$110+1)-INDEX($F99:$N99,0,W$110))/(INDEX($F$4:$N$4,0,W$110+1)-INDEX($F$4:$N$4,0,W$110))+V118)))</f>
        <v>2.2050705188526267</v>
      </c>
      <c r="X118" s="186" cm="1">
        <f t="array" ref="X118">IF(X$110=-1,Y118,IF(X$110=99,W118,IF(X$110=0,INDEX($F99:$N99,0,X$108),(INDEX($F99:$N99,0,X$110+1)-INDEX($F99:$N99,0,X$110))/(INDEX($F$4:$N$4,0,X$110+1)-INDEX($F$4:$N$4,0,X$110))+W118)))</f>
        <v>2.2507354260876156</v>
      </c>
      <c r="Y118" s="186" cm="1">
        <f t="array" ref="Y118">IF(Y$110=-1,Z118,IF(Y$110=99,X118,IF(Y$110=0,INDEX($F99:$N99,0,Y$108),(INDEX($F99:$N99,0,Y$110+1)-INDEX($F99:$N99,0,Y$110))/(INDEX($F$4:$N$4,0,Y$110+1)-INDEX($F$4:$N$4,0,Y$110))+X118)))</f>
        <v>2.2964003333226044</v>
      </c>
      <c r="Z118" s="186" cm="1">
        <f t="array" ref="Z118">IF(Z$110=-1,AA118,IF(Z$110=99,Y118,IF(Z$110=0,INDEX($F99:$N99,0,Z$108),(INDEX($F99:$N99,0,Z$110+1)-INDEX($F99:$N99,0,Z$110))/(INDEX($F$4:$N$4,0,Z$110+1)-INDEX($F$4:$N$4,0,Z$110))+Y118)))</f>
        <v>2.3420652405575932</v>
      </c>
      <c r="AA118" s="186" cm="1">
        <f t="array" ref="AA118">IF(AA$110=-1,AB118,IF(AA$110=99,Z118,IF(AA$110=0,INDEX($F99:$N99,0,AA$108),(INDEX($F99:$N99,0,AA$110+1)-INDEX($F99:$N99,0,AA$110))/(INDEX($F$4:$N$4,0,AA$110+1)-INDEX($F$4:$N$4,0,AA$110))+Z118)))</f>
        <v>2.3877301477925821</v>
      </c>
      <c r="AB118" s="186" cm="1">
        <f t="array" ref="AB118">IF(AB$110=-1,AC118,IF(AB$110=99,AA118,IF(AB$110=0,INDEX($F99:$N99,0,AB$108),(INDEX($F99:$N99,0,AB$110+1)-INDEX($F99:$N99,0,AB$110))/(INDEX($F$4:$N$4,0,AB$110+1)-INDEX($F$4:$N$4,0,AB$110))+AA118)))</f>
        <v>2.4333950550275709</v>
      </c>
      <c r="AC118" s="186" cm="1">
        <f t="array" ref="AC118">IF(AC$110=-1,AD118,IF(AC$110=99,AB118,IF(AC$110=0,INDEX($F99:$N99,0,AC$108),(INDEX($F99:$N99,0,AC$110+1)-INDEX($F99:$N99,0,AC$110))/(INDEX($F$4:$N$4,0,AC$110+1)-INDEX($F$4:$N$4,0,AC$110))+AB118)))</f>
        <v>2.4790599622625598</v>
      </c>
      <c r="AD118" s="186" cm="1">
        <f t="array" ref="AD118">IF(AD$110=-1,AE118,IF(AD$110=99,AC118,IF(AD$110=0,INDEX($F99:$N99,0,AD$108),(INDEX($F99:$N99,0,AD$110+1)-INDEX($F99:$N99,0,AD$110))/(INDEX($F$4:$N$4,0,AD$110+1)-INDEX($F$4:$N$4,0,AD$110))+AC118)))</f>
        <v>2.5247248694975486</v>
      </c>
      <c r="AE118" s="186" cm="1">
        <f t="array" ref="AE118">IF(AE$110=-1,AF118,IF(AE$110=99,AD118,IF(AE$110=0,INDEX($F99:$N99,0,AE$108),(INDEX($F99:$N99,0,AE$110+1)-INDEX($F99:$N99,0,AE$110))/(INDEX($F$4:$N$4,0,AE$110+1)-INDEX($F$4:$N$4,0,AE$110))+AD118)))</f>
        <v>2.5703897767325388</v>
      </c>
      <c r="AF118" s="186" cm="1">
        <f t="array" ref="AF118">IF(AF$110=-1,AG118,IF(AF$110=99,AE118,IF(AF$110=0,INDEX($F99:$N99,0,AF$108),(INDEX($F99:$N99,0,AF$110+1)-INDEX($F99:$N99,0,AF$110))/(INDEX($F$4:$N$4,0,AF$110+1)-INDEX($F$4:$N$4,0,AF$110))+AE118)))</f>
        <v>2.6256969670336088</v>
      </c>
      <c r="AG118" s="186" cm="1">
        <f t="array" ref="AG118">IF(AG$110=-1,AH118,IF(AG$110=99,AF118,IF(AG$110=0,INDEX($F99:$N99,0,AG$108),(INDEX($F99:$N99,0,AG$110+1)-INDEX($F99:$N99,0,AG$110))/(INDEX($F$4:$N$4,0,AG$110+1)-INDEX($F$4:$N$4,0,AG$110))+AF118)))</f>
        <v>2.6810041573346788</v>
      </c>
      <c r="AH118" s="186" cm="1">
        <f t="array" ref="AH118">IF(AH$110=-1,AI118,IF(AH$110=99,AG118,IF(AH$110=0,INDEX($F99:$N99,0,AH$108),(INDEX($F99:$N99,0,AH$110+1)-INDEX($F99:$N99,0,AH$110))/(INDEX($F$4:$N$4,0,AH$110+1)-INDEX($F$4:$N$4,0,AH$110))+AG118)))</f>
        <v>2.7363113476357488</v>
      </c>
      <c r="AI118" s="186" cm="1">
        <f t="array" ref="AI118">IF(AI$110=-1,AJ118,IF(AI$110=99,AH118,IF(AI$110=0,INDEX($F99:$N99,0,AI$108),(INDEX($F99:$N99,0,AI$110+1)-INDEX($F99:$N99,0,AI$110))/(INDEX($F$4:$N$4,0,AI$110+1)-INDEX($F$4:$N$4,0,AI$110))+AH118)))</f>
        <v>2.7916185379368188</v>
      </c>
      <c r="AJ118" s="186" cm="1">
        <f t="array" ref="AJ118">IF(AJ$110=-1,AK118,IF(AJ$110=99,AI118,IF(AJ$110=0,INDEX($F99:$N99,0,AJ$108),(INDEX($F99:$N99,0,AJ$110+1)-INDEX($F99:$N99,0,AJ$110))/(INDEX($F$4:$N$4,0,AJ$110+1)-INDEX($F$4:$N$4,0,AJ$110))+AI118)))</f>
        <v>2.8469257282378888</v>
      </c>
      <c r="AK118" s="186" cm="1">
        <f t="array" ref="AK118">IF(AK$110=-1,AL118,IF(AK$110=99,AJ118,IF(AK$110=0,INDEX($F99:$N99,0,AK$108),(INDEX($F99:$N99,0,AK$110+1)-INDEX($F99:$N99,0,AK$110))/(INDEX($F$4:$N$4,0,AK$110+1)-INDEX($F$4:$N$4,0,AK$110))+AJ118)))</f>
        <v>2.9022329185389588</v>
      </c>
      <c r="AL118" s="186" cm="1">
        <f t="array" ref="AL118">IF(AL$110=-1,AM118,IF(AL$110=99,AK118,IF(AL$110=0,INDEX($F99:$N99,0,AL$108),(INDEX($F99:$N99,0,AL$110+1)-INDEX($F99:$N99,0,AL$110))/(INDEX($F$4:$N$4,0,AL$110+1)-INDEX($F$4:$N$4,0,AL$110))+AK118)))</f>
        <v>2.9575401088400288</v>
      </c>
      <c r="AM118" s="186" cm="1">
        <f t="array" ref="AM118">IF(AM$110=-1,AN118,IF(AM$110=99,AL118,IF(AM$110=0,INDEX($F99:$N99,0,AM$108),(INDEX($F99:$N99,0,AM$110+1)-INDEX($F99:$N99,0,AM$110))/(INDEX($F$4:$N$4,0,AM$110+1)-INDEX($F$4:$N$4,0,AM$110))+AL118)))</f>
        <v>3.0128472991410988</v>
      </c>
      <c r="AN118" s="186" cm="1">
        <f t="array" ref="AN118">IF(AN$110=-1,AO118,IF(AN$110=99,AM118,IF(AN$110=0,INDEX($F99:$N99,0,AN$108),(INDEX($F99:$N99,0,AN$110+1)-INDEX($F99:$N99,0,AN$110))/(INDEX($F$4:$N$4,0,AN$110+1)-INDEX($F$4:$N$4,0,AN$110))+AM118)))</f>
        <v>3.0681544894421688</v>
      </c>
      <c r="AO118" s="186" cm="1">
        <f t="array" ref="AO118">IF(AO$110=-1,AP118,IF(AO$110=99,AN118,IF(AO$110=0,INDEX($F99:$N99,0,AO$108),(INDEX($F99:$N99,0,AO$110+1)-INDEX($F99:$N99,0,AO$110))/(INDEX($F$4:$N$4,0,AO$110+1)-INDEX($F$4:$N$4,0,AO$110))+AN118)))</f>
        <v>3.123461679743238</v>
      </c>
      <c r="AP118" s="186" cm="1">
        <f t="array" ref="AP118">IF(AP$110=-1,AQ118,IF(AP$110=99,AO118,IF(AP$110=0,INDEX($F99:$N99,0,AP$108),(INDEX($F99:$N99,0,AP$110+1)-INDEX($F99:$N99,0,AP$110))/(INDEX($F$4:$N$4,0,AP$110+1)-INDEX($F$4:$N$4,0,AP$110))+AO118)))</f>
        <v>3.1967037549228943</v>
      </c>
      <c r="AQ118" s="186" cm="1">
        <f t="array" ref="AQ118">IF(AQ$110=-1,AR118,IF(AQ$110=99,AP118,IF(AQ$110=0,INDEX($F99:$N99,0,AQ$108),(INDEX($F99:$N99,0,AQ$110+1)-INDEX($F99:$N99,0,AQ$110))/(INDEX($F$4:$N$4,0,AQ$110+1)-INDEX($F$4:$N$4,0,AQ$110))+AP118)))</f>
        <v>3.2699458301025506</v>
      </c>
      <c r="AR118" s="186" cm="1">
        <f t="array" ref="AR118">IF(AR$110=-1,AS118,IF(AR$110=99,AQ118,IF(AR$110=0,INDEX($F99:$N99,0,AR$108),(INDEX($F99:$N99,0,AR$110+1)-INDEX($F99:$N99,0,AR$110))/(INDEX($F$4:$N$4,0,AR$110+1)-INDEX($F$4:$N$4,0,AR$110))+AQ118)))</f>
        <v>3.3431879052822069</v>
      </c>
      <c r="AS118" s="186" cm="1">
        <f t="array" ref="AS118">IF(AS$110=-1,AT118,IF(AS$110=99,AR118,IF(AS$110=0,INDEX($F99:$N99,0,AS$108),(INDEX($F99:$N99,0,AS$110+1)-INDEX($F99:$N99,0,AS$110))/(INDEX($F$4:$N$4,0,AS$110+1)-INDEX($F$4:$N$4,0,AS$110))+AR118)))</f>
        <v>3.4164299804618632</v>
      </c>
      <c r="AT118" s="186" cm="1">
        <f t="array" ref="AT118">IF(AT$110=-1,AU118,IF(AT$110=99,AS118,IF(AT$110=0,INDEX($F99:$N99,0,AT$108),(INDEX($F99:$N99,0,AT$110+1)-INDEX($F99:$N99,0,AT$110))/(INDEX($F$4:$N$4,0,AT$110+1)-INDEX($F$4:$N$4,0,AT$110))+AS118)))</f>
        <v>3.4896720556415195</v>
      </c>
      <c r="AU118" s="186" cm="1">
        <f t="array" ref="AU118">IF(AU$110=-1,AV118,IF(AU$110=99,AT118,IF(AU$110=0,INDEX($F99:$N99,0,AU$108),(INDEX($F99:$N99,0,AU$110+1)-INDEX($F99:$N99,0,AU$110))/(INDEX($F$4:$N$4,0,AU$110+1)-INDEX($F$4:$N$4,0,AU$110))+AT118)))</f>
        <v>3.5629141308211758</v>
      </c>
      <c r="AV118" s="186" cm="1">
        <f t="array" ref="AV118">IF(AV$110=-1,AW118,IF(AV$110=99,AU118,IF(AV$110=0,INDEX($F99:$N99,0,AV$108),(INDEX($F99:$N99,0,AV$110+1)-INDEX($F99:$N99,0,AV$110))/(INDEX($F$4:$N$4,0,AV$110+1)-INDEX($F$4:$N$4,0,AV$110))+AU118)))</f>
        <v>3.6361562060008321</v>
      </c>
      <c r="AW118" s="186" cm="1">
        <f t="array" ref="AW118">IF(AW$110=-1,AX118,IF(AW$110=99,AV118,IF(AW$110=0,INDEX($F99:$N99,0,AW$108),(INDEX($F99:$N99,0,AW$110+1)-INDEX($F99:$N99,0,AW$110))/(INDEX($F$4:$N$4,0,AW$110+1)-INDEX($F$4:$N$4,0,AW$110))+AV118)))</f>
        <v>3.7093982811804884</v>
      </c>
      <c r="AX118" s="186" cm="1">
        <f t="array" ref="AX118">IF(AX$110=-1,AY118,IF(AX$110=99,AW118,IF(AX$110=0,INDEX($F99:$N99,0,AX$108),(INDEX($F99:$N99,0,AX$110+1)-INDEX($F99:$N99,0,AX$110))/(INDEX($F$4:$N$4,0,AX$110+1)-INDEX($F$4:$N$4,0,AX$110))+AW118)))</f>
        <v>3.7826403563601447</v>
      </c>
      <c r="AY118" s="186" cm="1">
        <f t="array" ref="AY118">IF(AY$110=-1,AZ118,IF(AY$110=99,AX118,IF(AY$110=0,INDEX($F99:$N99,0,AY$108),(INDEX($F99:$N99,0,AY$110+1)-INDEX($F99:$N99,0,AY$110))/(INDEX($F$4:$N$4,0,AY$110+1)-INDEX($F$4:$N$4,0,AY$110))+AX118)))</f>
        <v>3.8558824315398028</v>
      </c>
      <c r="AZ118" s="186" cm="1">
        <f t="array" ref="AZ118">IF(AZ$110=-1,BA118,IF(AZ$110=99,AY118,IF(AZ$110=0,INDEX($F99:$N99,0,AZ$108),(INDEX($F99:$N99,0,AZ$110+1)-INDEX($F99:$N99,0,AZ$110))/(INDEX($F$4:$N$4,0,AZ$110+1)-INDEX($F$4:$N$4,0,AZ$110))+AY118)))</f>
        <v>3.8558824315398028</v>
      </c>
      <c r="BA118" s="186" cm="1">
        <f t="array" ref="BA118">IF(BA$110=-1,BB118,IF(BA$110=99,AZ118,IF(BA$110=0,INDEX($F99:$N99,0,BA$108),(INDEX($F99:$N99,0,BA$110+1)-INDEX($F99:$N99,0,BA$110))/(INDEX($F$4:$N$4,0,BA$110+1)-INDEX($F$4:$N$4,0,BA$110))+AZ118)))</f>
        <v>3.8558824315398028</v>
      </c>
    </row>
    <row r="119" spans="1:53">
      <c r="A119" s="116" t="s">
        <v>16</v>
      </c>
      <c r="B119" s="22" t="str">
        <f t="shared" si="216"/>
        <v/>
      </c>
      <c r="C119" s="23" t="str">
        <f t="shared" si="217"/>
        <v/>
      </c>
      <c r="D119" s="57" t="str">
        <f>ITEMS_TRA!C23</f>
        <v>TFHCV8</v>
      </c>
      <c r="E119" s="23" t="str">
        <f t="shared" si="218"/>
        <v/>
      </c>
      <c r="H119" s="23" t="str">
        <f t="shared" si="218"/>
        <v/>
      </c>
      <c r="J119" s="23" t="str">
        <f t="shared" si="218"/>
        <v/>
      </c>
      <c r="K119" s="23" t="str">
        <f t="shared" si="218"/>
        <v/>
      </c>
      <c r="L119" s="125" t="str">
        <f t="shared" si="219"/>
        <v/>
      </c>
      <c r="M119" s="186">
        <f>INDEX('[2]TS BYDem'!J$10:J$59,MATCH($D119,'[2]TS BYDem'!D$10:D$59,0))</f>
        <v>7.0701624395945725E-2</v>
      </c>
      <c r="N119" s="186" cm="1">
        <f t="array" ref="N119">IF(N$110=-1,O119,IF(N$110=99,M119,IF(N$110=0,INDEX($F100:$N100,0,N$108),(INDEX($F100:$N100,0,N$110+1)-INDEX($F100:$N100,0,N$110))/(INDEX($F$4:$N$4,0,N$110+1)-INDEX($F$4:$N$4,0,N$110))+M119)))</f>
        <v>7.9286966804927639E-2</v>
      </c>
      <c r="O119" s="186" cm="1">
        <f t="array" ref="O119">IF(O$110=-1,P119,IF(O$110=99,N119,IF(O$110=0,INDEX($F100:$N100,0,O$108),(INDEX($F100:$N100,0,O$110+1)-INDEX($F100:$N100,0,O$110))/(INDEX($F$4:$N$4,0,O$110+1)-INDEX($F$4:$N$4,0,O$110))+N119)))</f>
        <v>8.7872309213909552E-2</v>
      </c>
      <c r="P119" s="186" cm="1">
        <f t="array" ref="P119">IF(P$110=-1,Q119,IF(P$110=99,O119,IF(P$110=0,INDEX($F100:$N100,0,P$108),(INDEX($F100:$N100,0,P$110+1)-INDEX($F100:$N100,0,P$110))/(INDEX($F$4:$N$4,0,P$110+1)-INDEX($F$4:$N$4,0,P$110))+O119)))</f>
        <v>9.6457651622891244E-2</v>
      </c>
      <c r="Q119" s="186" cm="1">
        <f t="array" ref="Q119">IF(Q$110=-1,R119,IF(Q$110=99,P119,IF(Q$110=0,INDEX($F100:$N100,0,Q$108),(INDEX($F100:$N100,0,Q$110+1)-INDEX($F100:$N100,0,Q$110))/(INDEX($F$4:$N$4,0,Q$110+1)-INDEX($F$4:$N$4,0,Q$110))+P119)))</f>
        <v>0.10933566523636412</v>
      </c>
      <c r="R119" s="186" cm="1">
        <f t="array" ref="R119">IF(R$110=-1,S119,IF(R$110=99,Q119,IF(R$110=0,INDEX($F100:$N100,0,R$108),(INDEX($F100:$N100,0,R$110+1)-INDEX($F100:$N100,0,R$110))/(INDEX($F$4:$N$4,0,R$110+1)-INDEX($F$4:$N$4,0,R$110))+Q119)))</f>
        <v>0.122213678849837</v>
      </c>
      <c r="S119" s="186" cm="1">
        <f t="array" ref="S119">IF(S$110=-1,T119,IF(S$110=99,R119,IF(S$110=0,INDEX($F100:$N100,0,S$108),(INDEX($F100:$N100,0,S$110+1)-INDEX($F100:$N100,0,S$110))/(INDEX($F$4:$N$4,0,S$110+1)-INDEX($F$4:$N$4,0,S$110))+R119)))</f>
        <v>0.12297430771519344</v>
      </c>
      <c r="T119" s="186" cm="1">
        <f t="array" ref="T119">IF(T$110=-1,U119,IF(T$110=99,S119,IF(T$110=0,INDEX($F100:$N100,0,T$108),(INDEX($F100:$N100,0,T$110+1)-INDEX($F100:$N100,0,T$110))/(INDEX($F$4:$N$4,0,T$110+1)-INDEX($F$4:$N$4,0,T$110))+S119)))</f>
        <v>0.12373493658054988</v>
      </c>
      <c r="U119" s="186" cm="1">
        <f t="array" ref="U119">IF(U$110=-1,V119,IF(U$110=99,T119,IF(U$110=0,INDEX($F100:$N100,0,U$108),(INDEX($F100:$N100,0,U$110+1)-INDEX($F100:$N100,0,U$110))/(INDEX($F$4:$N$4,0,U$110+1)-INDEX($F$4:$N$4,0,U$110))+T119)))</f>
        <v>0.11660302875209383</v>
      </c>
      <c r="V119" s="186" cm="1">
        <f t="array" ref="V119">IF(V$110=-1,W119,IF(V$110=99,U119,IF(V$110=0,INDEX($F100:$N100,0,V$108),(INDEX($F100:$N100,0,V$110+1)-INDEX($F100:$N100,0,V$110))/(INDEX($F$4:$N$4,0,V$110+1)-INDEX($F$4:$N$4,0,V$110))+U119)))</f>
        <v>0.11854911747429903</v>
      </c>
      <c r="W119" s="186" cm="1">
        <f t="array" ref="W119">IF(W$110=-1,X119,IF(W$110=99,V119,IF(W$110=0,INDEX($F100:$N100,0,W$108),(INDEX($F100:$N100,0,W$110+1)-INDEX($F100:$N100,0,W$110))/(INDEX($F$4:$N$4,0,W$110+1)-INDEX($F$4:$N$4,0,W$110))+V119)))</f>
        <v>0.12105607328803257</v>
      </c>
      <c r="X119" s="186" cm="1">
        <f t="array" ref="X119">IF(X$110=-1,Y119,IF(X$110=99,W119,IF(X$110=0,INDEX($F100:$N100,0,X$108),(INDEX($F100:$N100,0,X$110+1)-INDEX($F100:$N100,0,X$110))/(INDEX($F$4:$N$4,0,X$110+1)-INDEX($F$4:$N$4,0,X$110))+W119)))</f>
        <v>0.12356302910176611</v>
      </c>
      <c r="Y119" s="186" cm="1">
        <f t="array" ref="Y119">IF(Y$110=-1,Z119,IF(Y$110=99,X119,IF(Y$110=0,INDEX($F100:$N100,0,Y$108),(INDEX($F100:$N100,0,Y$110+1)-INDEX($F100:$N100,0,Y$110))/(INDEX($F$4:$N$4,0,Y$110+1)-INDEX($F$4:$N$4,0,Y$110))+X119)))</f>
        <v>0.12606998491549967</v>
      </c>
      <c r="Z119" s="186" cm="1">
        <f t="array" ref="Z119">IF(Z$110=-1,AA119,IF(Z$110=99,Y119,IF(Z$110=0,INDEX($F100:$N100,0,Z$108),(INDEX($F100:$N100,0,Z$110+1)-INDEX($F100:$N100,0,Z$110))/(INDEX($F$4:$N$4,0,Z$110+1)-INDEX($F$4:$N$4,0,Z$110))+Y119)))</f>
        <v>0.12857694072923323</v>
      </c>
      <c r="AA119" s="186" cm="1">
        <f t="array" ref="AA119">IF(AA$110=-1,AB119,IF(AA$110=99,Z119,IF(AA$110=0,INDEX($F100:$N100,0,AA$108),(INDEX($F100:$N100,0,AA$110+1)-INDEX($F100:$N100,0,AA$110))/(INDEX($F$4:$N$4,0,AA$110+1)-INDEX($F$4:$N$4,0,AA$110))+Z119)))</f>
        <v>0.13108389654296679</v>
      </c>
      <c r="AB119" s="186" cm="1">
        <f t="array" ref="AB119">IF(AB$110=-1,AC119,IF(AB$110=99,AA119,IF(AB$110=0,INDEX($F100:$N100,0,AB$108),(INDEX($F100:$N100,0,AB$110+1)-INDEX($F100:$N100,0,AB$110))/(INDEX($F$4:$N$4,0,AB$110+1)-INDEX($F$4:$N$4,0,AB$110))+AA119)))</f>
        <v>0.13359085235670035</v>
      </c>
      <c r="AC119" s="186" cm="1">
        <f t="array" ref="AC119">IF(AC$110=-1,AD119,IF(AC$110=99,AB119,IF(AC$110=0,INDEX($F100:$N100,0,AC$108),(INDEX($F100:$N100,0,AC$110+1)-INDEX($F100:$N100,0,AC$110))/(INDEX($F$4:$N$4,0,AC$110+1)-INDEX($F$4:$N$4,0,AC$110))+AB119)))</f>
        <v>0.1360978081704339</v>
      </c>
      <c r="AD119" s="186" cm="1">
        <f t="array" ref="AD119">IF(AD$110=-1,AE119,IF(AD$110=99,AC119,IF(AD$110=0,INDEX($F100:$N100,0,AD$108),(INDEX($F100:$N100,0,AD$110+1)-INDEX($F100:$N100,0,AD$110))/(INDEX($F$4:$N$4,0,AD$110+1)-INDEX($F$4:$N$4,0,AD$110))+AC119)))</f>
        <v>0.13860476398416746</v>
      </c>
      <c r="AE119" s="186" cm="1">
        <f t="array" ref="AE119">IF(AE$110=-1,AF119,IF(AE$110=99,AD119,IF(AE$110=0,INDEX($F100:$N100,0,AE$108),(INDEX($F100:$N100,0,AE$110+1)-INDEX($F100:$N100,0,AE$110))/(INDEX($F$4:$N$4,0,AE$110+1)-INDEX($F$4:$N$4,0,AE$110))+AD119)))</f>
        <v>0.14111171979790094</v>
      </c>
      <c r="AF119" s="186" cm="1">
        <f t="array" ref="AF119">IF(AF$110=-1,AG119,IF(AF$110=99,AE119,IF(AF$110=0,INDEX($F100:$N100,0,AF$108),(INDEX($F100:$N100,0,AF$110+1)-INDEX($F100:$N100,0,AF$110))/(INDEX($F$4:$N$4,0,AF$110+1)-INDEX($F$4:$N$4,0,AF$110))+AE119)))</f>
        <v>0.14414802690245798</v>
      </c>
      <c r="AG119" s="186" cm="1">
        <f t="array" ref="AG119">IF(AG$110=-1,AH119,IF(AG$110=99,AF119,IF(AG$110=0,INDEX($F100:$N100,0,AG$108),(INDEX($F100:$N100,0,AG$110+1)-INDEX($F100:$N100,0,AG$110))/(INDEX($F$4:$N$4,0,AG$110+1)-INDEX($F$4:$N$4,0,AG$110))+AF119)))</f>
        <v>0.14718433400701503</v>
      </c>
      <c r="AH119" s="186" cm="1">
        <f t="array" ref="AH119">IF(AH$110=-1,AI119,IF(AH$110=99,AG119,IF(AH$110=0,INDEX($F100:$N100,0,AH$108),(INDEX($F100:$N100,0,AH$110+1)-INDEX($F100:$N100,0,AH$110))/(INDEX($F$4:$N$4,0,AH$110+1)-INDEX($F$4:$N$4,0,AH$110))+AG119)))</f>
        <v>0.15022064111157207</v>
      </c>
      <c r="AI119" s="186" cm="1">
        <f t="array" ref="AI119">IF(AI$110=-1,AJ119,IF(AI$110=99,AH119,IF(AI$110=0,INDEX($F100:$N100,0,AI$108),(INDEX($F100:$N100,0,AI$110+1)-INDEX($F100:$N100,0,AI$110))/(INDEX($F$4:$N$4,0,AI$110+1)-INDEX($F$4:$N$4,0,AI$110))+AH119)))</f>
        <v>0.15325694821612912</v>
      </c>
      <c r="AJ119" s="186" cm="1">
        <f t="array" ref="AJ119">IF(AJ$110=-1,AK119,IF(AJ$110=99,AI119,IF(AJ$110=0,INDEX($F100:$N100,0,AJ$108),(INDEX($F100:$N100,0,AJ$110+1)-INDEX($F100:$N100,0,AJ$110))/(INDEX($F$4:$N$4,0,AJ$110+1)-INDEX($F$4:$N$4,0,AJ$110))+AI119)))</f>
        <v>0.15629325532068616</v>
      </c>
      <c r="AK119" s="186" cm="1">
        <f t="array" ref="AK119">IF(AK$110=-1,AL119,IF(AK$110=99,AJ119,IF(AK$110=0,INDEX($F100:$N100,0,AK$108),(INDEX($F100:$N100,0,AK$110+1)-INDEX($F100:$N100,0,AK$110))/(INDEX($F$4:$N$4,0,AK$110+1)-INDEX($F$4:$N$4,0,AK$110))+AJ119)))</f>
        <v>0.15932956242524321</v>
      </c>
      <c r="AL119" s="186" cm="1">
        <f t="array" ref="AL119">IF(AL$110=-1,AM119,IF(AL$110=99,AK119,IF(AL$110=0,INDEX($F100:$N100,0,AL$108),(INDEX($F100:$N100,0,AL$110+1)-INDEX($F100:$N100,0,AL$110))/(INDEX($F$4:$N$4,0,AL$110+1)-INDEX($F$4:$N$4,0,AL$110))+AK119)))</f>
        <v>0.16236586952980026</v>
      </c>
      <c r="AM119" s="186" cm="1">
        <f t="array" ref="AM119">IF(AM$110=-1,AN119,IF(AM$110=99,AL119,IF(AM$110=0,INDEX($F100:$N100,0,AM$108),(INDEX($F100:$N100,0,AM$110+1)-INDEX($F100:$N100,0,AM$110))/(INDEX($F$4:$N$4,0,AM$110+1)-INDEX($F$4:$N$4,0,AM$110))+AL119)))</f>
        <v>0.1654021766343573</v>
      </c>
      <c r="AN119" s="186" cm="1">
        <f t="array" ref="AN119">IF(AN$110=-1,AO119,IF(AN$110=99,AM119,IF(AN$110=0,INDEX($F100:$N100,0,AN$108),(INDEX($F100:$N100,0,AN$110+1)-INDEX($F100:$N100,0,AN$110))/(INDEX($F$4:$N$4,0,AN$110+1)-INDEX($F$4:$N$4,0,AN$110))+AM119)))</f>
        <v>0.16843848373891435</v>
      </c>
      <c r="AO119" s="186" cm="1">
        <f t="array" ref="AO119">IF(AO$110=-1,AP119,IF(AO$110=99,AN119,IF(AO$110=0,INDEX($F100:$N100,0,AO$108),(INDEX($F100:$N100,0,AO$110+1)-INDEX($F100:$N100,0,AO$110))/(INDEX($F$4:$N$4,0,AO$110+1)-INDEX($F$4:$N$4,0,AO$110))+AN119)))</f>
        <v>0.17147479084347125</v>
      </c>
      <c r="AP119" s="186" cm="1">
        <f t="array" ref="AP119">IF(AP$110=-1,AQ119,IF(AP$110=99,AO119,IF(AP$110=0,INDEX($F100:$N100,0,AP$108),(INDEX($F100:$N100,0,AP$110+1)-INDEX($F100:$N100,0,AP$110))/(INDEX($F$4:$N$4,0,AP$110+1)-INDEX($F$4:$N$4,0,AP$110))+AO119)))</f>
        <v>0.17549570443553614</v>
      </c>
      <c r="AQ119" s="186" cm="1">
        <f t="array" ref="AQ119">IF(AQ$110=-1,AR119,IF(AQ$110=99,AP119,IF(AQ$110=0,INDEX($F100:$N100,0,AQ$108),(INDEX($F100:$N100,0,AQ$110+1)-INDEX($F100:$N100,0,AQ$110))/(INDEX($F$4:$N$4,0,AQ$110+1)-INDEX($F$4:$N$4,0,AQ$110))+AP119)))</f>
        <v>0.17951661802760102</v>
      </c>
      <c r="AR119" s="186" cm="1">
        <f t="array" ref="AR119">IF(AR$110=-1,AS119,IF(AR$110=99,AQ119,IF(AR$110=0,INDEX($F100:$N100,0,AR$108),(INDEX($F100:$N100,0,AR$110+1)-INDEX($F100:$N100,0,AR$110))/(INDEX($F$4:$N$4,0,AR$110+1)-INDEX($F$4:$N$4,0,AR$110))+AQ119)))</f>
        <v>0.18353753161966591</v>
      </c>
      <c r="AS119" s="186" cm="1">
        <f t="array" ref="AS119">IF(AS$110=-1,AT119,IF(AS$110=99,AR119,IF(AS$110=0,INDEX($F100:$N100,0,AS$108),(INDEX($F100:$N100,0,AS$110+1)-INDEX($F100:$N100,0,AS$110))/(INDEX($F$4:$N$4,0,AS$110+1)-INDEX($F$4:$N$4,0,AS$110))+AR119)))</f>
        <v>0.18755844521173079</v>
      </c>
      <c r="AT119" s="186" cm="1">
        <f t="array" ref="AT119">IF(AT$110=-1,AU119,IF(AT$110=99,AS119,IF(AT$110=0,INDEX($F100:$N100,0,AT$108),(INDEX($F100:$N100,0,AT$110+1)-INDEX($F100:$N100,0,AT$110))/(INDEX($F$4:$N$4,0,AT$110+1)-INDEX($F$4:$N$4,0,AT$110))+AS119)))</f>
        <v>0.19157935880379567</v>
      </c>
      <c r="AU119" s="186" cm="1">
        <f t="array" ref="AU119">IF(AU$110=-1,AV119,IF(AU$110=99,AT119,IF(AU$110=0,INDEX($F100:$N100,0,AU$108),(INDEX($F100:$N100,0,AU$110+1)-INDEX($F100:$N100,0,AU$110))/(INDEX($F$4:$N$4,0,AU$110+1)-INDEX($F$4:$N$4,0,AU$110))+AT119)))</f>
        <v>0.19560027239586056</v>
      </c>
      <c r="AV119" s="186" cm="1">
        <f t="array" ref="AV119">IF(AV$110=-1,AW119,IF(AV$110=99,AU119,IF(AV$110=0,INDEX($F100:$N100,0,AV$108),(INDEX($F100:$N100,0,AV$110+1)-INDEX($F100:$N100,0,AV$110))/(INDEX($F$4:$N$4,0,AV$110+1)-INDEX($F$4:$N$4,0,AV$110))+AU119)))</f>
        <v>0.19962118598792544</v>
      </c>
      <c r="AW119" s="186" cm="1">
        <f t="array" ref="AW119">IF(AW$110=-1,AX119,IF(AW$110=99,AV119,IF(AW$110=0,INDEX($F100:$N100,0,AW$108),(INDEX($F100:$N100,0,AW$110+1)-INDEX($F100:$N100,0,AW$110))/(INDEX($F$4:$N$4,0,AW$110+1)-INDEX($F$4:$N$4,0,AW$110))+AV119)))</f>
        <v>0.20364209957999033</v>
      </c>
      <c r="AX119" s="186" cm="1">
        <f t="array" ref="AX119">IF(AX$110=-1,AY119,IF(AX$110=99,AW119,IF(AX$110=0,INDEX($F100:$N100,0,AX$108),(INDEX($F100:$N100,0,AX$110+1)-INDEX($F100:$N100,0,AX$110))/(INDEX($F$4:$N$4,0,AX$110+1)-INDEX($F$4:$N$4,0,AX$110))+AW119)))</f>
        <v>0.20766301317205521</v>
      </c>
      <c r="AY119" s="186" cm="1">
        <f t="array" ref="AY119">IF(AY$110=-1,AZ119,IF(AY$110=99,AX119,IF(AY$110=0,INDEX($F100:$N100,0,AY$108),(INDEX($F100:$N100,0,AY$110+1)-INDEX($F100:$N100,0,AY$110))/(INDEX($F$4:$N$4,0,AY$110+1)-INDEX($F$4:$N$4,0,AY$110))+AX119)))</f>
        <v>0.21168392676412007</v>
      </c>
      <c r="AZ119" s="186" cm="1">
        <f t="array" ref="AZ119">IF(AZ$110=-1,BA119,IF(AZ$110=99,AY119,IF(AZ$110=0,INDEX($F100:$N100,0,AZ$108),(INDEX($F100:$N100,0,AZ$110+1)-INDEX($F100:$N100,0,AZ$110))/(INDEX($F$4:$N$4,0,AZ$110+1)-INDEX($F$4:$N$4,0,AZ$110))+AY119)))</f>
        <v>0.21168392676412007</v>
      </c>
      <c r="BA119" s="186" cm="1">
        <f t="array" ref="BA119">IF(BA$110=-1,BB119,IF(BA$110=99,AZ119,IF(BA$110=0,INDEX($F100:$N100,0,BA$108),(INDEX($F100:$N100,0,BA$110+1)-INDEX($F100:$N100,0,BA$110))/(INDEX($F$4:$N$4,0,BA$110+1)-INDEX($F$4:$N$4,0,BA$110))+AZ119)))</f>
        <v>0.21168392676412007</v>
      </c>
    </row>
    <row r="120" spans="1:53">
      <c r="A120" s="116" t="s">
        <v>16</v>
      </c>
      <c r="B120" s="22" t="str">
        <f t="shared" si="216"/>
        <v/>
      </c>
      <c r="C120" s="23" t="str">
        <f t="shared" si="217"/>
        <v/>
      </c>
      <c r="D120" s="57" t="str">
        <f>ITEMS_TRA!C24</f>
        <v>TFHCV9</v>
      </c>
      <c r="E120" s="23" t="str">
        <f t="shared" si="218"/>
        <v/>
      </c>
      <c r="H120" s="23" t="str">
        <f t="shared" si="218"/>
        <v/>
      </c>
      <c r="J120" s="23" t="str">
        <f t="shared" si="218"/>
        <v/>
      </c>
      <c r="K120" s="23" t="str">
        <f t="shared" si="218"/>
        <v/>
      </c>
      <c r="L120" s="125" t="str">
        <f t="shared" si="219"/>
        <v/>
      </c>
      <c r="M120" s="186">
        <f>INDEX('[2]TS BYDem'!J$10:J$59,MATCH($D120,'[2]TS BYDem'!D$10:D$59,0))</f>
        <v>5.2818957554105039E-2</v>
      </c>
      <c r="N120" s="186" cm="1">
        <f t="array" ref="N120">IF(N$110=-1,O120,IF(N$110=99,M120,IF(N$110=0,INDEX($F101:$N101,0,N$108),(INDEX($F101:$N101,0,N$110+1)-INDEX($F101:$N101,0,N$110))/(INDEX($F$4:$N$4,0,N$110+1)-INDEX($F$4:$N$4,0,N$110))+M120)))</f>
        <v>4.5016661085483405E-2</v>
      </c>
      <c r="O120" s="186" cm="1">
        <f t="array" ref="O120">IF(O$110=-1,P120,IF(O$110=99,N120,IF(O$110=0,INDEX($F101:$N101,0,O$108),(INDEX($F101:$N101,0,O$110+1)-INDEX($F101:$N101,0,O$110))/(INDEX($F$4:$N$4,0,O$110+1)-INDEX($F$4:$N$4,0,O$110))+N120)))</f>
        <v>3.721436461686177E-2</v>
      </c>
      <c r="P120" s="186" cm="1">
        <f t="array" ref="P120">IF(P$110=-1,Q120,IF(P$110=99,O120,IF(P$110=0,INDEX($F101:$N101,0,P$108),(INDEX($F101:$N101,0,P$110+1)-INDEX($F101:$N101,0,P$110))/(INDEX($F$4:$N$4,0,P$110+1)-INDEX($F$4:$N$4,0,P$110))+O120)))</f>
        <v>2.9412068148240201E-2</v>
      </c>
      <c r="Q120" s="186" cm="1">
        <f t="array" ref="Q120">IF(Q$110=-1,R120,IF(Q$110=99,P120,IF(Q$110=0,INDEX($F101:$N101,0,Q$108),(INDEX($F101:$N101,0,Q$110+1)-INDEX($F101:$N101,0,Q$110))/(INDEX($F$4:$N$4,0,Q$110+1)-INDEX($F$4:$N$4,0,Q$110))+P120)))</f>
        <v>2.9412068148240201E-2</v>
      </c>
      <c r="R120" s="186" cm="1">
        <f t="array" ref="R120">IF(R$110=-1,S120,IF(R$110=99,Q120,IF(R$110=0,INDEX($F101:$N101,0,R$108),(INDEX($F101:$N101,0,R$110+1)-INDEX($F101:$N101,0,R$110))/(INDEX($F$4:$N$4,0,R$110+1)-INDEX($F$4:$N$4,0,R$110))+Q120)))</f>
        <v>2.9412068148240201E-2</v>
      </c>
      <c r="S120" s="186" cm="1">
        <f t="array" ref="S120">IF(S$110=-1,T120,IF(S$110=99,R120,IF(S$110=0,INDEX($F101:$N101,0,S$108),(INDEX($F101:$N101,0,S$110+1)-INDEX($F101:$N101,0,S$110))/(INDEX($F$4:$N$4,0,S$110+1)-INDEX($F$4:$N$4,0,S$110))+R120)))</f>
        <v>2.9595121863944723E-2</v>
      </c>
      <c r="T120" s="186" cm="1">
        <f t="array" ref="T120">IF(T$110=-1,U120,IF(T$110=99,S120,IF(T$110=0,INDEX($F101:$N101,0,T$108),(INDEX($F101:$N101,0,T$110+1)-INDEX($F101:$N101,0,T$110))/(INDEX($F$4:$N$4,0,T$110+1)-INDEX($F$4:$N$4,0,T$110))+S120)))</f>
        <v>2.9778175579649249E-2</v>
      </c>
      <c r="U120" s="186" cm="1">
        <f t="array" ref="U120">IF(U$110=-1,V120,IF(U$110=99,T120,IF(U$110=0,INDEX($F101:$N101,0,U$108),(INDEX($F101:$N101,0,U$110+1)-INDEX($F101:$N101,0,U$110))/(INDEX($F$4:$N$4,0,U$110+1)-INDEX($F$4:$N$4,0,U$110))+T120)))</f>
        <v>2.806180339405084E-2</v>
      </c>
      <c r="V120" s="186" cm="1">
        <f t="array" ref="V120">IF(V$110=-1,W120,IF(V$110=99,U120,IF(V$110=0,INDEX($F101:$N101,0,V$108),(INDEX($F101:$N101,0,V$110+1)-INDEX($F101:$N101,0,V$110))/(INDEX($F$4:$N$4,0,V$110+1)-INDEX($F$4:$N$4,0,V$110))+U120)))</f>
        <v>2.8530151083595065E-2</v>
      </c>
      <c r="W120" s="186" cm="1">
        <f t="array" ref="W120">IF(W$110=-1,X120,IF(W$110=99,V120,IF(W$110=0,INDEX($F101:$N101,0,W$108),(INDEX($F101:$N101,0,W$110+1)-INDEX($F101:$N101,0,W$110))/(INDEX($F$4:$N$4,0,W$110+1)-INDEX($F$4:$N$4,0,W$110))+V120)))</f>
        <v>2.9133477617352022E-2</v>
      </c>
      <c r="X120" s="186" cm="1">
        <f t="array" ref="X120">IF(X$110=-1,Y120,IF(X$110=99,W120,IF(X$110=0,INDEX($F101:$N101,0,X$108),(INDEX($F101:$N101,0,X$110+1)-INDEX($F101:$N101,0,X$110))/(INDEX($F$4:$N$4,0,X$110+1)-INDEX($F$4:$N$4,0,X$110))+W120)))</f>
        <v>2.9736804151108978E-2</v>
      </c>
      <c r="Y120" s="186" cm="1">
        <f t="array" ref="Y120">IF(Y$110=-1,Z120,IF(Y$110=99,X120,IF(Y$110=0,INDEX($F101:$N101,0,Y$108),(INDEX($F101:$N101,0,Y$110+1)-INDEX($F101:$N101,0,Y$110))/(INDEX($F$4:$N$4,0,Y$110+1)-INDEX($F$4:$N$4,0,Y$110))+X120)))</f>
        <v>3.0340130684865935E-2</v>
      </c>
      <c r="Z120" s="186" cm="1">
        <f t="array" ref="Z120">IF(Z$110=-1,AA120,IF(Z$110=99,Y120,IF(Z$110=0,INDEX($F101:$N101,0,Z$108),(INDEX($F101:$N101,0,Z$110+1)-INDEX($F101:$N101,0,Z$110))/(INDEX($F$4:$N$4,0,Z$110+1)-INDEX($F$4:$N$4,0,Z$110))+Y120)))</f>
        <v>3.0943457218622891E-2</v>
      </c>
      <c r="AA120" s="186" cm="1">
        <f t="array" ref="AA120">IF(AA$110=-1,AB120,IF(AA$110=99,Z120,IF(AA$110=0,INDEX($F101:$N101,0,AA$108),(INDEX($F101:$N101,0,AA$110+1)-INDEX($F101:$N101,0,AA$110))/(INDEX($F$4:$N$4,0,AA$110+1)-INDEX($F$4:$N$4,0,AA$110))+Z120)))</f>
        <v>3.1546783752379848E-2</v>
      </c>
      <c r="AB120" s="186" cm="1">
        <f t="array" ref="AB120">IF(AB$110=-1,AC120,IF(AB$110=99,AA120,IF(AB$110=0,INDEX($F101:$N101,0,AB$108),(INDEX($F101:$N101,0,AB$110+1)-INDEX($F101:$N101,0,AB$110))/(INDEX($F$4:$N$4,0,AB$110+1)-INDEX($F$4:$N$4,0,AB$110))+AA120)))</f>
        <v>3.2150110286136804E-2</v>
      </c>
      <c r="AC120" s="186" cm="1">
        <f t="array" ref="AC120">IF(AC$110=-1,AD120,IF(AC$110=99,AB120,IF(AC$110=0,INDEX($F101:$N101,0,AC$108),(INDEX($F101:$N101,0,AC$110+1)-INDEX($F101:$N101,0,AC$110))/(INDEX($F$4:$N$4,0,AC$110+1)-INDEX($F$4:$N$4,0,AC$110))+AB120)))</f>
        <v>3.2753436819893761E-2</v>
      </c>
      <c r="AD120" s="186" cm="1">
        <f t="array" ref="AD120">IF(AD$110=-1,AE120,IF(AD$110=99,AC120,IF(AD$110=0,INDEX($F101:$N101,0,AD$108),(INDEX($F101:$N101,0,AD$110+1)-INDEX($F101:$N101,0,AD$110))/(INDEX($F$4:$N$4,0,AD$110+1)-INDEX($F$4:$N$4,0,AD$110))+AC120)))</f>
        <v>3.3356763353650717E-2</v>
      </c>
      <c r="AE120" s="186" cm="1">
        <f t="array" ref="AE120">IF(AE$110=-1,AF120,IF(AE$110=99,AD120,IF(AE$110=0,INDEX($F101:$N101,0,AE$108),(INDEX($F101:$N101,0,AE$110+1)-INDEX($F101:$N101,0,AE$110))/(INDEX($F$4:$N$4,0,AE$110+1)-INDEX($F$4:$N$4,0,AE$110))+AD120)))</f>
        <v>3.3960089887407674E-2</v>
      </c>
      <c r="AF120" s="186" cm="1">
        <f t="array" ref="AF120">IF(AF$110=-1,AG120,IF(AF$110=99,AE120,IF(AF$110=0,INDEX($F101:$N101,0,AF$108),(INDEX($F101:$N101,0,AF$110+1)-INDEX($F101:$N101,0,AF$110))/(INDEX($F$4:$N$4,0,AF$110+1)-INDEX($F$4:$N$4,0,AF$110))+AE120)))</f>
        <v>3.4690810640752676E-2</v>
      </c>
      <c r="AG120" s="186" cm="1">
        <f t="array" ref="AG120">IF(AG$110=-1,AH120,IF(AG$110=99,AF120,IF(AG$110=0,INDEX($F101:$N101,0,AG$108),(INDEX($F101:$N101,0,AG$110+1)-INDEX($F101:$N101,0,AG$110))/(INDEX($F$4:$N$4,0,AG$110+1)-INDEX($F$4:$N$4,0,AG$110))+AF120)))</f>
        <v>3.5421531394097677E-2</v>
      </c>
      <c r="AH120" s="186" cm="1">
        <f t="array" ref="AH120">IF(AH$110=-1,AI120,IF(AH$110=99,AG120,IF(AH$110=0,INDEX($F101:$N101,0,AH$108),(INDEX($F101:$N101,0,AH$110+1)-INDEX($F101:$N101,0,AH$110))/(INDEX($F$4:$N$4,0,AH$110+1)-INDEX($F$4:$N$4,0,AH$110))+AG120)))</f>
        <v>3.6152252147442679E-2</v>
      </c>
      <c r="AI120" s="186" cm="1">
        <f t="array" ref="AI120">IF(AI$110=-1,AJ120,IF(AI$110=99,AH120,IF(AI$110=0,INDEX($F101:$N101,0,AI$108),(INDEX($F101:$N101,0,AI$110+1)-INDEX($F101:$N101,0,AI$110))/(INDEX($F$4:$N$4,0,AI$110+1)-INDEX($F$4:$N$4,0,AI$110))+AH120)))</f>
        <v>3.6882972900787681E-2</v>
      </c>
      <c r="AJ120" s="186" cm="1">
        <f t="array" ref="AJ120">IF(AJ$110=-1,AK120,IF(AJ$110=99,AI120,IF(AJ$110=0,INDEX($F101:$N101,0,AJ$108),(INDEX($F101:$N101,0,AJ$110+1)-INDEX($F101:$N101,0,AJ$110))/(INDEX($F$4:$N$4,0,AJ$110+1)-INDEX($F$4:$N$4,0,AJ$110))+AI120)))</f>
        <v>3.7613693654132682E-2</v>
      </c>
      <c r="AK120" s="186" cm="1">
        <f t="array" ref="AK120">IF(AK$110=-1,AL120,IF(AK$110=99,AJ120,IF(AK$110=0,INDEX($F101:$N101,0,AK$108),(INDEX($F101:$N101,0,AK$110+1)-INDEX($F101:$N101,0,AK$110))/(INDEX($F$4:$N$4,0,AK$110+1)-INDEX($F$4:$N$4,0,AK$110))+AJ120)))</f>
        <v>3.8344414407477684E-2</v>
      </c>
      <c r="AL120" s="186" cm="1">
        <f t="array" ref="AL120">IF(AL$110=-1,AM120,IF(AL$110=99,AK120,IF(AL$110=0,INDEX($F101:$N101,0,AL$108),(INDEX($F101:$N101,0,AL$110+1)-INDEX($F101:$N101,0,AL$110))/(INDEX($F$4:$N$4,0,AL$110+1)-INDEX($F$4:$N$4,0,AL$110))+AK120)))</f>
        <v>3.9075135160822685E-2</v>
      </c>
      <c r="AM120" s="186" cm="1">
        <f t="array" ref="AM120">IF(AM$110=-1,AN120,IF(AM$110=99,AL120,IF(AM$110=0,INDEX($F101:$N101,0,AM$108),(INDEX($F101:$N101,0,AM$110+1)-INDEX($F101:$N101,0,AM$110))/(INDEX($F$4:$N$4,0,AM$110+1)-INDEX($F$4:$N$4,0,AM$110))+AL120)))</f>
        <v>3.9805855914167687E-2</v>
      </c>
      <c r="AN120" s="186" cm="1">
        <f t="array" ref="AN120">IF(AN$110=-1,AO120,IF(AN$110=99,AM120,IF(AN$110=0,INDEX($F101:$N101,0,AN$108),(INDEX($F101:$N101,0,AN$110+1)-INDEX($F101:$N101,0,AN$110))/(INDEX($F$4:$N$4,0,AN$110+1)-INDEX($F$4:$N$4,0,AN$110))+AM120)))</f>
        <v>4.0536576667512689E-2</v>
      </c>
      <c r="AO120" s="186" cm="1">
        <f t="array" ref="AO120">IF(AO$110=-1,AP120,IF(AO$110=99,AN120,IF(AO$110=0,INDEX($F101:$N101,0,AO$108),(INDEX($F101:$N101,0,AO$110+1)-INDEX($F101:$N101,0,AO$110))/(INDEX($F$4:$N$4,0,AO$110+1)-INDEX($F$4:$N$4,0,AO$110))+AN120)))</f>
        <v>4.1267297420857718E-2</v>
      </c>
      <c r="AP120" s="186" cm="1">
        <f t="array" ref="AP120">IF(AP$110=-1,AQ120,IF(AP$110=99,AO120,IF(AP$110=0,INDEX($F101:$N101,0,AP$108),(INDEX($F101:$N101,0,AP$110+1)-INDEX($F101:$N101,0,AP$110))/(INDEX($F$4:$N$4,0,AP$110+1)-INDEX($F$4:$N$4,0,AP$110))+AO120)))</f>
        <v>4.2234974572065209E-2</v>
      </c>
      <c r="AQ120" s="186" cm="1">
        <f t="array" ref="AQ120">IF(AQ$110=-1,AR120,IF(AQ$110=99,AP120,IF(AQ$110=0,INDEX($F101:$N101,0,AQ$108),(INDEX($F101:$N101,0,AQ$110+1)-INDEX($F101:$N101,0,AQ$110))/(INDEX($F$4:$N$4,0,AQ$110+1)-INDEX($F$4:$N$4,0,AQ$110))+AP120)))</f>
        <v>4.32026517232727E-2</v>
      </c>
      <c r="AR120" s="186" cm="1">
        <f t="array" ref="AR120">IF(AR$110=-1,AS120,IF(AR$110=99,AQ120,IF(AR$110=0,INDEX($F101:$N101,0,AR$108),(INDEX($F101:$N101,0,AR$110+1)-INDEX($F101:$N101,0,AR$110))/(INDEX($F$4:$N$4,0,AR$110+1)-INDEX($F$4:$N$4,0,AR$110))+AQ120)))</f>
        <v>4.4170328874480191E-2</v>
      </c>
      <c r="AS120" s="186" cm="1">
        <f t="array" ref="AS120">IF(AS$110=-1,AT120,IF(AS$110=99,AR120,IF(AS$110=0,INDEX($F101:$N101,0,AS$108),(INDEX($F101:$N101,0,AS$110+1)-INDEX($F101:$N101,0,AS$110))/(INDEX($F$4:$N$4,0,AS$110+1)-INDEX($F$4:$N$4,0,AS$110))+AR120)))</f>
        <v>4.5138006025687682E-2</v>
      </c>
      <c r="AT120" s="186" cm="1">
        <f t="array" ref="AT120">IF(AT$110=-1,AU120,IF(AT$110=99,AS120,IF(AT$110=0,INDEX($F101:$N101,0,AT$108),(INDEX($F101:$N101,0,AT$110+1)-INDEX($F101:$N101,0,AT$110))/(INDEX($F$4:$N$4,0,AT$110+1)-INDEX($F$4:$N$4,0,AT$110))+AS120)))</f>
        <v>4.6105683176895174E-2</v>
      </c>
      <c r="AU120" s="186" cm="1">
        <f t="array" ref="AU120">IF(AU$110=-1,AV120,IF(AU$110=99,AT120,IF(AU$110=0,INDEX($F101:$N101,0,AU$108),(INDEX($F101:$N101,0,AU$110+1)-INDEX($F101:$N101,0,AU$110))/(INDEX($F$4:$N$4,0,AU$110+1)-INDEX($F$4:$N$4,0,AU$110))+AT120)))</f>
        <v>4.7073360328102665E-2</v>
      </c>
      <c r="AV120" s="186" cm="1">
        <f t="array" ref="AV120">IF(AV$110=-1,AW120,IF(AV$110=99,AU120,IF(AV$110=0,INDEX($F101:$N101,0,AV$108),(INDEX($F101:$N101,0,AV$110+1)-INDEX($F101:$N101,0,AV$110))/(INDEX($F$4:$N$4,0,AV$110+1)-INDEX($F$4:$N$4,0,AV$110))+AU120)))</f>
        <v>4.8041037479310156E-2</v>
      </c>
      <c r="AW120" s="186" cm="1">
        <f t="array" ref="AW120">IF(AW$110=-1,AX120,IF(AW$110=99,AV120,IF(AW$110=0,INDEX($F101:$N101,0,AW$108),(INDEX($F101:$N101,0,AW$110+1)-INDEX($F101:$N101,0,AW$110))/(INDEX($F$4:$N$4,0,AW$110+1)-INDEX($F$4:$N$4,0,AW$110))+AV120)))</f>
        <v>4.9008714630517647E-2</v>
      </c>
      <c r="AX120" s="186" cm="1">
        <f t="array" ref="AX120">IF(AX$110=-1,AY120,IF(AX$110=99,AW120,IF(AX$110=0,INDEX($F101:$N101,0,AX$108),(INDEX($F101:$N101,0,AX$110+1)-INDEX($F101:$N101,0,AX$110))/(INDEX($F$4:$N$4,0,AX$110+1)-INDEX($F$4:$N$4,0,AX$110))+AW120)))</f>
        <v>4.9976391781725138E-2</v>
      </c>
      <c r="AY120" s="186" cm="1">
        <f t="array" ref="AY120">IF(AY$110=-1,AZ120,IF(AY$110=99,AX120,IF(AY$110=0,INDEX($F101:$N101,0,AY$108),(INDEX($F101:$N101,0,AY$110+1)-INDEX($F101:$N101,0,AY$110))/(INDEX($F$4:$N$4,0,AY$110+1)-INDEX($F$4:$N$4,0,AY$110))+AX120)))</f>
        <v>5.0944068932932636E-2</v>
      </c>
      <c r="AZ120" s="186" cm="1">
        <f t="array" ref="AZ120">IF(AZ$110=-1,BA120,IF(AZ$110=99,AY120,IF(AZ$110=0,INDEX($F101:$N101,0,AZ$108),(INDEX($F101:$N101,0,AZ$110+1)-INDEX($F101:$N101,0,AZ$110))/(INDEX($F$4:$N$4,0,AZ$110+1)-INDEX($F$4:$N$4,0,AZ$110))+AY120)))</f>
        <v>5.0944068932932636E-2</v>
      </c>
      <c r="BA120" s="186" cm="1">
        <f t="array" ref="BA120">IF(BA$110=-1,BB120,IF(BA$110=99,AZ120,IF(BA$110=0,INDEX($F101:$N101,0,BA$108),(INDEX($F101:$N101,0,BA$110+1)-INDEX($F101:$N101,0,BA$110))/(INDEX($F$4:$N$4,0,BA$110+1)-INDEX($F$4:$N$4,0,BA$110))+AZ120)))</f>
        <v>5.0944068932932636E-2</v>
      </c>
    </row>
    <row r="121" spans="1:53">
      <c r="A121" s="116" t="s">
        <v>16</v>
      </c>
      <c r="B121" s="22" t="str">
        <f t="shared" si="216"/>
        <v/>
      </c>
      <c r="C121" s="23" t="str">
        <f t="shared" si="217"/>
        <v/>
      </c>
      <c r="D121" s="57" t="str">
        <f>ITEMS_TRA!C25</f>
        <v>TFRCO</v>
      </c>
      <c r="E121" s="23" t="str">
        <f t="shared" si="218"/>
        <v/>
      </c>
      <c r="H121" s="23" t="str">
        <f t="shared" si="218"/>
        <v/>
      </c>
      <c r="J121" s="23" t="str">
        <f t="shared" si="218"/>
        <v/>
      </c>
      <c r="K121" s="23" t="str">
        <f t="shared" si="218"/>
        <v/>
      </c>
      <c r="L121" s="125" t="str">
        <f t="shared" si="219"/>
        <v/>
      </c>
      <c r="M121" s="186">
        <f>INDEX('[2]TS BYDem'!J$10:J$59,MATCH($D121,'[2]TS BYDem'!D$10:D$59,0))</f>
        <v>22</v>
      </c>
      <c r="N121" s="186" cm="1">
        <f t="array" ref="N121">IF(N$110=-1,O121,IF(N$110=99,M121,IF(N$110=0,INDEX($F102:$N102,0,N$108),(INDEX($F102:$N102,0,N$110+1)-INDEX($F102:$N102,0,N$110))/(INDEX($F$4:$N$4,0,N$110+1)-INDEX($F$4:$N$4,0,N$110))+M121)))</f>
        <v>22.394471154794282</v>
      </c>
      <c r="O121" s="186" cm="1">
        <f t="array" ref="O121">IF(O$110=-1,P121,IF(O$110=99,N121,IF(O$110=0,INDEX($F102:$N102,0,O$108),(INDEX($F102:$N102,0,O$110+1)-INDEX($F102:$N102,0,O$110))/(INDEX($F$4:$N$4,0,O$110+1)-INDEX($F$4:$N$4,0,O$110))+N121)))</f>
        <v>22.788942309588563</v>
      </c>
      <c r="P121" s="186" cm="1">
        <f t="array" ref="P121">IF(P$110=-1,Q121,IF(P$110=99,O121,IF(P$110=0,INDEX($F102:$N102,0,P$108),(INDEX($F102:$N102,0,P$110+1)-INDEX($F102:$N102,0,P$110))/(INDEX($F$4:$N$4,0,P$110+1)-INDEX($F$4:$N$4,0,P$110))+O121)))</f>
        <v>23.183413464382845</v>
      </c>
      <c r="Q121" s="186" cm="1">
        <f t="array" ref="Q121">IF(Q$110=-1,R121,IF(Q$110=99,P121,IF(Q$110=0,INDEX($F102:$N102,0,Q$108),(INDEX($F102:$N102,0,Q$110+1)-INDEX($F102:$N102,0,Q$110))/(INDEX($F$4:$N$4,0,Q$110+1)-INDEX($F$4:$N$4,0,Q$110))+P121)))</f>
        <v>23.396576241140881</v>
      </c>
      <c r="R121" s="186" cm="1">
        <f t="array" ref="R121">IF(R$110=-1,S121,IF(R$110=99,Q121,IF(R$110=0,INDEX($F102:$N102,0,R$108),(INDEX($F102:$N102,0,R$110+1)-INDEX($F102:$N102,0,R$110))/(INDEX($F$4:$N$4,0,R$110+1)-INDEX($F$4:$N$4,0,R$110))+Q121)))</f>
        <v>23.609739017898917</v>
      </c>
      <c r="S121" s="186" cm="1">
        <f t="array" ref="S121">IF(S$110=-1,T121,IF(S$110=99,R121,IF(S$110=0,INDEX($F102:$N102,0,S$108),(INDEX($F102:$N102,0,S$110+1)-INDEX($F102:$N102,0,S$110))/(INDEX($F$4:$N$4,0,S$110+1)-INDEX($F$4:$N$4,0,S$110))+R121)))</f>
        <v>23.756680417335971</v>
      </c>
      <c r="T121" s="186" cm="1">
        <f t="array" ref="T121">IF(T$110=-1,U121,IF(T$110=99,S121,IF(T$110=0,INDEX($F102:$N102,0,T$108),(INDEX($F102:$N102,0,T$110+1)-INDEX($F102:$N102,0,T$110))/(INDEX($F$4:$N$4,0,T$110+1)-INDEX($F$4:$N$4,0,T$110))+S121)))</f>
        <v>23.903621816773025</v>
      </c>
      <c r="U121" s="186" cm="1">
        <f t="array" ref="U121">IF(U$110=-1,V121,IF(U$110=99,T121,IF(U$110=0,INDEX($F102:$N102,0,U$108),(INDEX($F102:$N102,0,U$110+1)-INDEX($F102:$N102,0,U$110))/(INDEX($F$4:$N$4,0,U$110+1)-INDEX($F$4:$N$4,0,U$110))+T121)))</f>
        <v>22.525850653068453</v>
      </c>
      <c r="V121" s="186" cm="1">
        <f t="array" ref="V121">IF(V$110=-1,W121,IF(V$110=99,U121,IF(V$110=0,INDEX($F102:$N102,0,V$108),(INDEX($F102:$N102,0,V$110+1)-INDEX($F102:$N102,0,V$110))/(INDEX($F$4:$N$4,0,V$110+1)-INDEX($F$4:$N$4,0,V$110))+U121)))</f>
        <v>22.901804042814582</v>
      </c>
      <c r="W121" s="186" cm="1">
        <f t="array" ref="W121">IF(W$110=-1,X121,IF(W$110=99,V121,IF(W$110=0,INDEX($F102:$N102,0,W$108),(INDEX($F102:$N102,0,W$110+1)-INDEX($F102:$N102,0,W$110))/(INDEX($F$4:$N$4,0,W$110+1)-INDEX($F$4:$N$4,0,W$110))+V121)))</f>
        <v>23.38610803438641</v>
      </c>
      <c r="X121" s="186" cm="1">
        <f t="array" ref="X121">IF(X$110=-1,Y121,IF(X$110=99,W121,IF(X$110=0,INDEX($F102:$N102,0,X$108),(INDEX($F102:$N102,0,X$110+1)-INDEX($F102:$N102,0,X$110))/(INDEX($F$4:$N$4,0,X$110+1)-INDEX($F$4:$N$4,0,X$110))+W121)))</f>
        <v>23.870412025958238</v>
      </c>
      <c r="Y121" s="186" cm="1">
        <f t="array" ref="Y121">IF(Y$110=-1,Z121,IF(Y$110=99,X121,IF(Y$110=0,INDEX($F102:$N102,0,Y$108),(INDEX($F102:$N102,0,Y$110+1)-INDEX($F102:$N102,0,Y$110))/(INDEX($F$4:$N$4,0,Y$110+1)-INDEX($F$4:$N$4,0,Y$110))+X121)))</f>
        <v>24.354716017530066</v>
      </c>
      <c r="Z121" s="186" cm="1">
        <f t="array" ref="Z121">IF(Z$110=-1,AA121,IF(Z$110=99,Y121,IF(Z$110=0,INDEX($F102:$N102,0,Z$108),(INDEX($F102:$N102,0,Z$110+1)-INDEX($F102:$N102,0,Z$110))/(INDEX($F$4:$N$4,0,Z$110+1)-INDEX($F$4:$N$4,0,Z$110))+Y121)))</f>
        <v>24.839020009101894</v>
      </c>
      <c r="AA121" s="186" cm="1">
        <f t="array" ref="AA121">IF(AA$110=-1,AB121,IF(AA$110=99,Z121,IF(AA$110=0,INDEX($F102:$N102,0,AA$108),(INDEX($F102:$N102,0,AA$110+1)-INDEX($F102:$N102,0,AA$110))/(INDEX($F$4:$N$4,0,AA$110+1)-INDEX($F$4:$N$4,0,AA$110))+Z121)))</f>
        <v>25.323324000673722</v>
      </c>
      <c r="AB121" s="186" cm="1">
        <f t="array" ref="AB121">IF(AB$110=-1,AC121,IF(AB$110=99,AA121,IF(AB$110=0,INDEX($F102:$N102,0,AB$108),(INDEX($F102:$N102,0,AB$110+1)-INDEX($F102:$N102,0,AB$110))/(INDEX($F$4:$N$4,0,AB$110+1)-INDEX($F$4:$N$4,0,AB$110))+AA121)))</f>
        <v>25.80762799224555</v>
      </c>
      <c r="AC121" s="186" cm="1">
        <f t="array" ref="AC121">IF(AC$110=-1,AD121,IF(AC$110=99,AB121,IF(AC$110=0,INDEX($F102:$N102,0,AC$108),(INDEX($F102:$N102,0,AC$110+1)-INDEX($F102:$N102,0,AC$110))/(INDEX($F$4:$N$4,0,AC$110+1)-INDEX($F$4:$N$4,0,AC$110))+AB121)))</f>
        <v>26.291931983817378</v>
      </c>
      <c r="AD121" s="186" cm="1">
        <f t="array" ref="AD121">IF(AD$110=-1,AE121,IF(AD$110=99,AC121,IF(AD$110=0,INDEX($F102:$N102,0,AD$108),(INDEX($F102:$N102,0,AD$110+1)-INDEX($F102:$N102,0,AD$110))/(INDEX($F$4:$N$4,0,AD$110+1)-INDEX($F$4:$N$4,0,AD$110))+AC121)))</f>
        <v>26.776235975389206</v>
      </c>
      <c r="AE121" s="186" cm="1">
        <f t="array" ref="AE121">IF(AE$110=-1,AF121,IF(AE$110=99,AD121,IF(AE$110=0,INDEX($F102:$N102,0,AE$108),(INDEX($F102:$N102,0,AE$110+1)-INDEX($F102:$N102,0,AE$110))/(INDEX($F$4:$N$4,0,AE$110+1)-INDEX($F$4:$N$4,0,AE$110))+AD121)))</f>
        <v>27.260539966961023</v>
      </c>
      <c r="AF121" s="186" cm="1">
        <f t="array" ref="AF121">IF(AF$110=-1,AG121,IF(AF$110=99,AE121,IF(AF$110=0,INDEX($F102:$N102,0,AF$108),(INDEX($F102:$N102,0,AF$110+1)-INDEX($F102:$N102,0,AF$110))/(INDEX($F$4:$N$4,0,AF$110+1)-INDEX($F$4:$N$4,0,AF$110))+AE121)))</f>
        <v>27.847106208902439</v>
      </c>
      <c r="AG121" s="186" cm="1">
        <f t="array" ref="AG121">IF(AG$110=-1,AH121,IF(AG$110=99,AF121,IF(AG$110=0,INDEX($F102:$N102,0,AG$108),(INDEX($F102:$N102,0,AG$110+1)-INDEX($F102:$N102,0,AG$110))/(INDEX($F$4:$N$4,0,AG$110+1)-INDEX($F$4:$N$4,0,AG$110))+AF121)))</f>
        <v>28.433672450843854</v>
      </c>
      <c r="AH121" s="186" cm="1">
        <f t="array" ref="AH121">IF(AH$110=-1,AI121,IF(AH$110=99,AG121,IF(AH$110=0,INDEX($F102:$N102,0,AH$108),(INDEX($F102:$N102,0,AH$110+1)-INDEX($F102:$N102,0,AH$110))/(INDEX($F$4:$N$4,0,AH$110+1)-INDEX($F$4:$N$4,0,AH$110))+AG121)))</f>
        <v>29.02023869278527</v>
      </c>
      <c r="AI121" s="186" cm="1">
        <f t="array" ref="AI121">IF(AI$110=-1,AJ121,IF(AI$110=99,AH121,IF(AI$110=0,INDEX($F102:$N102,0,AI$108),(INDEX($F102:$N102,0,AI$110+1)-INDEX($F102:$N102,0,AI$110))/(INDEX($F$4:$N$4,0,AI$110+1)-INDEX($F$4:$N$4,0,AI$110))+AH121)))</f>
        <v>29.606804934726686</v>
      </c>
      <c r="AJ121" s="186" cm="1">
        <f t="array" ref="AJ121">IF(AJ$110=-1,AK121,IF(AJ$110=99,AI121,IF(AJ$110=0,INDEX($F102:$N102,0,AJ$108),(INDEX($F102:$N102,0,AJ$110+1)-INDEX($F102:$N102,0,AJ$110))/(INDEX($F$4:$N$4,0,AJ$110+1)-INDEX($F$4:$N$4,0,AJ$110))+AI121)))</f>
        <v>30.193371176668101</v>
      </c>
      <c r="AK121" s="186" cm="1">
        <f t="array" ref="AK121">IF(AK$110=-1,AL121,IF(AK$110=99,AJ121,IF(AK$110=0,INDEX($F102:$N102,0,AK$108),(INDEX($F102:$N102,0,AK$110+1)-INDEX($F102:$N102,0,AK$110))/(INDEX($F$4:$N$4,0,AK$110+1)-INDEX($F$4:$N$4,0,AK$110))+AJ121)))</f>
        <v>30.779937418609517</v>
      </c>
      <c r="AL121" s="186" cm="1">
        <f t="array" ref="AL121">IF(AL$110=-1,AM121,IF(AL$110=99,AK121,IF(AL$110=0,INDEX($F102:$N102,0,AL$108),(INDEX($F102:$N102,0,AL$110+1)-INDEX($F102:$N102,0,AL$110))/(INDEX($F$4:$N$4,0,AL$110+1)-INDEX($F$4:$N$4,0,AL$110))+AK121)))</f>
        <v>31.366503660550933</v>
      </c>
      <c r="AM121" s="186" cm="1">
        <f t="array" ref="AM121">IF(AM$110=-1,AN121,IF(AM$110=99,AL121,IF(AM$110=0,INDEX($F102:$N102,0,AM$108),(INDEX($F102:$N102,0,AM$110+1)-INDEX($F102:$N102,0,AM$110))/(INDEX($F$4:$N$4,0,AM$110+1)-INDEX($F$4:$N$4,0,AM$110))+AL121)))</f>
        <v>31.953069902492349</v>
      </c>
      <c r="AN121" s="186" cm="1">
        <f t="array" ref="AN121">IF(AN$110=-1,AO121,IF(AN$110=99,AM121,IF(AN$110=0,INDEX($F102:$N102,0,AN$108),(INDEX($F102:$N102,0,AN$110+1)-INDEX($F102:$N102,0,AN$110))/(INDEX($F$4:$N$4,0,AN$110+1)-INDEX($F$4:$N$4,0,AN$110))+AM121)))</f>
        <v>32.539636144433764</v>
      </c>
      <c r="AO121" s="186" cm="1">
        <f t="array" ref="AO121">IF(AO$110=-1,AP121,IF(AO$110=99,AN121,IF(AO$110=0,INDEX($F102:$N102,0,AO$108),(INDEX($F102:$N102,0,AO$110+1)-INDEX($F102:$N102,0,AO$110))/(INDEX($F$4:$N$4,0,AO$110+1)-INDEX($F$4:$N$4,0,AO$110))+AN121)))</f>
        <v>33.126202386375169</v>
      </c>
      <c r="AP121" s="186" cm="1">
        <f t="array" ref="AP121">IF(AP$110=-1,AQ121,IF(AP$110=99,AO121,IF(AP$110=0,INDEX($F102:$N102,0,AP$108),(INDEX($F102:$N102,0,AP$110+1)-INDEX($F102:$N102,0,AP$110))/(INDEX($F$4:$N$4,0,AP$110+1)-INDEX($F$4:$N$4,0,AP$110))+AO121)))</f>
        <v>33.902978942122395</v>
      </c>
      <c r="AQ121" s="186" cm="1">
        <f t="array" ref="AQ121">IF(AQ$110=-1,AR121,IF(AQ$110=99,AP121,IF(AQ$110=0,INDEX($F102:$N102,0,AQ$108),(INDEX($F102:$N102,0,AQ$110+1)-INDEX($F102:$N102,0,AQ$110))/(INDEX($F$4:$N$4,0,AQ$110+1)-INDEX($F$4:$N$4,0,AQ$110))+AP121)))</f>
        <v>34.679755497869621</v>
      </c>
      <c r="AR121" s="186" cm="1">
        <f t="array" ref="AR121">IF(AR$110=-1,AS121,IF(AR$110=99,AQ121,IF(AR$110=0,INDEX($F102:$N102,0,AR$108),(INDEX($F102:$N102,0,AR$110+1)-INDEX($F102:$N102,0,AR$110))/(INDEX($F$4:$N$4,0,AR$110+1)-INDEX($F$4:$N$4,0,AR$110))+AQ121)))</f>
        <v>35.456532053616847</v>
      </c>
      <c r="AS121" s="186" cm="1">
        <f t="array" ref="AS121">IF(AS$110=-1,AT121,IF(AS$110=99,AR121,IF(AS$110=0,INDEX($F102:$N102,0,AS$108),(INDEX($F102:$N102,0,AS$110+1)-INDEX($F102:$N102,0,AS$110))/(INDEX($F$4:$N$4,0,AS$110+1)-INDEX($F$4:$N$4,0,AS$110))+AR121)))</f>
        <v>36.233308609364073</v>
      </c>
      <c r="AT121" s="186" cm="1">
        <f t="array" ref="AT121">IF(AT$110=-1,AU121,IF(AT$110=99,AS121,IF(AT$110=0,INDEX($F102:$N102,0,AT$108),(INDEX($F102:$N102,0,AT$110+1)-INDEX($F102:$N102,0,AT$110))/(INDEX($F$4:$N$4,0,AT$110+1)-INDEX($F$4:$N$4,0,AT$110))+AS121)))</f>
        <v>37.010085165111299</v>
      </c>
      <c r="AU121" s="186" cm="1">
        <f t="array" ref="AU121">IF(AU$110=-1,AV121,IF(AU$110=99,AT121,IF(AU$110=0,INDEX($F102:$N102,0,AU$108),(INDEX($F102:$N102,0,AU$110+1)-INDEX($F102:$N102,0,AU$110))/(INDEX($F$4:$N$4,0,AU$110+1)-INDEX($F$4:$N$4,0,AU$110))+AT121)))</f>
        <v>37.786861720858525</v>
      </c>
      <c r="AV121" s="186" cm="1">
        <f t="array" ref="AV121">IF(AV$110=-1,AW121,IF(AV$110=99,AU121,IF(AV$110=0,INDEX($F102:$N102,0,AV$108),(INDEX($F102:$N102,0,AV$110+1)-INDEX($F102:$N102,0,AV$110))/(INDEX($F$4:$N$4,0,AV$110+1)-INDEX($F$4:$N$4,0,AV$110))+AU121)))</f>
        <v>38.563638276605751</v>
      </c>
      <c r="AW121" s="186" cm="1">
        <f t="array" ref="AW121">IF(AW$110=-1,AX121,IF(AW$110=99,AV121,IF(AW$110=0,INDEX($F102:$N102,0,AW$108),(INDEX($F102:$N102,0,AW$110+1)-INDEX($F102:$N102,0,AW$110))/(INDEX($F$4:$N$4,0,AW$110+1)-INDEX($F$4:$N$4,0,AW$110))+AV121)))</f>
        <v>39.340414832352977</v>
      </c>
      <c r="AX121" s="186" cm="1">
        <f t="array" ref="AX121">IF(AX$110=-1,AY121,IF(AX$110=99,AW121,IF(AX$110=0,INDEX($F102:$N102,0,AX$108),(INDEX($F102:$N102,0,AX$110+1)-INDEX($F102:$N102,0,AX$110))/(INDEX($F$4:$N$4,0,AX$110+1)-INDEX($F$4:$N$4,0,AX$110))+AW121)))</f>
        <v>40.117191388100203</v>
      </c>
      <c r="AY121" s="186" cm="1">
        <f t="array" ref="AY121">IF(AY$110=-1,AZ121,IF(AY$110=99,AX121,IF(AY$110=0,INDEX($F102:$N102,0,AY$108),(INDEX($F102:$N102,0,AY$110+1)-INDEX($F102:$N102,0,AY$110))/(INDEX($F$4:$N$4,0,AY$110+1)-INDEX($F$4:$N$4,0,AY$110))+AX121)))</f>
        <v>40.89396794384745</v>
      </c>
      <c r="AZ121" s="186" cm="1">
        <f t="array" ref="AZ121">IF(AZ$110=-1,BA121,IF(AZ$110=99,AY121,IF(AZ$110=0,INDEX($F102:$N102,0,AZ$108),(INDEX($F102:$N102,0,AZ$110+1)-INDEX($F102:$N102,0,AZ$110))/(INDEX($F$4:$N$4,0,AZ$110+1)-INDEX($F$4:$N$4,0,AZ$110))+AY121)))</f>
        <v>40.89396794384745</v>
      </c>
      <c r="BA121" s="186" cm="1">
        <f t="array" ref="BA121">IF(BA$110=-1,BB121,IF(BA$110=99,AZ121,IF(BA$110=0,INDEX($F102:$N102,0,BA$108),(INDEX($F102:$N102,0,BA$110+1)-INDEX($F102:$N102,0,BA$110))/(INDEX($F$4:$N$4,0,BA$110+1)-INDEX($F$4:$N$4,0,BA$110))+AZ121)))</f>
        <v>40.89396794384745</v>
      </c>
    </row>
    <row r="122" spans="1:53">
      <c r="A122" s="116" t="s">
        <v>16</v>
      </c>
      <c r="B122" s="22" t="str">
        <f t="shared" si="216"/>
        <v/>
      </c>
      <c r="C122" s="23" t="str">
        <f t="shared" si="217"/>
        <v/>
      </c>
      <c r="D122" s="57" t="str">
        <f>ITEMS_TRA!C26</f>
        <v>TFROT</v>
      </c>
      <c r="E122" s="23" t="str">
        <f t="shared" si="218"/>
        <v/>
      </c>
      <c r="H122" s="23" t="str">
        <f t="shared" si="218"/>
        <v/>
      </c>
      <c r="J122" s="23" t="str">
        <f t="shared" si="218"/>
        <v/>
      </c>
      <c r="K122" s="23" t="str">
        <f t="shared" si="218"/>
        <v/>
      </c>
      <c r="L122" s="125" t="str">
        <f t="shared" si="219"/>
        <v/>
      </c>
      <c r="M122" s="186">
        <f>INDEX('[2]TS BYDem'!J$10:J$59,MATCH($D122,'[2]TS BYDem'!D$10:D$59,0))</f>
        <v>25.1</v>
      </c>
      <c r="N122" s="186" cm="1">
        <f t="array" ref="N122">IF(N$110=-1,O122,IF(N$110=99,M122,IF(N$110=0,INDEX($F103:$N103,0,N$108),(INDEX($F103:$N103,0,N$110+1)-INDEX($F103:$N103,0,N$110))/(INDEX($F$4:$N$4,0,N$110+1)-INDEX($F$4:$N$4,0,N$110))+M122)))</f>
        <v>25.550055726606203</v>
      </c>
      <c r="O122" s="186" cm="1">
        <f t="array" ref="O122">IF(O$110=-1,P122,IF(O$110=99,N122,IF(O$110=0,INDEX($F103:$N103,0,O$108),(INDEX($F103:$N103,0,O$110+1)-INDEX($F103:$N103,0,O$110))/(INDEX($F$4:$N$4,0,O$110+1)-INDEX($F$4:$N$4,0,O$110))+N122)))</f>
        <v>26.000111453212405</v>
      </c>
      <c r="P122" s="186" cm="1">
        <f t="array" ref="P122">IF(P$110=-1,Q122,IF(P$110=99,O122,IF(P$110=0,INDEX($F103:$N103,0,P$108),(INDEX($F103:$N103,0,P$110+1)-INDEX($F103:$N103,0,P$110))/(INDEX($F$4:$N$4,0,P$110+1)-INDEX($F$4:$N$4,0,P$110))+O122)))</f>
        <v>26.450167179818607</v>
      </c>
      <c r="Q122" s="186" cm="1">
        <f t="array" ref="Q122">IF(Q$110=-1,R122,IF(Q$110=99,P122,IF(Q$110=0,INDEX($F103:$N103,0,Q$108),(INDEX($F103:$N103,0,Q$110+1)-INDEX($F103:$N103,0,Q$110))/(INDEX($F$4:$N$4,0,Q$110+1)-INDEX($F$4:$N$4,0,Q$110))+P122)))</f>
        <v>26.693366529665273</v>
      </c>
      <c r="R122" s="186" cm="1">
        <f t="array" ref="R122">IF(R$110=-1,S122,IF(R$110=99,Q122,IF(R$110=0,INDEX($F103:$N103,0,R$108),(INDEX($F103:$N103,0,R$110+1)-INDEX($F103:$N103,0,R$110))/(INDEX($F$4:$N$4,0,R$110+1)-INDEX($F$4:$N$4,0,R$110))+Q122)))</f>
        <v>26.936565879511939</v>
      </c>
      <c r="S122" s="186" cm="1">
        <f t="array" ref="S122">IF(S$110=-1,T122,IF(S$110=99,R122,IF(S$110=0,INDEX($F103:$N103,0,S$108),(INDEX($F103:$N103,0,S$110+1)-INDEX($F103:$N103,0,S$110))/(INDEX($F$4:$N$4,0,S$110+1)-INDEX($F$4:$N$4,0,S$110))+R122)))</f>
        <v>27.104212657960581</v>
      </c>
      <c r="T122" s="186" cm="1">
        <f t="array" ref="T122">IF(T$110=-1,U122,IF(T$110=99,S122,IF(T$110=0,INDEX($F103:$N103,0,T$108),(INDEX($F103:$N103,0,T$110+1)-INDEX($F103:$N103,0,T$110))/(INDEX($F$4:$N$4,0,T$110+1)-INDEX($F$4:$N$4,0,T$110))+S122)))</f>
        <v>27.271859436409219</v>
      </c>
      <c r="U122" s="186" cm="1">
        <f t="array" ref="U122">IF(U$110=-1,V122,IF(U$110=99,T122,IF(U$110=0,INDEX($F103:$N103,0,U$108),(INDEX($F103:$N103,0,U$110+1)-INDEX($F103:$N103,0,U$110))/(INDEX($F$4:$N$4,0,U$110+1)-INDEX($F$4:$N$4,0,U$110))+T122)))</f>
        <v>25.699947790546279</v>
      </c>
      <c r="V122" s="186" cm="1">
        <f t="array" ref="V122">IF(V$110=-1,W122,IF(V$110=99,U122,IF(V$110=0,INDEX($F103:$N103,0,V$108),(INDEX($F103:$N103,0,V$110+1)-INDEX($F103:$N103,0,V$110))/(INDEX($F$4:$N$4,0,V$110+1)-INDEX($F$4:$N$4,0,V$110))+U122)))</f>
        <v>26.12887643066572</v>
      </c>
      <c r="W122" s="186" cm="1">
        <f t="array" ref="W122">IF(W$110=-1,X122,IF(W$110=99,V122,IF(W$110=0,INDEX($F103:$N103,0,W$108),(INDEX($F103:$N103,0,W$110+1)-INDEX($F103:$N103,0,W$110))/(INDEX($F$4:$N$4,0,W$110+1)-INDEX($F$4:$N$4,0,W$110))+V122)))</f>
        <v>26.681423257413577</v>
      </c>
      <c r="X122" s="186" cm="1">
        <f t="array" ref="X122">IF(X$110=-1,Y122,IF(X$110=99,W122,IF(X$110=0,INDEX($F103:$N103,0,X$108),(INDEX($F103:$N103,0,X$110+1)-INDEX($F103:$N103,0,X$110))/(INDEX($F$4:$N$4,0,X$110+1)-INDEX($F$4:$N$4,0,X$110))+W122)))</f>
        <v>27.233970084161434</v>
      </c>
      <c r="Y122" s="186" cm="1">
        <f t="array" ref="Y122">IF(Y$110=-1,Z122,IF(Y$110=99,X122,IF(Y$110=0,INDEX($F103:$N103,0,Y$108),(INDEX($F103:$N103,0,Y$110+1)-INDEX($F103:$N103,0,Y$110))/(INDEX($F$4:$N$4,0,Y$110+1)-INDEX($F$4:$N$4,0,Y$110))+X122)))</f>
        <v>27.786516910909292</v>
      </c>
      <c r="Z122" s="186" cm="1">
        <f t="array" ref="Z122">IF(Z$110=-1,AA122,IF(Z$110=99,Y122,IF(Z$110=0,INDEX($F103:$N103,0,Z$108),(INDEX($F103:$N103,0,Z$110+1)-INDEX($F103:$N103,0,Z$110))/(INDEX($F$4:$N$4,0,Z$110+1)-INDEX($F$4:$N$4,0,Z$110))+Y122)))</f>
        <v>28.339063737657149</v>
      </c>
      <c r="AA122" s="186" cm="1">
        <f t="array" ref="AA122">IF(AA$110=-1,AB122,IF(AA$110=99,Z122,IF(AA$110=0,INDEX($F103:$N103,0,AA$108),(INDEX($F103:$N103,0,AA$110+1)-INDEX($F103:$N103,0,AA$110))/(INDEX($F$4:$N$4,0,AA$110+1)-INDEX($F$4:$N$4,0,AA$110))+Z122)))</f>
        <v>28.891610564405006</v>
      </c>
      <c r="AB122" s="186" cm="1">
        <f t="array" ref="AB122">IF(AB$110=-1,AC122,IF(AB$110=99,AA122,IF(AB$110=0,INDEX($F103:$N103,0,AB$108),(INDEX($F103:$N103,0,AB$110+1)-INDEX($F103:$N103,0,AB$110))/(INDEX($F$4:$N$4,0,AB$110+1)-INDEX($F$4:$N$4,0,AB$110))+AA122)))</f>
        <v>29.444157391152864</v>
      </c>
      <c r="AC122" s="186" cm="1">
        <f t="array" ref="AC122">IF(AC$110=-1,AD122,IF(AC$110=99,AB122,IF(AC$110=0,INDEX($F103:$N103,0,AC$108),(INDEX($F103:$N103,0,AC$110+1)-INDEX($F103:$N103,0,AC$110))/(INDEX($F$4:$N$4,0,AC$110+1)-INDEX($F$4:$N$4,0,AC$110))+AB122)))</f>
        <v>29.996704217900721</v>
      </c>
      <c r="AD122" s="186" cm="1">
        <f t="array" ref="AD122">IF(AD$110=-1,AE122,IF(AD$110=99,AC122,IF(AD$110=0,INDEX($F103:$N103,0,AD$108),(INDEX($F103:$N103,0,AD$110+1)-INDEX($F103:$N103,0,AD$110))/(INDEX($F$4:$N$4,0,AD$110+1)-INDEX($F$4:$N$4,0,AD$110))+AC122)))</f>
        <v>30.549251044648578</v>
      </c>
      <c r="AE122" s="186" cm="1">
        <f t="array" ref="AE122">IF(AE$110=-1,AF122,IF(AE$110=99,AD122,IF(AE$110=0,INDEX($F103:$N103,0,AE$108),(INDEX($F103:$N103,0,AE$110+1)-INDEX($F103:$N103,0,AE$110))/(INDEX($F$4:$N$4,0,AE$110+1)-INDEX($F$4:$N$4,0,AE$110))+AD122)))</f>
        <v>31.101797871396435</v>
      </c>
      <c r="AF122" s="186" cm="1">
        <f t="array" ref="AF122">IF(AF$110=-1,AG122,IF(AF$110=99,AE122,IF(AF$110=0,INDEX($F103:$N103,0,AF$108),(INDEX($F103:$N103,0,AF$110+1)-INDEX($F103:$N103,0,AF$110))/(INDEX($F$4:$N$4,0,AF$110+1)-INDEX($F$4:$N$4,0,AF$110))+AE122)))</f>
        <v>31.771016629247775</v>
      </c>
      <c r="AG122" s="186" cm="1">
        <f t="array" ref="AG122">IF(AG$110=-1,AH122,IF(AG$110=99,AF122,IF(AG$110=0,INDEX($F103:$N103,0,AG$108),(INDEX($F103:$N103,0,AG$110+1)-INDEX($F103:$N103,0,AG$110))/(INDEX($F$4:$N$4,0,AG$110+1)-INDEX($F$4:$N$4,0,AG$110))+AF122)))</f>
        <v>32.440235387099115</v>
      </c>
      <c r="AH122" s="186" cm="1">
        <f t="array" ref="AH122">IF(AH$110=-1,AI122,IF(AH$110=99,AG122,IF(AH$110=0,INDEX($F103:$N103,0,AH$108),(INDEX($F103:$N103,0,AH$110+1)-INDEX($F103:$N103,0,AH$110))/(INDEX($F$4:$N$4,0,AH$110+1)-INDEX($F$4:$N$4,0,AH$110))+AG122)))</f>
        <v>33.109454144950455</v>
      </c>
      <c r="AI122" s="186" cm="1">
        <f t="array" ref="AI122">IF(AI$110=-1,AJ122,IF(AI$110=99,AH122,IF(AI$110=0,INDEX($F103:$N103,0,AI$108),(INDEX($F103:$N103,0,AI$110+1)-INDEX($F103:$N103,0,AI$110))/(INDEX($F$4:$N$4,0,AI$110+1)-INDEX($F$4:$N$4,0,AI$110))+AH122)))</f>
        <v>33.778672902801794</v>
      </c>
      <c r="AJ122" s="186" cm="1">
        <f t="array" ref="AJ122">IF(AJ$110=-1,AK122,IF(AJ$110=99,AI122,IF(AJ$110=0,INDEX($F103:$N103,0,AJ$108),(INDEX($F103:$N103,0,AJ$110+1)-INDEX($F103:$N103,0,AJ$110))/(INDEX($F$4:$N$4,0,AJ$110+1)-INDEX($F$4:$N$4,0,AJ$110))+AI122)))</f>
        <v>34.447891660653134</v>
      </c>
      <c r="AK122" s="186" cm="1">
        <f t="array" ref="AK122">IF(AK$110=-1,AL122,IF(AK$110=99,AJ122,IF(AK$110=0,INDEX($F103:$N103,0,AK$108),(INDEX($F103:$N103,0,AK$110+1)-INDEX($F103:$N103,0,AK$110))/(INDEX($F$4:$N$4,0,AK$110+1)-INDEX($F$4:$N$4,0,AK$110))+AJ122)))</f>
        <v>35.117110418504474</v>
      </c>
      <c r="AL122" s="186" cm="1">
        <f t="array" ref="AL122">IF(AL$110=-1,AM122,IF(AL$110=99,AK122,IF(AL$110=0,INDEX($F103:$N103,0,AL$108),(INDEX($F103:$N103,0,AL$110+1)-INDEX($F103:$N103,0,AL$110))/(INDEX($F$4:$N$4,0,AL$110+1)-INDEX($F$4:$N$4,0,AL$110))+AK122)))</f>
        <v>35.786329176355814</v>
      </c>
      <c r="AM122" s="186" cm="1">
        <f t="array" ref="AM122">IF(AM$110=-1,AN122,IF(AM$110=99,AL122,IF(AM$110=0,INDEX($F103:$N103,0,AM$108),(INDEX($F103:$N103,0,AM$110+1)-INDEX($F103:$N103,0,AM$110))/(INDEX($F$4:$N$4,0,AM$110+1)-INDEX($F$4:$N$4,0,AM$110))+AL122)))</f>
        <v>36.455547934207154</v>
      </c>
      <c r="AN122" s="186" cm="1">
        <f t="array" ref="AN122">IF(AN$110=-1,AO122,IF(AN$110=99,AM122,IF(AN$110=0,INDEX($F103:$N103,0,AN$108),(INDEX($F103:$N103,0,AN$110+1)-INDEX($F103:$N103,0,AN$110))/(INDEX($F$4:$N$4,0,AN$110+1)-INDEX($F$4:$N$4,0,AN$110))+AM122)))</f>
        <v>37.124766692058493</v>
      </c>
      <c r="AO122" s="186" cm="1">
        <f t="array" ref="AO122">IF(AO$110=-1,AP122,IF(AO$110=99,AN122,IF(AO$110=0,INDEX($F103:$N103,0,AO$108),(INDEX($F103:$N103,0,AO$110+1)-INDEX($F103:$N103,0,AO$110))/(INDEX($F$4:$N$4,0,AO$110+1)-INDEX($F$4:$N$4,0,AO$110))+AN122)))</f>
        <v>37.79398544990984</v>
      </c>
      <c r="AP122" s="186" cm="1">
        <f t="array" ref="AP122">IF(AP$110=-1,AQ122,IF(AP$110=99,AO122,IF(AP$110=0,INDEX($F103:$N103,0,AP$108),(INDEX($F103:$N103,0,AP$110+1)-INDEX($F103:$N103,0,AP$110))/(INDEX($F$4:$N$4,0,AP$110+1)-INDEX($F$4:$N$4,0,AP$110))+AO122)))</f>
        <v>38.680216883966906</v>
      </c>
      <c r="AQ122" s="186" cm="1">
        <f t="array" ref="AQ122">IF(AQ$110=-1,AR122,IF(AQ$110=99,AP122,IF(AQ$110=0,INDEX($F103:$N103,0,AQ$108),(INDEX($F103:$N103,0,AQ$110+1)-INDEX($F103:$N103,0,AQ$110))/(INDEX($F$4:$N$4,0,AQ$110+1)-INDEX($F$4:$N$4,0,AQ$110))+AP122)))</f>
        <v>39.566448318023973</v>
      </c>
      <c r="AR122" s="186" cm="1">
        <f t="array" ref="AR122">IF(AR$110=-1,AS122,IF(AR$110=99,AQ122,IF(AR$110=0,INDEX($F103:$N103,0,AR$108),(INDEX($F103:$N103,0,AR$110+1)-INDEX($F103:$N103,0,AR$110))/(INDEX($F$4:$N$4,0,AR$110+1)-INDEX($F$4:$N$4,0,AR$110))+AQ122)))</f>
        <v>40.452679752081039</v>
      </c>
      <c r="AS122" s="186" cm="1">
        <f t="array" ref="AS122">IF(AS$110=-1,AT122,IF(AS$110=99,AR122,IF(AS$110=0,INDEX($F103:$N103,0,AS$108),(INDEX($F103:$N103,0,AS$110+1)-INDEX($F103:$N103,0,AS$110))/(INDEX($F$4:$N$4,0,AS$110+1)-INDEX($F$4:$N$4,0,AS$110))+AR122)))</f>
        <v>41.338911186138105</v>
      </c>
      <c r="AT122" s="186" cm="1">
        <f t="array" ref="AT122">IF(AT$110=-1,AU122,IF(AT$110=99,AS122,IF(AT$110=0,INDEX($F103:$N103,0,AT$108),(INDEX($F103:$N103,0,AT$110+1)-INDEX($F103:$N103,0,AT$110))/(INDEX($F$4:$N$4,0,AT$110+1)-INDEX($F$4:$N$4,0,AT$110))+AS122)))</f>
        <v>42.225142620195172</v>
      </c>
      <c r="AU122" s="186" cm="1">
        <f t="array" ref="AU122">IF(AU$110=-1,AV122,IF(AU$110=99,AT122,IF(AU$110=0,INDEX($F103:$N103,0,AU$108),(INDEX($F103:$N103,0,AU$110+1)-INDEX($F103:$N103,0,AU$110))/(INDEX($F$4:$N$4,0,AU$110+1)-INDEX($F$4:$N$4,0,AU$110))+AT122)))</f>
        <v>43.111374054252238</v>
      </c>
      <c r="AV122" s="186" cm="1">
        <f t="array" ref="AV122">IF(AV$110=-1,AW122,IF(AV$110=99,AU122,IF(AV$110=0,INDEX($F103:$N103,0,AV$108),(INDEX($F103:$N103,0,AV$110+1)-INDEX($F103:$N103,0,AV$110))/(INDEX($F$4:$N$4,0,AV$110+1)-INDEX($F$4:$N$4,0,AV$110))+AU122)))</f>
        <v>43.997605488309304</v>
      </c>
      <c r="AW122" s="186" cm="1">
        <f t="array" ref="AW122">IF(AW$110=-1,AX122,IF(AW$110=99,AV122,IF(AW$110=0,INDEX($F103:$N103,0,AW$108),(INDEX($F103:$N103,0,AW$110+1)-INDEX($F103:$N103,0,AW$110))/(INDEX($F$4:$N$4,0,AW$110+1)-INDEX($F$4:$N$4,0,AW$110))+AV122)))</f>
        <v>44.88383692236637</v>
      </c>
      <c r="AX122" s="186" cm="1">
        <f t="array" ref="AX122">IF(AX$110=-1,AY122,IF(AX$110=99,AW122,IF(AX$110=0,INDEX($F103:$N103,0,AX$108),(INDEX($F103:$N103,0,AX$110+1)-INDEX($F103:$N103,0,AX$110))/(INDEX($F$4:$N$4,0,AX$110+1)-INDEX($F$4:$N$4,0,AX$110))+AW122)))</f>
        <v>45.770068356423437</v>
      </c>
      <c r="AY122" s="186" cm="1">
        <f t="array" ref="AY122">IF(AY$110=-1,AZ122,IF(AY$110=99,AX122,IF(AY$110=0,INDEX($F103:$N103,0,AY$108),(INDEX($F103:$N103,0,AY$110+1)-INDEX($F103:$N103,0,AY$110))/(INDEX($F$4:$N$4,0,AY$110+1)-INDEX($F$4:$N$4,0,AY$110))+AX122)))</f>
        <v>46.656299790480489</v>
      </c>
      <c r="AZ122" s="186" cm="1">
        <f t="array" ref="AZ122">IF(AZ$110=-1,BA122,IF(AZ$110=99,AY122,IF(AZ$110=0,INDEX($F103:$N103,0,AZ$108),(INDEX($F103:$N103,0,AZ$110+1)-INDEX($F103:$N103,0,AZ$110))/(INDEX($F$4:$N$4,0,AZ$110+1)-INDEX($F$4:$N$4,0,AZ$110))+AY122)))</f>
        <v>46.656299790480489</v>
      </c>
      <c r="BA122" s="186" cm="1">
        <f t="array" ref="BA122">IF(BA$110=-1,BB122,IF(BA$110=99,AZ122,IF(BA$110=0,INDEX($F103:$N103,0,BA$108),(INDEX($F103:$N103,0,BA$110+1)-INDEX($F103:$N103,0,BA$110))/(INDEX($F$4:$N$4,0,BA$110+1)-INDEX($F$4:$N$4,0,BA$110))+AZ122)))</f>
        <v>46.656299790480489</v>
      </c>
    </row>
    <row r="123" spans="1:53">
      <c r="A123" s="40" t="s">
        <v>16</v>
      </c>
      <c r="B123" s="22" t="str">
        <f t="shared" si="216"/>
        <v/>
      </c>
      <c r="C123" s="124" t="str">
        <f t="shared" si="217"/>
        <v/>
      </c>
      <c r="D123" s="57" t="str">
        <f>ITEMS_TRA!C27</f>
        <v>TFREX</v>
      </c>
      <c r="E123" s="124" t="str">
        <f t="shared" si="218"/>
        <v/>
      </c>
      <c r="H123" s="124" t="str">
        <f t="shared" si="218"/>
        <v/>
      </c>
      <c r="J123" s="124" t="str">
        <f t="shared" si="218"/>
        <v/>
      </c>
      <c r="K123" s="124" t="str">
        <f t="shared" si="218"/>
        <v/>
      </c>
      <c r="L123" s="125" t="str">
        <f t="shared" si="219"/>
        <v/>
      </c>
      <c r="M123" s="186">
        <f>INDEX('[2]TS BYDem'!J$10:J$59,MATCH($D123,'[2]TS BYDem'!D$10:D$59,0))</f>
        <v>82</v>
      </c>
      <c r="N123" s="186" cm="1">
        <f t="array" ref="N123">IF(N$110=-1,O123,IF(N$110=99,M123,IF(N$110=0,INDEX($F104:$N104,0,N$108),(INDEX($F104:$N104,0,N$110+1)-INDEX($F104:$N104,0,N$110))/(INDEX($F$4:$N$4,0,N$110+1)-INDEX($F$4:$N$4,0,N$110))+M123)))</f>
        <v>82</v>
      </c>
      <c r="O123" s="186" cm="1">
        <f t="array" ref="O123">IF(O$110=-1,P123,IF(O$110=99,N123,IF(O$110=0,INDEX($F104:$N104,0,O$108),(INDEX($F104:$N104,0,O$110+1)-INDEX($F104:$N104,0,O$110))/(INDEX($F$4:$N$4,0,O$110+1)-INDEX($F$4:$N$4,0,O$110))+N123)))</f>
        <v>82</v>
      </c>
      <c r="P123" s="186" cm="1">
        <f t="array" ref="P123">IF(P$110=-1,Q123,IF(P$110=99,O123,IF(P$110=0,INDEX($F104:$N104,0,P$108),(INDEX($F104:$N104,0,P$110+1)-INDEX($F104:$N104,0,P$110))/(INDEX($F$4:$N$4,0,P$110+1)-INDEX($F$4:$N$4,0,P$110))+O123)))</f>
        <v>82</v>
      </c>
      <c r="Q123" s="186" cm="1">
        <f t="array" ref="Q123">IF(Q$110=-1,R123,IF(Q$110=99,P123,IF(Q$110=0,INDEX($F104:$N104,0,Q$108),(INDEX($F104:$N104,0,Q$110+1)-INDEX($F104:$N104,0,Q$110))/(INDEX($F$4:$N$4,0,Q$110+1)-INDEX($F$4:$N$4,0,Q$110))+P123)))</f>
        <v>82</v>
      </c>
      <c r="R123" s="186" cm="1">
        <f t="array" ref="R123">IF(R$110=-1,S123,IF(R$110=99,Q123,IF(R$110=0,INDEX($F104:$N104,0,R$108),(INDEX($F104:$N104,0,R$110+1)-INDEX($F104:$N104,0,R$110))/(INDEX($F$4:$N$4,0,R$110+1)-INDEX($F$4:$N$4,0,R$110))+Q123)))</f>
        <v>82</v>
      </c>
      <c r="S123" s="186" cm="1">
        <f t="array" ref="S123">IF(S$110=-1,T123,IF(S$110=99,R123,IF(S$110=0,INDEX($F104:$N104,0,S$108),(INDEX($F104:$N104,0,S$110+1)-INDEX($F104:$N104,0,S$110))/(INDEX($F$4:$N$4,0,S$110+1)-INDEX($F$4:$N$4,0,S$110))+R123)))</f>
        <v>84.018400836522261</v>
      </c>
      <c r="T123" s="186" cm="1">
        <f t="array" ref="T123">IF(T$110=-1,U123,IF(T$110=99,S123,IF(T$110=0,INDEX($F104:$N104,0,T$108),(INDEX($F104:$N104,0,T$110+1)-INDEX($F104:$N104,0,T$110))/(INDEX($F$4:$N$4,0,T$110+1)-INDEX($F$4:$N$4,0,T$110))+S123)))</f>
        <v>86.036801673044508</v>
      </c>
      <c r="U123" s="186" cm="1">
        <f t="array" ref="U123">IF(U$110=-1,V123,IF(U$110=99,T123,IF(U$110=0,INDEX($F104:$N104,0,U$108),(INDEX($F104:$N104,0,U$110+1)-INDEX($F104:$N104,0,U$110))/(INDEX($F$4:$N$4,0,U$110+1)-INDEX($F$4:$N$4,0,U$110))+T123)))</f>
        <v>76.525600127976475</v>
      </c>
      <c r="V123" s="186" cm="1">
        <f t="array" ref="V123">IF(V$110=-1,W123,IF(V$110=99,U123,IF(V$110=0,INDEX($F104:$N104,0,V$108),(INDEX($F104:$N104,0,V$110+1)-INDEX($F104:$N104,0,V$110))/(INDEX($F$4:$N$4,0,V$110+1)-INDEX($F$4:$N$4,0,V$110))+U123)))</f>
        <v>81.331040777374611</v>
      </c>
      <c r="W123" s="186" cm="1">
        <f t="array" ref="W123">IF(W$110=-1,X123,IF(W$110=99,V123,IF(W$110=0,INDEX($F104:$N104,0,W$108),(INDEX($F104:$N104,0,W$110+1)-INDEX($F104:$N104,0,W$110))/(INDEX($F$4:$N$4,0,W$110+1)-INDEX($F$4:$N$4,0,W$110))+V123)))</f>
        <v>82.062170075963863</v>
      </c>
      <c r="X123" s="186" cm="1">
        <f t="array" ref="X123">IF(X$110=-1,Y123,IF(X$110=99,W123,IF(X$110=0,INDEX($F104:$N104,0,X$108),(INDEX($F104:$N104,0,X$110+1)-INDEX($F104:$N104,0,X$110))/(INDEX($F$4:$N$4,0,X$110+1)-INDEX($F$4:$N$4,0,X$110))+W123)))</f>
        <v>82.793299374553115</v>
      </c>
      <c r="Y123" s="186" cm="1">
        <f t="array" ref="Y123">IF(Y$110=-1,Z123,IF(Y$110=99,X123,IF(Y$110=0,INDEX($F104:$N104,0,Y$108),(INDEX($F104:$N104,0,Y$110+1)-INDEX($F104:$N104,0,Y$110))/(INDEX($F$4:$N$4,0,Y$110+1)-INDEX($F$4:$N$4,0,Y$110))+X123)))</f>
        <v>83.524428673142367</v>
      </c>
      <c r="Z123" s="186" cm="1">
        <f t="array" ref="Z123">IF(Z$110=-1,AA123,IF(Z$110=99,Y123,IF(Z$110=0,INDEX($F104:$N104,0,Z$108),(INDEX($F104:$N104,0,Z$110+1)-INDEX($F104:$N104,0,Z$110))/(INDEX($F$4:$N$4,0,Z$110+1)-INDEX($F$4:$N$4,0,Z$110))+Y123)))</f>
        <v>84.255557971731619</v>
      </c>
      <c r="AA123" s="186" cm="1">
        <f t="array" ref="AA123">IF(AA$110=-1,AB123,IF(AA$110=99,Z123,IF(AA$110=0,INDEX($F104:$N104,0,AA$108),(INDEX($F104:$N104,0,AA$110+1)-INDEX($F104:$N104,0,AA$110))/(INDEX($F$4:$N$4,0,AA$110+1)-INDEX($F$4:$N$4,0,AA$110))+Z123)))</f>
        <v>84.986687270320871</v>
      </c>
      <c r="AB123" s="186" cm="1">
        <f t="array" ref="AB123">IF(AB$110=-1,AC123,IF(AB$110=99,AA123,IF(AB$110=0,INDEX($F104:$N104,0,AB$108),(INDEX($F104:$N104,0,AB$110+1)-INDEX($F104:$N104,0,AB$110))/(INDEX($F$4:$N$4,0,AB$110+1)-INDEX($F$4:$N$4,0,AB$110))+AA123)))</f>
        <v>85.717816568910123</v>
      </c>
      <c r="AC123" s="186" cm="1">
        <f t="array" ref="AC123">IF(AC$110=-1,AD123,IF(AC$110=99,AB123,IF(AC$110=0,INDEX($F104:$N104,0,AC$108),(INDEX($F104:$N104,0,AC$110+1)-INDEX($F104:$N104,0,AC$110))/(INDEX($F$4:$N$4,0,AC$110+1)-INDEX($F$4:$N$4,0,AC$110))+AB123)))</f>
        <v>86.448945867499376</v>
      </c>
      <c r="AD123" s="186" cm="1">
        <f t="array" ref="AD123">IF(AD$110=-1,AE123,IF(AD$110=99,AC123,IF(AD$110=0,INDEX($F104:$N104,0,AD$108),(INDEX($F104:$N104,0,AD$110+1)-INDEX($F104:$N104,0,AD$110))/(INDEX($F$4:$N$4,0,AD$110+1)-INDEX($F$4:$N$4,0,AD$110))+AC123)))</f>
        <v>87.180075166088628</v>
      </c>
      <c r="AE123" s="186" cm="1">
        <f t="array" ref="AE123">IF(AE$110=-1,AF123,IF(AE$110=99,AD123,IF(AE$110=0,INDEX($F104:$N104,0,AE$108),(INDEX($F104:$N104,0,AE$110+1)-INDEX($F104:$N104,0,AE$110))/(INDEX($F$4:$N$4,0,AE$110+1)-INDEX($F$4:$N$4,0,AE$110))+AD123)))</f>
        <v>87.911204464677908</v>
      </c>
      <c r="AF123" s="186" cm="1">
        <f t="array" ref="AF123">IF(AF$110=-1,AG123,IF(AF$110=99,AE123,IF(AF$110=0,INDEX($F104:$N104,0,AF$108),(INDEX($F104:$N104,0,AF$110+1)-INDEX($F104:$N104,0,AF$110))/(INDEX($F$4:$N$4,0,AF$110+1)-INDEX($F$4:$N$4,0,AF$110))+AE123)))</f>
        <v>89.965956911277232</v>
      </c>
      <c r="AG123" s="186" cm="1">
        <f t="array" ref="AG123">IF(AG$110=-1,AH123,IF(AG$110=99,AF123,IF(AG$110=0,INDEX($F104:$N104,0,AG$108),(INDEX($F104:$N104,0,AG$110+1)-INDEX($F104:$N104,0,AG$110))/(INDEX($F$4:$N$4,0,AG$110+1)-INDEX($F$4:$N$4,0,AG$110))+AF123)))</f>
        <v>92.020709357876555</v>
      </c>
      <c r="AH123" s="186" cm="1">
        <f t="array" ref="AH123">IF(AH$110=-1,AI123,IF(AH$110=99,AG123,IF(AH$110=0,INDEX($F104:$N104,0,AH$108),(INDEX($F104:$N104,0,AH$110+1)-INDEX($F104:$N104,0,AH$110))/(INDEX($F$4:$N$4,0,AH$110+1)-INDEX($F$4:$N$4,0,AH$110))+AG123)))</f>
        <v>94.075461804475879</v>
      </c>
      <c r="AI123" s="186" cm="1">
        <f t="array" ref="AI123">IF(AI$110=-1,AJ123,IF(AI$110=99,AH123,IF(AI$110=0,INDEX($F104:$N104,0,AI$108),(INDEX($F104:$N104,0,AI$110+1)-INDEX($F104:$N104,0,AI$110))/(INDEX($F$4:$N$4,0,AI$110+1)-INDEX($F$4:$N$4,0,AI$110))+AH123)))</f>
        <v>96.130214251075202</v>
      </c>
      <c r="AJ123" s="186" cm="1">
        <f t="array" ref="AJ123">IF(AJ$110=-1,AK123,IF(AJ$110=99,AI123,IF(AJ$110=0,INDEX($F104:$N104,0,AJ$108),(INDEX($F104:$N104,0,AJ$110+1)-INDEX($F104:$N104,0,AJ$110))/(INDEX($F$4:$N$4,0,AJ$110+1)-INDEX($F$4:$N$4,0,AJ$110))+AI123)))</f>
        <v>98.184966697674525</v>
      </c>
      <c r="AK123" s="186" cm="1">
        <f t="array" ref="AK123">IF(AK$110=-1,AL123,IF(AK$110=99,AJ123,IF(AK$110=0,INDEX($F104:$N104,0,AK$108),(INDEX($F104:$N104,0,AK$110+1)-INDEX($F104:$N104,0,AK$110))/(INDEX($F$4:$N$4,0,AK$110+1)-INDEX($F$4:$N$4,0,AK$110))+AJ123)))</f>
        <v>100.23971914427385</v>
      </c>
      <c r="AL123" s="186" cm="1">
        <f t="array" ref="AL123">IF(AL$110=-1,AM123,IF(AL$110=99,AK123,IF(AL$110=0,INDEX($F104:$N104,0,AL$108),(INDEX($F104:$N104,0,AL$110+1)-INDEX($F104:$N104,0,AL$110))/(INDEX($F$4:$N$4,0,AL$110+1)-INDEX($F$4:$N$4,0,AL$110))+AK123)))</f>
        <v>102.29447159087317</v>
      </c>
      <c r="AM123" s="186" cm="1">
        <f t="array" ref="AM123">IF(AM$110=-1,AN123,IF(AM$110=99,AL123,IF(AM$110=0,INDEX($F104:$N104,0,AM$108),(INDEX($F104:$N104,0,AM$110+1)-INDEX($F104:$N104,0,AM$110))/(INDEX($F$4:$N$4,0,AM$110+1)-INDEX($F$4:$N$4,0,AM$110))+AL123)))</f>
        <v>104.3492240374725</v>
      </c>
      <c r="AN123" s="186" cm="1">
        <f t="array" ref="AN123">IF(AN$110=-1,AO123,IF(AN$110=99,AM123,IF(AN$110=0,INDEX($F104:$N104,0,AN$108),(INDEX($F104:$N104,0,AN$110+1)-INDEX($F104:$N104,0,AN$110))/(INDEX($F$4:$N$4,0,AN$110+1)-INDEX($F$4:$N$4,0,AN$110))+AM123)))</f>
        <v>106.40397648407182</v>
      </c>
      <c r="AO123" s="186" cm="1">
        <f t="array" ref="AO123">IF(AO$110=-1,AP123,IF(AO$110=99,AN123,IF(AO$110=0,INDEX($F104:$N104,0,AO$108),(INDEX($F104:$N104,0,AO$110+1)-INDEX($F104:$N104,0,AO$110))/(INDEX($F$4:$N$4,0,AO$110+1)-INDEX($F$4:$N$4,0,AO$110))+AN123)))</f>
        <v>108.4587289306711</v>
      </c>
      <c r="AP123" s="186" cm="1">
        <f t="array" ref="AP123">IF(AP$110=-1,AQ123,IF(AP$110=99,AO123,IF(AP$110=0,INDEX($F104:$N104,0,AP$108),(INDEX($F104:$N104,0,AP$110+1)-INDEX($F104:$N104,0,AP$110))/(INDEX($F$4:$N$4,0,AP$110+1)-INDEX($F$4:$N$4,0,AP$110))+AO123)))</f>
        <v>110.78219055126277</v>
      </c>
      <c r="AQ123" s="186" cm="1">
        <f t="array" ref="AQ123">IF(AQ$110=-1,AR123,IF(AQ$110=99,AP123,IF(AQ$110=0,INDEX($F104:$N104,0,AQ$108),(INDEX($F104:$N104,0,AQ$110+1)-INDEX($F104:$N104,0,AQ$110))/(INDEX($F$4:$N$4,0,AQ$110+1)-INDEX($F$4:$N$4,0,AQ$110))+AP123)))</f>
        <v>113.10565217185444</v>
      </c>
      <c r="AR123" s="186" cm="1">
        <f t="array" ref="AR123">IF(AR$110=-1,AS123,IF(AR$110=99,AQ123,IF(AR$110=0,INDEX($F104:$N104,0,AR$108),(INDEX($F104:$N104,0,AR$110+1)-INDEX($F104:$N104,0,AR$110))/(INDEX($F$4:$N$4,0,AR$110+1)-INDEX($F$4:$N$4,0,AR$110))+AQ123)))</f>
        <v>115.42911379244612</v>
      </c>
      <c r="AS123" s="186" cm="1">
        <f t="array" ref="AS123">IF(AS$110=-1,AT123,IF(AS$110=99,AR123,IF(AS$110=0,INDEX($F104:$N104,0,AS$108),(INDEX($F104:$N104,0,AS$110+1)-INDEX($F104:$N104,0,AS$110))/(INDEX($F$4:$N$4,0,AS$110+1)-INDEX($F$4:$N$4,0,AS$110))+AR123)))</f>
        <v>117.75257541303779</v>
      </c>
      <c r="AT123" s="186" cm="1">
        <f t="array" ref="AT123">IF(AT$110=-1,AU123,IF(AT$110=99,AS123,IF(AT$110=0,INDEX($F104:$N104,0,AT$108),(INDEX($F104:$N104,0,AT$110+1)-INDEX($F104:$N104,0,AT$110))/(INDEX($F$4:$N$4,0,AT$110+1)-INDEX($F$4:$N$4,0,AT$110))+AS123)))</f>
        <v>120.07603703362946</v>
      </c>
      <c r="AU123" s="186" cm="1">
        <f t="array" ref="AU123">IF(AU$110=-1,AV123,IF(AU$110=99,AT123,IF(AU$110=0,INDEX($F104:$N104,0,AU$108),(INDEX($F104:$N104,0,AU$110+1)-INDEX($F104:$N104,0,AU$110))/(INDEX($F$4:$N$4,0,AU$110+1)-INDEX($F$4:$N$4,0,AU$110))+AT123)))</f>
        <v>122.39949865422113</v>
      </c>
      <c r="AV123" s="186" cm="1">
        <f t="array" ref="AV123">IF(AV$110=-1,AW123,IF(AV$110=99,AU123,IF(AV$110=0,INDEX($F104:$N104,0,AV$108),(INDEX($F104:$N104,0,AV$110+1)-INDEX($F104:$N104,0,AV$110))/(INDEX($F$4:$N$4,0,AV$110+1)-INDEX($F$4:$N$4,0,AV$110))+AU123)))</f>
        <v>124.72296027481281</v>
      </c>
      <c r="AW123" s="186" cm="1">
        <f t="array" ref="AW123">IF(AW$110=-1,AX123,IF(AW$110=99,AV123,IF(AW$110=0,INDEX($F104:$N104,0,AW$108),(INDEX($F104:$N104,0,AW$110+1)-INDEX($F104:$N104,0,AW$110))/(INDEX($F$4:$N$4,0,AW$110+1)-INDEX($F$4:$N$4,0,AW$110))+AV123)))</f>
        <v>127.04642189540448</v>
      </c>
      <c r="AX123" s="186" cm="1">
        <f t="array" ref="AX123">IF(AX$110=-1,AY123,IF(AX$110=99,AW123,IF(AX$110=0,INDEX($F104:$N104,0,AX$108),(INDEX($F104:$N104,0,AX$110+1)-INDEX($F104:$N104,0,AX$110))/(INDEX($F$4:$N$4,0,AX$110+1)-INDEX($F$4:$N$4,0,AX$110))+AW123)))</f>
        <v>129.36988351599615</v>
      </c>
      <c r="AY123" s="186" cm="1">
        <f t="array" ref="AY123">IF(AY$110=-1,AZ123,IF(AY$110=99,AX123,IF(AY$110=0,INDEX($F104:$N104,0,AY$108),(INDEX($F104:$N104,0,AY$110+1)-INDEX($F104:$N104,0,AY$110))/(INDEX($F$4:$N$4,0,AY$110+1)-INDEX($F$4:$N$4,0,AY$110))+AX123)))</f>
        <v>131.69334513658779</v>
      </c>
      <c r="AZ123" s="186" cm="1">
        <f t="array" ref="AZ123">IF(AZ$110=-1,BA123,IF(AZ$110=99,AY123,IF(AZ$110=0,INDEX($F104:$N104,0,AZ$108),(INDEX($F104:$N104,0,AZ$110+1)-INDEX($F104:$N104,0,AZ$110))/(INDEX($F$4:$N$4,0,AZ$110+1)-INDEX($F$4:$N$4,0,AZ$110))+AY123)))</f>
        <v>131.69334513658779</v>
      </c>
      <c r="BA123" s="186" cm="1">
        <f t="array" ref="BA123">IF(BA$110=-1,BB123,IF(BA$110=99,AZ123,IF(BA$110=0,INDEX($F104:$N104,0,BA$108),(INDEX($F104:$N104,0,BA$110+1)-INDEX($F104:$N104,0,BA$110))/(INDEX($F$4:$N$4,0,BA$110+1)-INDEX($F$4:$N$4,0,BA$110))+AZ123)))</f>
        <v>131.69334513658779</v>
      </c>
    </row>
    <row r="124" spans="1:53">
      <c r="A124" s="187" t="s">
        <v>16</v>
      </c>
      <c r="B124" s="13"/>
      <c r="C124" s="13"/>
      <c r="D124" s="187"/>
      <c r="E124" s="187"/>
      <c r="F124" s="187"/>
      <c r="G124" s="187"/>
      <c r="H124" s="187"/>
      <c r="I124" s="187"/>
      <c r="J124" s="63"/>
      <c r="K124" s="63"/>
      <c r="L124" s="63"/>
      <c r="M124" s="63"/>
      <c r="N124" s="10"/>
      <c r="P124" s="10"/>
    </row>
    <row r="125" spans="1:53">
      <c r="A125" s="188" t="s">
        <v>16</v>
      </c>
      <c r="B125" s="13"/>
      <c r="C125" s="13"/>
      <c r="D125" s="187"/>
      <c r="E125" s="187"/>
      <c r="F125" s="187"/>
      <c r="G125" s="187"/>
      <c r="H125" s="63"/>
      <c r="I125" s="63"/>
      <c r="J125" s="63"/>
      <c r="K125" s="63"/>
      <c r="L125" s="63"/>
      <c r="M125" s="187"/>
      <c r="N125" s="10"/>
    </row>
    <row r="126" spans="1:53">
      <c r="A126" s="185" t="s">
        <v>16</v>
      </c>
      <c r="B126" s="186"/>
      <c r="C126" s="186"/>
      <c r="H126" s="10"/>
      <c r="I126" s="10"/>
      <c r="J126" s="10"/>
      <c r="K126" s="10"/>
      <c r="L126" s="10"/>
      <c r="N126" s="10"/>
    </row>
    <row r="127" spans="1:53" s="322" customFormat="1" ht="23.25">
      <c r="A127" s="114" t="s">
        <v>16</v>
      </c>
      <c r="B127" s="118" t="s">
        <v>19</v>
      </c>
      <c r="C127" s="118" t="s">
        <v>20</v>
      </c>
      <c r="D127" s="118" t="s">
        <v>21</v>
      </c>
      <c r="E127" s="118" t="s">
        <v>22</v>
      </c>
      <c r="F127" s="118" t="s">
        <v>23</v>
      </c>
      <c r="G127" s="118" t="s">
        <v>24</v>
      </c>
      <c r="H127" s="118" t="s">
        <v>614</v>
      </c>
      <c r="I127" s="118" t="s">
        <v>614</v>
      </c>
      <c r="J127" s="118" t="s">
        <v>644</v>
      </c>
      <c r="K127" s="119" t="s">
        <v>25</v>
      </c>
      <c r="L127" s="10"/>
      <c r="N127" s="10"/>
    </row>
    <row r="128" spans="1:53" s="322" customFormat="1">
      <c r="A128" s="114" t="s">
        <v>16</v>
      </c>
      <c r="B128" s="191">
        <v>1</v>
      </c>
      <c r="C128" s="191">
        <v>2012</v>
      </c>
      <c r="D128" s="191">
        <v>2015</v>
      </c>
      <c r="E128" s="191">
        <v>2017</v>
      </c>
      <c r="F128" s="191">
        <v>2019</v>
      </c>
      <c r="G128" s="191">
        <v>2020</v>
      </c>
      <c r="H128" s="191">
        <v>2021</v>
      </c>
      <c r="I128" s="191">
        <v>2030</v>
      </c>
      <c r="J128" s="191">
        <v>2040</v>
      </c>
      <c r="K128" s="236">
        <v>2050</v>
      </c>
      <c r="L128" s="10"/>
      <c r="N128" s="10"/>
    </row>
    <row r="129" spans="1:76" s="322" customFormat="1">
      <c r="A129" s="40" t="s">
        <v>16</v>
      </c>
      <c r="B129" s="185">
        <v>0</v>
      </c>
      <c r="C129" s="185" cm="1">
        <f t="array" ref="C129">INDEX($C128:$K128,0,COUNT($C128:$K128)-C130)</f>
        <v>2050</v>
      </c>
      <c r="D129" s="281" cm="1">
        <f t="array" ref="D129">INDEX($C128:$K128,0,COUNT($C128:$K128)-D130)</f>
        <v>2040</v>
      </c>
      <c r="E129" s="281" cm="1">
        <f t="array" ref="E129">INDEX($C128:$K128,0,COUNT($C128:$K128)-E130)</f>
        <v>2030</v>
      </c>
      <c r="F129" s="281" cm="1">
        <f t="array" ref="F129">INDEX($C128:$K128,0,COUNT($C128:$K128)-F130)</f>
        <v>2021</v>
      </c>
      <c r="G129" s="281" cm="1">
        <f t="array" ref="G129">INDEX($C128:$K128,0,COUNT($C128:$K128)-G130)</f>
        <v>2020</v>
      </c>
      <c r="H129" s="281" cm="1">
        <f t="array" ref="H129">INDEX($C128:$K128,0,COUNT($C128:$K128)-H130)</f>
        <v>2019</v>
      </c>
      <c r="I129" s="281" cm="1">
        <f t="array" ref="I129">INDEX($C128:$K128,0,COUNT($C128:$K128)-I130)</f>
        <v>2017</v>
      </c>
      <c r="J129" s="281" cm="1">
        <f t="array" ref="J129">INDEX($C128:$K128,0,COUNT($C128:$K128)-J130)</f>
        <v>2015</v>
      </c>
      <c r="K129" s="281" cm="1">
        <f t="array" ref="K129">INDEX($C128:$K128,0,COUNT($C128:$K128)-K130)</f>
        <v>2012</v>
      </c>
      <c r="L129" s="10"/>
      <c r="N129" s="10"/>
    </row>
    <row r="130" spans="1:76" s="322" customFormat="1">
      <c r="A130" s="40" t="s">
        <v>16</v>
      </c>
      <c r="B130" s="185">
        <v>-1</v>
      </c>
      <c r="C130" s="185">
        <v>0</v>
      </c>
      <c r="D130" s="281">
        <v>1</v>
      </c>
      <c r="E130" s="281">
        <v>2</v>
      </c>
      <c r="F130" s="281">
        <v>3</v>
      </c>
      <c r="G130" s="281">
        <v>4</v>
      </c>
      <c r="H130" s="281">
        <v>5</v>
      </c>
      <c r="I130" s="281">
        <v>6</v>
      </c>
      <c r="J130" s="281">
        <v>7</v>
      </c>
      <c r="K130" s="281">
        <v>8</v>
      </c>
      <c r="L130" s="10"/>
      <c r="N130" s="10"/>
    </row>
    <row r="131" spans="1:76" s="322" customFormat="1">
      <c r="A131" s="116" t="s">
        <v>16</v>
      </c>
      <c r="B131" s="117"/>
      <c r="C131" s="117"/>
      <c r="D131" s="117"/>
      <c r="E131" s="117"/>
      <c r="F131" s="117"/>
      <c r="G131" s="117"/>
      <c r="H131" s="117"/>
      <c r="I131" s="117"/>
      <c r="J131" s="117"/>
      <c r="K131" s="122"/>
      <c r="L131" s="10"/>
      <c r="N131" s="10"/>
    </row>
    <row r="132" spans="1:76">
      <c r="A132" s="323" t="s">
        <v>16</v>
      </c>
      <c r="J132" s="185">
        <v>2012</v>
      </c>
      <c r="K132" s="185">
        <v>2013</v>
      </c>
      <c r="L132" s="185">
        <v>2014</v>
      </c>
      <c r="M132" s="185">
        <v>2015</v>
      </c>
      <c r="N132" s="185">
        <v>2016</v>
      </c>
      <c r="O132" s="185">
        <v>2017</v>
      </c>
      <c r="P132" s="185">
        <v>2018</v>
      </c>
      <c r="Q132" s="185">
        <v>2019</v>
      </c>
      <c r="R132" s="185">
        <v>2020</v>
      </c>
      <c r="S132" s="185">
        <v>2021</v>
      </c>
      <c r="T132" s="185">
        <v>2022</v>
      </c>
      <c r="U132" s="185">
        <v>2023</v>
      </c>
      <c r="V132" s="185">
        <v>2024</v>
      </c>
      <c r="W132" s="185">
        <v>2025</v>
      </c>
      <c r="X132" s="185">
        <v>2026</v>
      </c>
      <c r="Y132" s="185">
        <v>2027</v>
      </c>
      <c r="Z132" s="185">
        <v>2028</v>
      </c>
      <c r="AA132" s="185">
        <v>2029</v>
      </c>
      <c r="AB132" s="185">
        <v>2030</v>
      </c>
      <c r="AC132" s="185">
        <v>2031</v>
      </c>
      <c r="AD132" s="185">
        <v>2032</v>
      </c>
      <c r="AE132" s="185">
        <v>2033</v>
      </c>
      <c r="AF132" s="185">
        <v>2034</v>
      </c>
      <c r="AG132" s="185">
        <v>2035</v>
      </c>
      <c r="AH132" s="185">
        <v>2036</v>
      </c>
      <c r="AI132" s="185">
        <v>2037</v>
      </c>
      <c r="AJ132" s="185">
        <v>2038</v>
      </c>
      <c r="AK132" s="185">
        <v>2039</v>
      </c>
      <c r="AL132" s="185">
        <v>2040</v>
      </c>
      <c r="AM132" s="185">
        <v>2045</v>
      </c>
      <c r="AN132" s="185">
        <v>2050</v>
      </c>
      <c r="AO132" s="185">
        <v>2060</v>
      </c>
      <c r="AP132" s="185">
        <v>2070</v>
      </c>
    </row>
    <row r="133" spans="1:76" s="191" customFormat="1">
      <c r="A133" s="191" t="s">
        <v>16</v>
      </c>
      <c r="J133" s="191">
        <f t="shared" ref="J133:AP133" si="220">MATCH(J$132,$C$128:$K$128,$B128)</f>
        <v>1</v>
      </c>
      <c r="K133" s="191">
        <f t="shared" si="220"/>
        <v>1</v>
      </c>
      <c r="L133" s="191">
        <f t="shared" si="220"/>
        <v>1</v>
      </c>
      <c r="M133" s="191">
        <f t="shared" si="220"/>
        <v>2</v>
      </c>
      <c r="N133" s="191">
        <f t="shared" si="220"/>
        <v>2</v>
      </c>
      <c r="O133" s="191">
        <f t="shared" si="220"/>
        <v>3</v>
      </c>
      <c r="P133" s="191">
        <f t="shared" si="220"/>
        <v>3</v>
      </c>
      <c r="Q133" s="191">
        <f t="shared" si="220"/>
        <v>4</v>
      </c>
      <c r="R133" s="191">
        <f t="shared" si="220"/>
        <v>5</v>
      </c>
      <c r="S133" s="191">
        <f t="shared" si="220"/>
        <v>6</v>
      </c>
      <c r="T133" s="191">
        <f t="shared" si="220"/>
        <v>6</v>
      </c>
      <c r="U133" s="191">
        <f t="shared" si="220"/>
        <v>6</v>
      </c>
      <c r="V133" s="191">
        <f t="shared" si="220"/>
        <v>6</v>
      </c>
      <c r="W133" s="191">
        <f t="shared" si="220"/>
        <v>6</v>
      </c>
      <c r="X133" s="191">
        <f t="shared" si="220"/>
        <v>6</v>
      </c>
      <c r="Y133" s="191">
        <f t="shared" si="220"/>
        <v>6</v>
      </c>
      <c r="Z133" s="191">
        <f t="shared" si="220"/>
        <v>6</v>
      </c>
      <c r="AA133" s="191">
        <f t="shared" si="220"/>
        <v>6</v>
      </c>
      <c r="AB133" s="191">
        <f t="shared" si="220"/>
        <v>7</v>
      </c>
      <c r="AC133" s="191">
        <f t="shared" si="220"/>
        <v>7</v>
      </c>
      <c r="AD133" s="191">
        <f t="shared" si="220"/>
        <v>7</v>
      </c>
      <c r="AE133" s="191">
        <f t="shared" si="220"/>
        <v>7</v>
      </c>
      <c r="AF133" s="191">
        <f t="shared" si="220"/>
        <v>7</v>
      </c>
      <c r="AG133" s="191">
        <f t="shared" si="220"/>
        <v>7</v>
      </c>
      <c r="AH133" s="191">
        <f t="shared" si="220"/>
        <v>7</v>
      </c>
      <c r="AI133" s="191">
        <f t="shared" si="220"/>
        <v>7</v>
      </c>
      <c r="AJ133" s="191">
        <f t="shared" si="220"/>
        <v>7</v>
      </c>
      <c r="AK133" s="191">
        <f t="shared" si="220"/>
        <v>7</v>
      </c>
      <c r="AL133" s="191">
        <f t="shared" si="220"/>
        <v>8</v>
      </c>
      <c r="AM133" s="191">
        <f t="shared" si="220"/>
        <v>8</v>
      </c>
      <c r="AN133" s="191">
        <f t="shared" si="220"/>
        <v>9</v>
      </c>
      <c r="AO133" s="191">
        <f t="shared" si="220"/>
        <v>9</v>
      </c>
      <c r="AP133" s="191">
        <f t="shared" si="220"/>
        <v>9</v>
      </c>
      <c r="AQ133" s="185"/>
      <c r="AR133" s="185"/>
      <c r="AS133" s="185"/>
      <c r="AT133" s="185"/>
      <c r="AU133" s="185"/>
      <c r="AV133" s="185"/>
      <c r="AW133" s="185"/>
      <c r="AX133" s="185"/>
      <c r="AY133" s="185"/>
      <c r="AZ133" s="185"/>
      <c r="BA133" s="185"/>
      <c r="BB133" s="185"/>
      <c r="BC133" s="185"/>
      <c r="BD133" s="185"/>
      <c r="BE133" s="185"/>
      <c r="BF133" s="185"/>
      <c r="BG133" s="185"/>
      <c r="BH133" s="185"/>
      <c r="BI133" s="185"/>
      <c r="BJ133" s="185"/>
      <c r="BK133" s="185"/>
      <c r="BL133" s="185"/>
      <c r="BM133" s="185"/>
      <c r="BN133" s="185"/>
      <c r="BO133" s="185"/>
      <c r="BP133" s="185"/>
      <c r="BQ133" s="185"/>
      <c r="BR133" s="185"/>
      <c r="BS133" s="185"/>
      <c r="BT133" s="185"/>
      <c r="BU133" s="185"/>
      <c r="BV133" s="185"/>
      <c r="BW133" s="185"/>
      <c r="BX133" s="185"/>
    </row>
    <row r="134" spans="1:76">
      <c r="A134" s="188" t="s">
        <v>16</v>
      </c>
      <c r="J134" s="40">
        <f t="shared" ref="J134:AP134" si="221">MATCH(J$132,$C$128:$K$128,$B129)</f>
        <v>1</v>
      </c>
      <c r="K134" s="185" t="e">
        <f t="shared" si="221"/>
        <v>#N/A</v>
      </c>
      <c r="L134" s="185" t="e">
        <f t="shared" si="221"/>
        <v>#N/A</v>
      </c>
      <c r="M134" s="185">
        <f t="shared" si="221"/>
        <v>2</v>
      </c>
      <c r="N134" s="185" t="e">
        <f t="shared" si="221"/>
        <v>#N/A</v>
      </c>
      <c r="O134" s="185">
        <f t="shared" si="221"/>
        <v>3</v>
      </c>
      <c r="P134" s="185" t="e">
        <f t="shared" si="221"/>
        <v>#N/A</v>
      </c>
      <c r="Q134" s="185">
        <f t="shared" si="221"/>
        <v>4</v>
      </c>
      <c r="R134" s="185">
        <f t="shared" si="221"/>
        <v>5</v>
      </c>
      <c r="S134" s="185">
        <f t="shared" si="221"/>
        <v>6</v>
      </c>
      <c r="T134" s="185" t="e">
        <f t="shared" si="221"/>
        <v>#N/A</v>
      </c>
      <c r="U134" s="185" t="e">
        <f t="shared" si="221"/>
        <v>#N/A</v>
      </c>
      <c r="V134" s="185" t="e">
        <f t="shared" si="221"/>
        <v>#N/A</v>
      </c>
      <c r="W134" s="185" t="e">
        <f t="shared" si="221"/>
        <v>#N/A</v>
      </c>
      <c r="X134" s="185" t="e">
        <f t="shared" si="221"/>
        <v>#N/A</v>
      </c>
      <c r="Y134" s="185" t="e">
        <f t="shared" si="221"/>
        <v>#N/A</v>
      </c>
      <c r="Z134" s="185" t="e">
        <f t="shared" si="221"/>
        <v>#N/A</v>
      </c>
      <c r="AA134" s="185" t="e">
        <f t="shared" si="221"/>
        <v>#N/A</v>
      </c>
      <c r="AB134" s="185">
        <f t="shared" si="221"/>
        <v>7</v>
      </c>
      <c r="AC134" s="185" t="e">
        <f t="shared" si="221"/>
        <v>#N/A</v>
      </c>
      <c r="AD134" s="185" t="e">
        <f t="shared" si="221"/>
        <v>#N/A</v>
      </c>
      <c r="AE134" s="185" t="e">
        <f t="shared" si="221"/>
        <v>#N/A</v>
      </c>
      <c r="AF134" s="185" t="e">
        <f t="shared" si="221"/>
        <v>#N/A</v>
      </c>
      <c r="AG134" s="185" t="e">
        <f t="shared" si="221"/>
        <v>#N/A</v>
      </c>
      <c r="AH134" s="185" t="e">
        <f t="shared" si="221"/>
        <v>#N/A</v>
      </c>
      <c r="AI134" s="185" t="e">
        <f t="shared" si="221"/>
        <v>#N/A</v>
      </c>
      <c r="AJ134" s="185" t="e">
        <f t="shared" si="221"/>
        <v>#N/A</v>
      </c>
      <c r="AK134" s="185" t="e">
        <f t="shared" si="221"/>
        <v>#N/A</v>
      </c>
      <c r="AL134" s="185">
        <f t="shared" si="221"/>
        <v>8</v>
      </c>
      <c r="AM134" s="185" t="e">
        <f t="shared" si="221"/>
        <v>#N/A</v>
      </c>
      <c r="AN134" s="185">
        <f t="shared" si="221"/>
        <v>9</v>
      </c>
      <c r="AO134" s="185" t="e">
        <f t="shared" si="221"/>
        <v>#N/A</v>
      </c>
      <c r="AP134" s="185" t="e">
        <f t="shared" si="221"/>
        <v>#N/A</v>
      </c>
    </row>
    <row r="135" spans="1:76">
      <c r="A135" s="188" t="s">
        <v>16</v>
      </c>
      <c r="J135" s="40">
        <f t="shared" ref="J135:AP135" si="222">MATCH(J$132,$C$129:$K$129,$B130)</f>
        <v>9</v>
      </c>
      <c r="K135" s="185">
        <f t="shared" si="222"/>
        <v>8</v>
      </c>
      <c r="L135" s="185">
        <f t="shared" si="222"/>
        <v>8</v>
      </c>
      <c r="M135" s="185">
        <f t="shared" si="222"/>
        <v>8</v>
      </c>
      <c r="N135" s="185">
        <f t="shared" si="222"/>
        <v>7</v>
      </c>
      <c r="O135" s="185">
        <f t="shared" si="222"/>
        <v>7</v>
      </c>
      <c r="P135" s="185">
        <f t="shared" si="222"/>
        <v>6</v>
      </c>
      <c r="Q135" s="185">
        <f t="shared" si="222"/>
        <v>6</v>
      </c>
      <c r="R135" s="185">
        <f t="shared" si="222"/>
        <v>5</v>
      </c>
      <c r="S135" s="185">
        <f t="shared" si="222"/>
        <v>4</v>
      </c>
      <c r="T135" s="185">
        <f t="shared" si="222"/>
        <v>3</v>
      </c>
      <c r="U135" s="185">
        <f t="shared" si="222"/>
        <v>3</v>
      </c>
      <c r="V135" s="185">
        <f t="shared" si="222"/>
        <v>3</v>
      </c>
      <c r="W135" s="185">
        <f t="shared" si="222"/>
        <v>3</v>
      </c>
      <c r="X135" s="185">
        <f t="shared" si="222"/>
        <v>3</v>
      </c>
      <c r="Y135" s="185">
        <f t="shared" si="222"/>
        <v>3</v>
      </c>
      <c r="Z135" s="185">
        <f t="shared" si="222"/>
        <v>3</v>
      </c>
      <c r="AA135" s="185">
        <f t="shared" si="222"/>
        <v>3</v>
      </c>
      <c r="AB135" s="185">
        <f t="shared" si="222"/>
        <v>3</v>
      </c>
      <c r="AC135" s="185">
        <f t="shared" si="222"/>
        <v>2</v>
      </c>
      <c r="AD135" s="185">
        <f t="shared" si="222"/>
        <v>2</v>
      </c>
      <c r="AE135" s="185">
        <f t="shared" si="222"/>
        <v>2</v>
      </c>
      <c r="AF135" s="185">
        <f t="shared" si="222"/>
        <v>2</v>
      </c>
      <c r="AG135" s="185">
        <f t="shared" si="222"/>
        <v>2</v>
      </c>
      <c r="AH135" s="185">
        <f t="shared" si="222"/>
        <v>2</v>
      </c>
      <c r="AI135" s="185">
        <f t="shared" si="222"/>
        <v>2</v>
      </c>
      <c r="AJ135" s="185">
        <f t="shared" si="222"/>
        <v>2</v>
      </c>
      <c r="AK135" s="185">
        <f t="shared" si="222"/>
        <v>2</v>
      </c>
      <c r="AL135" s="185">
        <f t="shared" si="222"/>
        <v>2</v>
      </c>
      <c r="AM135" s="185">
        <f t="shared" si="222"/>
        <v>1</v>
      </c>
      <c r="AN135" s="185">
        <f t="shared" si="222"/>
        <v>1</v>
      </c>
      <c r="AO135" s="185" t="e">
        <f t="shared" si="222"/>
        <v>#N/A</v>
      </c>
      <c r="AP135" s="185" t="e">
        <f t="shared" si="222"/>
        <v>#N/A</v>
      </c>
    </row>
    <row r="136" spans="1:76" s="117" customFormat="1">
      <c r="A136" s="117" t="s">
        <v>16</v>
      </c>
      <c r="J136" s="189">
        <f t="shared" ref="J136:AP136" si="223">IF(ISNA(J133),-1,IF(ISNA(J135),99,IF(ISNA(J134),J133,0)))</f>
        <v>0</v>
      </c>
      <c r="K136" s="189">
        <f t="shared" si="223"/>
        <v>1</v>
      </c>
      <c r="L136" s="189">
        <f t="shared" si="223"/>
        <v>1</v>
      </c>
      <c r="M136" s="189">
        <f t="shared" si="223"/>
        <v>0</v>
      </c>
      <c r="N136" s="189">
        <f t="shared" si="223"/>
        <v>2</v>
      </c>
      <c r="O136" s="189">
        <f t="shared" si="223"/>
        <v>0</v>
      </c>
      <c r="P136" s="189">
        <f t="shared" si="223"/>
        <v>3</v>
      </c>
      <c r="Q136" s="189">
        <f t="shared" si="223"/>
        <v>0</v>
      </c>
      <c r="R136" s="189">
        <f t="shared" si="223"/>
        <v>0</v>
      </c>
      <c r="S136" s="189">
        <f t="shared" si="223"/>
        <v>0</v>
      </c>
      <c r="T136" s="189">
        <f t="shared" si="223"/>
        <v>6</v>
      </c>
      <c r="U136" s="189">
        <f t="shared" si="223"/>
        <v>6</v>
      </c>
      <c r="V136" s="189">
        <f t="shared" si="223"/>
        <v>6</v>
      </c>
      <c r="W136" s="189">
        <f t="shared" si="223"/>
        <v>6</v>
      </c>
      <c r="X136" s="189">
        <f t="shared" si="223"/>
        <v>6</v>
      </c>
      <c r="Y136" s="189">
        <f t="shared" si="223"/>
        <v>6</v>
      </c>
      <c r="Z136" s="189">
        <f t="shared" si="223"/>
        <v>6</v>
      </c>
      <c r="AA136" s="189">
        <f t="shared" si="223"/>
        <v>6</v>
      </c>
      <c r="AB136" s="189">
        <f t="shared" si="223"/>
        <v>0</v>
      </c>
      <c r="AC136" s="189">
        <f t="shared" si="223"/>
        <v>7</v>
      </c>
      <c r="AD136" s="189">
        <f t="shared" si="223"/>
        <v>7</v>
      </c>
      <c r="AE136" s="189">
        <f t="shared" si="223"/>
        <v>7</v>
      </c>
      <c r="AF136" s="189">
        <f t="shared" si="223"/>
        <v>7</v>
      </c>
      <c r="AG136" s="189">
        <f t="shared" si="223"/>
        <v>7</v>
      </c>
      <c r="AH136" s="189">
        <f t="shared" si="223"/>
        <v>7</v>
      </c>
      <c r="AI136" s="189">
        <f t="shared" si="223"/>
        <v>7</v>
      </c>
      <c r="AJ136" s="189">
        <f t="shared" si="223"/>
        <v>7</v>
      </c>
      <c r="AK136" s="189">
        <f t="shared" si="223"/>
        <v>7</v>
      </c>
      <c r="AL136" s="189">
        <f t="shared" si="223"/>
        <v>0</v>
      </c>
      <c r="AM136" s="189">
        <f t="shared" si="223"/>
        <v>8</v>
      </c>
      <c r="AN136" s="189">
        <f t="shared" si="223"/>
        <v>0</v>
      </c>
      <c r="AO136" s="189">
        <f t="shared" si="223"/>
        <v>99</v>
      </c>
      <c r="AP136" s="189">
        <f t="shared" si="223"/>
        <v>99</v>
      </c>
      <c r="AQ136" s="185"/>
      <c r="AR136" s="185"/>
      <c r="AS136" s="185"/>
      <c r="AT136" s="185"/>
      <c r="AU136" s="185"/>
      <c r="AV136" s="185"/>
      <c r="AW136" s="185"/>
      <c r="AX136" s="185"/>
      <c r="AY136" s="185"/>
      <c r="AZ136" s="185"/>
      <c r="BA136" s="185"/>
      <c r="BB136" s="185"/>
      <c r="BC136" s="185"/>
      <c r="BD136" s="185"/>
      <c r="BE136" s="185"/>
      <c r="BF136" s="185"/>
      <c r="BG136" s="185"/>
      <c r="BH136" s="185"/>
      <c r="BI136" s="185"/>
      <c r="BJ136" s="185"/>
      <c r="BK136" s="185"/>
      <c r="BL136" s="185"/>
      <c r="BM136" s="185"/>
      <c r="BN136" s="185"/>
      <c r="BO136" s="185"/>
      <c r="BP136" s="185"/>
      <c r="BQ136" s="185"/>
      <c r="BR136" s="185"/>
      <c r="BS136" s="185"/>
      <c r="BT136" s="185"/>
      <c r="BU136" s="185"/>
      <c r="BV136" s="185"/>
      <c r="BW136" s="185"/>
      <c r="BX136" s="185"/>
    </row>
    <row r="137" spans="1:76">
      <c r="A137" s="40" t="s">
        <v>125</v>
      </c>
      <c r="B137" s="22" t="str">
        <f t="shared" ref="B137:B149" si="224">IF(A137="*","","COM_PROJ")</f>
        <v>COM_PROJ</v>
      </c>
      <c r="C137" s="23" t="str">
        <f t="shared" ref="C137:C149" si="225">IF($A137="*","","-")</f>
        <v>-</v>
      </c>
      <c r="D137" s="57" t="str">
        <f>ITEMS_TRA!C15</f>
        <v>TFLCV</v>
      </c>
      <c r="E137" s="23" t="str">
        <f t="shared" ref="E137:H149" si="226">IF($A137="*","","-")</f>
        <v>-</v>
      </c>
      <c r="F137" s="23" t="str">
        <f t="shared" si="226"/>
        <v>-</v>
      </c>
      <c r="G137" s="23" t="str">
        <f t="shared" si="226"/>
        <v>-</v>
      </c>
      <c r="H137" s="23" t="str">
        <f t="shared" si="226"/>
        <v>-</v>
      </c>
      <c r="I137" s="125">
        <f t="shared" ref="I137:I149" si="227">IF(A137="*","",0)</f>
        <v>0</v>
      </c>
      <c r="J137" s="186">
        <f t="shared" ref="J137:AP137" si="228">INDEX($M111:$BA111,MATCH(J$132,$M$106:$BA$106,0))</f>
        <v>43.510890756102256</v>
      </c>
      <c r="K137" s="186">
        <f t="shared" si="228"/>
        <v>44.189879061043555</v>
      </c>
      <c r="L137" s="186">
        <f t="shared" si="228"/>
        <v>44.868867365984855</v>
      </c>
      <c r="M137" s="186">
        <f t="shared" si="228"/>
        <v>45.547855670926104</v>
      </c>
      <c r="N137" s="186">
        <f t="shared" si="228"/>
        <v>46.566338128338053</v>
      </c>
      <c r="O137" s="186">
        <f t="shared" si="228"/>
        <v>47.584820585750002</v>
      </c>
      <c r="P137" s="186">
        <f t="shared" si="228"/>
        <v>47.880977189748478</v>
      </c>
      <c r="Q137" s="186">
        <f t="shared" si="228"/>
        <v>48.177133793746961</v>
      </c>
      <c r="R137" s="186">
        <f t="shared" si="228"/>
        <v>44.255958941812857</v>
      </c>
      <c r="S137" s="186">
        <f t="shared" si="228"/>
        <v>46.157995886407633</v>
      </c>
      <c r="T137" s="186">
        <f t="shared" si="228"/>
        <v>46.980227583643114</v>
      </c>
      <c r="U137" s="186">
        <f t="shared" si="228"/>
        <v>47.802459280878594</v>
      </c>
      <c r="V137" s="186">
        <f t="shared" si="228"/>
        <v>48.624690978114074</v>
      </c>
      <c r="W137" s="186">
        <f t="shared" si="228"/>
        <v>49.446922675349555</v>
      </c>
      <c r="X137" s="186">
        <f t="shared" si="228"/>
        <v>50.269154372585035</v>
      </c>
      <c r="Y137" s="186">
        <f t="shared" si="228"/>
        <v>51.091386069820516</v>
      </c>
      <c r="Z137" s="186">
        <f t="shared" si="228"/>
        <v>51.913617767055996</v>
      </c>
      <c r="AA137" s="186">
        <f t="shared" si="228"/>
        <v>52.735849464291476</v>
      </c>
      <c r="AB137" s="186">
        <f t="shared" si="228"/>
        <v>53.558081161526964</v>
      </c>
      <c r="AC137" s="186">
        <f t="shared" si="228"/>
        <v>54.710492758310615</v>
      </c>
      <c r="AD137" s="186">
        <f t="shared" si="228"/>
        <v>55.862904355094265</v>
      </c>
      <c r="AE137" s="186">
        <f t="shared" si="228"/>
        <v>57.015315951877916</v>
      </c>
      <c r="AF137" s="186">
        <f t="shared" si="228"/>
        <v>58.167727548661567</v>
      </c>
      <c r="AG137" s="186">
        <f t="shared" si="228"/>
        <v>59.320139145445218</v>
      </c>
      <c r="AH137" s="186">
        <f t="shared" si="228"/>
        <v>60.472550742228869</v>
      </c>
      <c r="AI137" s="186">
        <f t="shared" si="228"/>
        <v>61.624962339012519</v>
      </c>
      <c r="AJ137" s="186">
        <f t="shared" si="228"/>
        <v>62.77737393579617</v>
      </c>
      <c r="AK137" s="186">
        <f t="shared" si="228"/>
        <v>63.929785532579821</v>
      </c>
      <c r="AL137" s="186">
        <f t="shared" si="228"/>
        <v>65.082197129363479</v>
      </c>
      <c r="AM137" s="186">
        <f t="shared" si="228"/>
        <v>72.712761650004396</v>
      </c>
      <c r="AN137" s="186">
        <f t="shared" si="228"/>
        <v>80.343326170645369</v>
      </c>
      <c r="AO137" s="186">
        <f t="shared" si="228"/>
        <v>80.343326170645369</v>
      </c>
      <c r="AP137" s="186">
        <f t="shared" si="228"/>
        <v>80.343326170645369</v>
      </c>
    </row>
    <row r="138" spans="1:76">
      <c r="A138" s="40"/>
      <c r="B138" s="22" t="str">
        <f t="shared" si="224"/>
        <v>COM_PROJ</v>
      </c>
      <c r="C138" s="23" t="str">
        <f t="shared" si="225"/>
        <v>-</v>
      </c>
      <c r="D138" s="57" t="str">
        <f>ITEMS_TRA!C16</f>
        <v>TFHCV1</v>
      </c>
      <c r="E138" s="23" t="str">
        <f t="shared" si="226"/>
        <v>-</v>
      </c>
      <c r="F138" s="23" t="str">
        <f t="shared" si="226"/>
        <v>-</v>
      </c>
      <c r="G138" s="23" t="str">
        <f t="shared" si="226"/>
        <v>-</v>
      </c>
      <c r="H138" s="23" t="str">
        <f t="shared" si="226"/>
        <v>-</v>
      </c>
      <c r="I138" s="125">
        <f t="shared" si="227"/>
        <v>0</v>
      </c>
      <c r="J138" s="186">
        <f t="shared" ref="J138:AP138" si="229">INDEX($M112:$BA112,MATCH(J$132,$M$106:$BA$106,0))</f>
        <v>3.6611476956493059</v>
      </c>
      <c r="K138" s="186">
        <f t="shared" si="229"/>
        <v>3.6595361414986383</v>
      </c>
      <c r="L138" s="186">
        <f t="shared" si="229"/>
        <v>3.6579245873479707</v>
      </c>
      <c r="M138" s="186">
        <f t="shared" si="229"/>
        <v>3.6563130331972848</v>
      </c>
      <c r="N138" s="186">
        <f t="shared" si="229"/>
        <v>3.6538957019712837</v>
      </c>
      <c r="O138" s="186">
        <f t="shared" si="229"/>
        <v>3.6514783707452825</v>
      </c>
      <c r="P138" s="186">
        <f t="shared" si="229"/>
        <v>3.6742043035226284</v>
      </c>
      <c r="Q138" s="186">
        <f t="shared" si="229"/>
        <v>3.6969302362999743</v>
      </c>
      <c r="R138" s="186">
        <f t="shared" si="229"/>
        <v>3.4838443737120905</v>
      </c>
      <c r="S138" s="186">
        <f t="shared" si="229"/>
        <v>3.5419892634131425</v>
      </c>
      <c r="T138" s="186">
        <f t="shared" si="229"/>
        <v>3.6168916394516688</v>
      </c>
      <c r="U138" s="186">
        <f t="shared" si="229"/>
        <v>3.6917940154901951</v>
      </c>
      <c r="V138" s="186">
        <f t="shared" si="229"/>
        <v>3.7666963915287215</v>
      </c>
      <c r="W138" s="186">
        <f t="shared" si="229"/>
        <v>3.8415987675672478</v>
      </c>
      <c r="X138" s="186">
        <f t="shared" si="229"/>
        <v>3.9165011436057742</v>
      </c>
      <c r="Y138" s="186">
        <f t="shared" si="229"/>
        <v>3.9914035196443005</v>
      </c>
      <c r="Z138" s="186">
        <f t="shared" si="229"/>
        <v>4.0663058956828264</v>
      </c>
      <c r="AA138" s="186">
        <f t="shared" si="229"/>
        <v>4.1412082717213528</v>
      </c>
      <c r="AB138" s="186">
        <f t="shared" si="229"/>
        <v>4.2161106477598791</v>
      </c>
      <c r="AC138" s="186">
        <f t="shared" si="229"/>
        <v>4.3068288866965592</v>
      </c>
      <c r="AD138" s="186">
        <f t="shared" si="229"/>
        <v>4.3975471256332392</v>
      </c>
      <c r="AE138" s="186">
        <f t="shared" si="229"/>
        <v>4.4882653645699193</v>
      </c>
      <c r="AF138" s="186">
        <f t="shared" si="229"/>
        <v>4.5789836035065994</v>
      </c>
      <c r="AG138" s="186">
        <f t="shared" si="229"/>
        <v>4.6697018424432795</v>
      </c>
      <c r="AH138" s="186">
        <f t="shared" si="229"/>
        <v>4.7604200813799595</v>
      </c>
      <c r="AI138" s="186">
        <f t="shared" si="229"/>
        <v>4.8511383203166396</v>
      </c>
      <c r="AJ138" s="186">
        <f t="shared" si="229"/>
        <v>4.9418565592533197</v>
      </c>
      <c r="AK138" s="186">
        <f t="shared" si="229"/>
        <v>5.0325747981899998</v>
      </c>
      <c r="AL138" s="186">
        <f t="shared" si="229"/>
        <v>5.1232930371266825</v>
      </c>
      <c r="AM138" s="186">
        <f t="shared" si="229"/>
        <v>5.7239737117547893</v>
      </c>
      <c r="AN138" s="186">
        <f t="shared" si="229"/>
        <v>6.3246543863829006</v>
      </c>
      <c r="AO138" s="186">
        <f t="shared" si="229"/>
        <v>6.3246543863829006</v>
      </c>
      <c r="AP138" s="186">
        <f t="shared" si="229"/>
        <v>6.3246543863829006</v>
      </c>
    </row>
    <row r="139" spans="1:76">
      <c r="A139" s="40"/>
      <c r="B139" s="22" t="str">
        <f t="shared" si="224"/>
        <v>COM_PROJ</v>
      </c>
      <c r="C139" s="23" t="str">
        <f t="shared" si="225"/>
        <v>-</v>
      </c>
      <c r="D139" s="57" t="str">
        <f>ITEMS_TRA!C17</f>
        <v>TFHCV2</v>
      </c>
      <c r="E139" s="23" t="str">
        <f t="shared" si="226"/>
        <v>-</v>
      </c>
      <c r="F139" s="23" t="str">
        <f t="shared" si="226"/>
        <v>-</v>
      </c>
      <c r="G139" s="23" t="str">
        <f t="shared" si="226"/>
        <v>-</v>
      </c>
      <c r="H139" s="23" t="str">
        <f t="shared" si="226"/>
        <v>-</v>
      </c>
      <c r="I139" s="125">
        <f t="shared" si="227"/>
        <v>0</v>
      </c>
      <c r="J139" s="186">
        <f t="shared" ref="J139:AP139" si="230">INDEX($M113:$BA113,MATCH(J$132,$M$106:$BA$106,0))</f>
        <v>0.91016288033514725</v>
      </c>
      <c r="K139" s="186">
        <f t="shared" si="230"/>
        <v>0.92563893602886782</v>
      </c>
      <c r="L139" s="186">
        <f t="shared" si="230"/>
        <v>0.94111499172258839</v>
      </c>
      <c r="M139" s="186">
        <f t="shared" si="230"/>
        <v>0.95659104741630863</v>
      </c>
      <c r="N139" s="186">
        <f t="shared" si="230"/>
        <v>0.97980513095688937</v>
      </c>
      <c r="O139" s="186">
        <f t="shared" si="230"/>
        <v>1.0030192144974701</v>
      </c>
      <c r="P139" s="186">
        <f t="shared" si="230"/>
        <v>1.009261767493451</v>
      </c>
      <c r="Q139" s="186">
        <f t="shared" si="230"/>
        <v>1.0155043204894318</v>
      </c>
      <c r="R139" s="186">
        <f t="shared" si="230"/>
        <v>0.95697207880185675</v>
      </c>
      <c r="S139" s="186">
        <f t="shared" si="230"/>
        <v>0.97294381289789855</v>
      </c>
      <c r="T139" s="186">
        <f t="shared" si="230"/>
        <v>0.99351863622974879</v>
      </c>
      <c r="U139" s="186">
        <f t="shared" si="230"/>
        <v>1.0140934595615991</v>
      </c>
      <c r="V139" s="186">
        <f t="shared" si="230"/>
        <v>1.0346682828934495</v>
      </c>
      <c r="W139" s="186">
        <f t="shared" si="230"/>
        <v>1.0552431062252998</v>
      </c>
      <c r="X139" s="186">
        <f t="shared" si="230"/>
        <v>1.0758179295571502</v>
      </c>
      <c r="Y139" s="186">
        <f t="shared" si="230"/>
        <v>1.0963927528890005</v>
      </c>
      <c r="Z139" s="186">
        <f t="shared" si="230"/>
        <v>1.1169675762208509</v>
      </c>
      <c r="AA139" s="186">
        <f t="shared" si="230"/>
        <v>1.1375423995527012</v>
      </c>
      <c r="AB139" s="186">
        <f t="shared" si="230"/>
        <v>1.1581172228845511</v>
      </c>
      <c r="AC139" s="186">
        <f t="shared" si="230"/>
        <v>1.1830364822968125</v>
      </c>
      <c r="AD139" s="186">
        <f t="shared" si="230"/>
        <v>1.2079557417090738</v>
      </c>
      <c r="AE139" s="186">
        <f t="shared" si="230"/>
        <v>1.2328750011213352</v>
      </c>
      <c r="AF139" s="186">
        <f t="shared" si="230"/>
        <v>1.2577942605335966</v>
      </c>
      <c r="AG139" s="186">
        <f t="shared" si="230"/>
        <v>1.2827135199458579</v>
      </c>
      <c r="AH139" s="186">
        <f t="shared" si="230"/>
        <v>1.3076327793581193</v>
      </c>
      <c r="AI139" s="186">
        <f t="shared" si="230"/>
        <v>1.3325520387703806</v>
      </c>
      <c r="AJ139" s="186">
        <f t="shared" si="230"/>
        <v>1.357471298182642</v>
      </c>
      <c r="AK139" s="186">
        <f t="shared" si="230"/>
        <v>1.3823905575949034</v>
      </c>
      <c r="AL139" s="186">
        <f t="shared" si="230"/>
        <v>1.4073098170071641</v>
      </c>
      <c r="AM139" s="186">
        <f t="shared" si="230"/>
        <v>1.5723099066301305</v>
      </c>
      <c r="AN139" s="186">
        <f t="shared" si="230"/>
        <v>1.7373099962530976</v>
      </c>
      <c r="AO139" s="186">
        <f t="shared" si="230"/>
        <v>1.7373099962530976</v>
      </c>
      <c r="AP139" s="186">
        <f t="shared" si="230"/>
        <v>1.7373099962530976</v>
      </c>
    </row>
    <row r="140" spans="1:76">
      <c r="A140" s="40"/>
      <c r="B140" s="22" t="str">
        <f t="shared" si="224"/>
        <v>COM_PROJ</v>
      </c>
      <c r="C140" s="23" t="str">
        <f t="shared" si="225"/>
        <v>-</v>
      </c>
      <c r="D140" s="57" t="str">
        <f>ITEMS_TRA!C18</f>
        <v>TFHCV3</v>
      </c>
      <c r="E140" s="23" t="str">
        <f t="shared" si="226"/>
        <v>-</v>
      </c>
      <c r="F140" s="23" t="str">
        <f t="shared" si="226"/>
        <v>-</v>
      </c>
      <c r="G140" s="23" t="str">
        <f t="shared" si="226"/>
        <v>-</v>
      </c>
      <c r="H140" s="23" t="str">
        <f t="shared" si="226"/>
        <v>-</v>
      </c>
      <c r="I140" s="125">
        <f t="shared" si="227"/>
        <v>0</v>
      </c>
      <c r="J140" s="186">
        <f t="shared" ref="J140:AP140" si="231">INDEX($M114:$BA114,MATCH(J$132,$M$106:$BA$106,0))</f>
        <v>3.0423873008641582</v>
      </c>
      <c r="K140" s="186">
        <f t="shared" si="231"/>
        <v>3.0852151471238134</v>
      </c>
      <c r="L140" s="186">
        <f t="shared" si="231"/>
        <v>3.1280429933834686</v>
      </c>
      <c r="M140" s="186">
        <f t="shared" si="231"/>
        <v>3.1708708396431251</v>
      </c>
      <c r="N140" s="186">
        <f t="shared" si="231"/>
        <v>3.2351126090326074</v>
      </c>
      <c r="O140" s="186">
        <f t="shared" si="231"/>
        <v>3.2993543784220902</v>
      </c>
      <c r="P140" s="186">
        <f t="shared" si="231"/>
        <v>3.3198887752333626</v>
      </c>
      <c r="Q140" s="186">
        <f t="shared" si="231"/>
        <v>3.3404231720446353</v>
      </c>
      <c r="R140" s="186">
        <f t="shared" si="231"/>
        <v>3.1478858755507528</v>
      </c>
      <c r="S140" s="186">
        <f t="shared" si="231"/>
        <v>3.2004236635204188</v>
      </c>
      <c r="T140" s="186">
        <f t="shared" si="231"/>
        <v>3.2681029586565664</v>
      </c>
      <c r="U140" s="186">
        <f t="shared" si="231"/>
        <v>3.335782253792714</v>
      </c>
      <c r="V140" s="186">
        <f t="shared" si="231"/>
        <v>3.4034615489288615</v>
      </c>
      <c r="W140" s="186">
        <f t="shared" si="231"/>
        <v>3.4711408440650091</v>
      </c>
      <c r="X140" s="186">
        <f t="shared" si="231"/>
        <v>3.5388201392011567</v>
      </c>
      <c r="Y140" s="186">
        <f t="shared" si="231"/>
        <v>3.6064994343373042</v>
      </c>
      <c r="Z140" s="186">
        <f t="shared" si="231"/>
        <v>3.6741787294734518</v>
      </c>
      <c r="AA140" s="186">
        <f t="shared" si="231"/>
        <v>3.7418580246095994</v>
      </c>
      <c r="AB140" s="186">
        <f t="shared" si="231"/>
        <v>3.8095373197457469</v>
      </c>
      <c r="AC140" s="186">
        <f t="shared" si="231"/>
        <v>3.8915073024345359</v>
      </c>
      <c r="AD140" s="186">
        <f t="shared" si="231"/>
        <v>3.9734772851233249</v>
      </c>
      <c r="AE140" s="186">
        <f t="shared" si="231"/>
        <v>4.0554472678121138</v>
      </c>
      <c r="AF140" s="186">
        <f t="shared" si="231"/>
        <v>4.1374172505009028</v>
      </c>
      <c r="AG140" s="186">
        <f t="shared" si="231"/>
        <v>4.2193872331896918</v>
      </c>
      <c r="AH140" s="186">
        <f t="shared" si="231"/>
        <v>4.3013572158784807</v>
      </c>
      <c r="AI140" s="186">
        <f t="shared" si="231"/>
        <v>4.3833271985672697</v>
      </c>
      <c r="AJ140" s="186">
        <f t="shared" si="231"/>
        <v>4.4652971812560587</v>
      </c>
      <c r="AK140" s="186">
        <f t="shared" si="231"/>
        <v>4.5472671639448476</v>
      </c>
      <c r="AL140" s="186">
        <f t="shared" si="231"/>
        <v>4.6292371466336357</v>
      </c>
      <c r="AM140" s="186">
        <f t="shared" si="231"/>
        <v>5.171992220782764</v>
      </c>
      <c r="AN140" s="186">
        <f t="shared" si="231"/>
        <v>5.7147472949318887</v>
      </c>
      <c r="AO140" s="186">
        <f t="shared" si="231"/>
        <v>5.7147472949318887</v>
      </c>
      <c r="AP140" s="186">
        <f t="shared" si="231"/>
        <v>5.7147472949318887</v>
      </c>
    </row>
    <row r="141" spans="1:76">
      <c r="A141" s="40"/>
      <c r="B141" s="22" t="str">
        <f t="shared" si="224"/>
        <v>COM_PROJ</v>
      </c>
      <c r="C141" s="23" t="str">
        <f t="shared" si="225"/>
        <v>-</v>
      </c>
      <c r="D141" s="57" t="str">
        <f>ITEMS_TRA!C19</f>
        <v>TFHCV4</v>
      </c>
      <c r="E141" s="23" t="str">
        <f t="shared" si="226"/>
        <v>-</v>
      </c>
      <c r="F141" s="23" t="str">
        <f t="shared" si="226"/>
        <v>-</v>
      </c>
      <c r="G141" s="23" t="str">
        <f t="shared" si="226"/>
        <v>-</v>
      </c>
      <c r="H141" s="23" t="str">
        <f t="shared" si="226"/>
        <v>-</v>
      </c>
      <c r="I141" s="125">
        <f t="shared" si="227"/>
        <v>0</v>
      </c>
      <c r="J141" s="186">
        <f t="shared" ref="J141:AP141" si="232">INDEX($M115:$BA115,MATCH(J$132,$M$106:$BA$106,0))</f>
        <v>0.64156299948434192</v>
      </c>
      <c r="K141" s="186">
        <f t="shared" si="232"/>
        <v>0.62717766269161657</v>
      </c>
      <c r="L141" s="186">
        <f t="shared" si="232"/>
        <v>0.61279232589889121</v>
      </c>
      <c r="M141" s="24">
        <f t="shared" si="232"/>
        <v>0.59840698910616308</v>
      </c>
      <c r="N141" s="186">
        <f t="shared" si="232"/>
        <v>0.59840698910616308</v>
      </c>
      <c r="O141" s="186">
        <f t="shared" si="232"/>
        <v>0.59840698910616308</v>
      </c>
      <c r="P141" s="186">
        <f t="shared" si="232"/>
        <v>0.60213133185919032</v>
      </c>
      <c r="Q141" s="186">
        <f t="shared" si="232"/>
        <v>0.60585567461221745</v>
      </c>
      <c r="R141" s="186">
        <f t="shared" si="232"/>
        <v>0.57093500509000428</v>
      </c>
      <c r="S141" s="186">
        <f t="shared" si="232"/>
        <v>0.58046383282637526</v>
      </c>
      <c r="T141" s="186">
        <f t="shared" si="232"/>
        <v>0.59273888987757273</v>
      </c>
      <c r="U141" s="186">
        <f t="shared" si="232"/>
        <v>0.6050139469287702</v>
      </c>
      <c r="V141" s="186">
        <f t="shared" si="232"/>
        <v>0.61728900397996767</v>
      </c>
      <c r="W141" s="186">
        <f t="shared" si="232"/>
        <v>0.62956406103116513</v>
      </c>
      <c r="X141" s="186">
        <f t="shared" si="232"/>
        <v>0.6418391180823626</v>
      </c>
      <c r="Y141" s="186">
        <f t="shared" si="232"/>
        <v>0.65411417513356007</v>
      </c>
      <c r="Z141" s="186">
        <f t="shared" si="232"/>
        <v>0.66638923218475754</v>
      </c>
      <c r="AA141" s="186">
        <f t="shared" si="232"/>
        <v>0.67866428923595501</v>
      </c>
      <c r="AB141" s="186">
        <f t="shared" si="232"/>
        <v>0.69093934628715292</v>
      </c>
      <c r="AC141" s="186">
        <f t="shared" si="232"/>
        <v>0.70580631870414479</v>
      </c>
      <c r="AD141" s="186">
        <f t="shared" si="232"/>
        <v>0.72067329112113665</v>
      </c>
      <c r="AE141" s="186">
        <f t="shared" si="232"/>
        <v>0.73554026353812851</v>
      </c>
      <c r="AF141" s="186">
        <f t="shared" si="232"/>
        <v>0.75040723595512038</v>
      </c>
      <c r="AG141" s="186">
        <f t="shared" si="232"/>
        <v>0.76527420837211224</v>
      </c>
      <c r="AH141" s="186">
        <f t="shared" si="232"/>
        <v>0.78014118078910411</v>
      </c>
      <c r="AI141" s="186">
        <f t="shared" si="232"/>
        <v>0.79500815320609597</v>
      </c>
      <c r="AJ141" s="186">
        <f t="shared" si="232"/>
        <v>0.80987512562308783</v>
      </c>
      <c r="AK141" s="186">
        <f t="shared" si="232"/>
        <v>0.8247420980400797</v>
      </c>
      <c r="AL141" s="186">
        <f t="shared" si="232"/>
        <v>0.83960907045707112</v>
      </c>
      <c r="AM141" s="186">
        <f t="shared" si="232"/>
        <v>0.93804906582943859</v>
      </c>
      <c r="AN141" s="186">
        <f t="shared" si="232"/>
        <v>1.0364890612018061</v>
      </c>
      <c r="AO141" s="186">
        <f t="shared" si="232"/>
        <v>1.0364890612018061</v>
      </c>
      <c r="AP141" s="186">
        <f t="shared" si="232"/>
        <v>1.0364890612018061</v>
      </c>
    </row>
    <row r="142" spans="1:76">
      <c r="A142" s="40"/>
      <c r="B142" s="22" t="str">
        <f t="shared" si="224"/>
        <v>COM_PROJ</v>
      </c>
      <c r="C142" s="23" t="str">
        <f t="shared" si="225"/>
        <v>-</v>
      </c>
      <c r="D142" s="57" t="str">
        <f>ITEMS_TRA!C20</f>
        <v>TFHCV5</v>
      </c>
      <c r="E142" s="23" t="str">
        <f t="shared" si="226"/>
        <v>-</v>
      </c>
      <c r="F142" s="23" t="str">
        <f t="shared" si="226"/>
        <v>-</v>
      </c>
      <c r="G142" s="23" t="str">
        <f t="shared" si="226"/>
        <v>-</v>
      </c>
      <c r="H142" s="23" t="str">
        <f t="shared" si="226"/>
        <v>-</v>
      </c>
      <c r="I142" s="125">
        <f t="shared" si="227"/>
        <v>0</v>
      </c>
      <c r="J142" s="186">
        <f t="shared" ref="J142:AP142" si="233">INDEX($M116:$BA116,MATCH(J$132,$M$106:$BA$106,0))</f>
        <v>0.28132785630344881</v>
      </c>
      <c r="K142" s="186">
        <f t="shared" si="233"/>
        <v>0.28410456292842851</v>
      </c>
      <c r="L142" s="186">
        <f t="shared" si="233"/>
        <v>0.2868812695534082</v>
      </c>
      <c r="M142" s="186">
        <f t="shared" si="233"/>
        <v>0.28965797617838801</v>
      </c>
      <c r="N142" s="186">
        <f t="shared" si="233"/>
        <v>0.29382303611585753</v>
      </c>
      <c r="O142" s="186">
        <f t="shared" si="233"/>
        <v>0.29798809605332705</v>
      </c>
      <c r="P142" s="186">
        <f t="shared" si="233"/>
        <v>0.29984270307869332</v>
      </c>
      <c r="Q142" s="186">
        <f t="shared" si="233"/>
        <v>0.30169731010405959</v>
      </c>
      <c r="R142" s="186">
        <f t="shared" si="233"/>
        <v>0.28430790120130756</v>
      </c>
      <c r="S142" s="186">
        <f t="shared" si="233"/>
        <v>0.28905296148047083</v>
      </c>
      <c r="T142" s="186">
        <f t="shared" si="233"/>
        <v>0.2951655586697115</v>
      </c>
      <c r="U142" s="186">
        <f t="shared" si="233"/>
        <v>0.30127815585895218</v>
      </c>
      <c r="V142" s="186">
        <f t="shared" si="233"/>
        <v>0.30739075304819286</v>
      </c>
      <c r="W142" s="186">
        <f t="shared" si="233"/>
        <v>0.31350335023743353</v>
      </c>
      <c r="X142" s="186">
        <f t="shared" si="233"/>
        <v>0.31961594742667421</v>
      </c>
      <c r="Y142" s="186">
        <f t="shared" si="233"/>
        <v>0.32572854461591488</v>
      </c>
      <c r="Z142" s="186">
        <f t="shared" si="233"/>
        <v>0.33184114180515556</v>
      </c>
      <c r="AA142" s="186">
        <f t="shared" si="233"/>
        <v>0.33795373899439624</v>
      </c>
      <c r="AB142" s="186">
        <f t="shared" si="233"/>
        <v>0.34406633618363702</v>
      </c>
      <c r="AC142" s="186">
        <f t="shared" si="233"/>
        <v>0.35146962672881271</v>
      </c>
      <c r="AD142" s="186">
        <f t="shared" si="233"/>
        <v>0.3588729172739884</v>
      </c>
      <c r="AE142" s="186">
        <f t="shared" si="233"/>
        <v>0.36627620781916409</v>
      </c>
      <c r="AF142" s="186">
        <f t="shared" si="233"/>
        <v>0.37367949836433978</v>
      </c>
      <c r="AG142" s="186">
        <f t="shared" si="233"/>
        <v>0.38108278890951547</v>
      </c>
      <c r="AH142" s="186">
        <f t="shared" si="233"/>
        <v>0.38848607945469116</v>
      </c>
      <c r="AI142" s="186">
        <f t="shared" si="233"/>
        <v>0.39588936999986685</v>
      </c>
      <c r="AJ142" s="186">
        <f t="shared" si="233"/>
        <v>0.40329266054504254</v>
      </c>
      <c r="AK142" s="186">
        <f t="shared" si="233"/>
        <v>0.41069595109021823</v>
      </c>
      <c r="AL142" s="186">
        <f t="shared" si="233"/>
        <v>0.41809924163539414</v>
      </c>
      <c r="AM142" s="186">
        <f t="shared" si="233"/>
        <v>0.46711930211350794</v>
      </c>
      <c r="AN142" s="186">
        <f t="shared" si="233"/>
        <v>0.51613936259162185</v>
      </c>
      <c r="AO142" s="186">
        <f t="shared" si="233"/>
        <v>0.51613936259162185</v>
      </c>
      <c r="AP142" s="186">
        <f t="shared" si="233"/>
        <v>0.51613936259162185</v>
      </c>
    </row>
    <row r="143" spans="1:76">
      <c r="A143" s="40"/>
      <c r="B143" s="22" t="str">
        <f t="shared" si="224"/>
        <v>COM_PROJ</v>
      </c>
      <c r="C143" s="23" t="str">
        <f t="shared" si="225"/>
        <v>-</v>
      </c>
      <c r="D143" s="57" t="str">
        <f>ITEMS_TRA!C21</f>
        <v>TFHCV6</v>
      </c>
      <c r="E143" s="23" t="str">
        <f t="shared" si="226"/>
        <v>-</v>
      </c>
      <c r="F143" s="23" t="str">
        <f t="shared" si="226"/>
        <v>-</v>
      </c>
      <c r="G143" s="23" t="str">
        <f t="shared" si="226"/>
        <v>-</v>
      </c>
      <c r="H143" s="23" t="str">
        <f t="shared" si="226"/>
        <v>-</v>
      </c>
      <c r="I143" s="125">
        <f t="shared" si="227"/>
        <v>0</v>
      </c>
      <c r="J143" s="186">
        <f t="shared" ref="J143:AP143" si="234">INDEX($M117:$BA117,MATCH(J$132,$M$106:$BA$106,0))</f>
        <v>5.1541817584817791</v>
      </c>
      <c r="K143" s="186">
        <f t="shared" si="234"/>
        <v>5.4055160928410038</v>
      </c>
      <c r="L143" s="186">
        <f t="shared" si="234"/>
        <v>5.6568504272002285</v>
      </c>
      <c r="M143" s="186">
        <f t="shared" si="234"/>
        <v>5.9081847615594549</v>
      </c>
      <c r="N143" s="186">
        <f t="shared" si="234"/>
        <v>6.2851862630982929</v>
      </c>
      <c r="O143" s="186">
        <f t="shared" si="234"/>
        <v>6.6621877646371299</v>
      </c>
      <c r="P143" s="186">
        <f t="shared" si="234"/>
        <v>6.7036516365039915</v>
      </c>
      <c r="Q143" s="186">
        <f t="shared" si="234"/>
        <v>6.7451155083708541</v>
      </c>
      <c r="R143" s="186">
        <f t="shared" si="234"/>
        <v>6.3563365310876332</v>
      </c>
      <c r="S143" s="186">
        <f t="shared" si="234"/>
        <v>6.4624229249838852</v>
      </c>
      <c r="T143" s="186">
        <f t="shared" si="234"/>
        <v>6.5990836531930652</v>
      </c>
      <c r="U143" s="186">
        <f t="shared" si="234"/>
        <v>6.7357443814022453</v>
      </c>
      <c r="V143" s="186">
        <f t="shared" si="234"/>
        <v>6.8724051096114254</v>
      </c>
      <c r="W143" s="186">
        <f t="shared" si="234"/>
        <v>7.0090658378206054</v>
      </c>
      <c r="X143" s="186">
        <f t="shared" si="234"/>
        <v>7.1457265660297855</v>
      </c>
      <c r="Y143" s="186">
        <f t="shared" si="234"/>
        <v>7.2823872942389656</v>
      </c>
      <c r="Z143" s="186">
        <f t="shared" si="234"/>
        <v>7.4190480224481457</v>
      </c>
      <c r="AA143" s="186">
        <f t="shared" si="234"/>
        <v>7.5557087506573257</v>
      </c>
      <c r="AB143" s="186">
        <f t="shared" si="234"/>
        <v>7.6923694788665022</v>
      </c>
      <c r="AC143" s="186">
        <f t="shared" si="234"/>
        <v>7.8578865325386626</v>
      </c>
      <c r="AD143" s="186">
        <f t="shared" si="234"/>
        <v>8.0234035862108222</v>
      </c>
      <c r="AE143" s="186">
        <f t="shared" si="234"/>
        <v>8.1889206398829817</v>
      </c>
      <c r="AF143" s="186">
        <f t="shared" si="234"/>
        <v>8.3544376935551412</v>
      </c>
      <c r="AG143" s="186">
        <f t="shared" si="234"/>
        <v>8.5199547472273007</v>
      </c>
      <c r="AH143" s="186">
        <f t="shared" si="234"/>
        <v>8.6854718008994602</v>
      </c>
      <c r="AI143" s="186">
        <f t="shared" si="234"/>
        <v>8.8509888545716198</v>
      </c>
      <c r="AJ143" s="186">
        <f t="shared" si="234"/>
        <v>9.0165059082437793</v>
      </c>
      <c r="AK143" s="186">
        <f t="shared" si="234"/>
        <v>9.1820229619159388</v>
      </c>
      <c r="AL143" s="186">
        <f t="shared" si="234"/>
        <v>9.3475400155881054</v>
      </c>
      <c r="AM143" s="186">
        <f t="shared" si="234"/>
        <v>10.443492677672362</v>
      </c>
      <c r="AN143" s="186">
        <f t="shared" si="234"/>
        <v>11.539445339756615</v>
      </c>
      <c r="AO143" s="186">
        <f t="shared" si="234"/>
        <v>11.539445339756615</v>
      </c>
      <c r="AP143" s="186">
        <f t="shared" si="234"/>
        <v>11.539445339756615</v>
      </c>
    </row>
    <row r="144" spans="1:76">
      <c r="A144" s="40"/>
      <c r="B144" s="22" t="str">
        <f t="shared" si="224"/>
        <v>COM_PROJ</v>
      </c>
      <c r="C144" s="23" t="str">
        <f t="shared" si="225"/>
        <v>-</v>
      </c>
      <c r="D144" s="57" t="str">
        <f>ITEMS_TRA!C22</f>
        <v>TFHCV7</v>
      </c>
      <c r="E144" s="23" t="str">
        <f t="shared" si="226"/>
        <v>-</v>
      </c>
      <c r="F144" s="23" t="str">
        <f t="shared" si="226"/>
        <v>-</v>
      </c>
      <c r="G144" s="23" t="str">
        <f t="shared" si="226"/>
        <v>-</v>
      </c>
      <c r="H144" s="23" t="str">
        <f t="shared" si="226"/>
        <v>-</v>
      </c>
      <c r="I144" s="125">
        <f t="shared" si="227"/>
        <v>0</v>
      </c>
      <c r="J144" s="186">
        <f t="shared" ref="J144:AP144" si="235">INDEX($M118:$BA118,MATCH(J$132,$M$106:$BA$106,0))</f>
        <v>1.9761616214119715</v>
      </c>
      <c r="K144" s="186">
        <f t="shared" si="235"/>
        <v>2.0178274562873066</v>
      </c>
      <c r="L144" s="186">
        <f t="shared" si="235"/>
        <v>2.0594932911626418</v>
      </c>
      <c r="M144" s="186">
        <f t="shared" si="235"/>
        <v>2.1011591260379752</v>
      </c>
      <c r="N144" s="186">
        <f t="shared" si="235"/>
        <v>2.1636578783509774</v>
      </c>
      <c r="O144" s="186">
        <f t="shared" si="235"/>
        <v>2.2261566306639802</v>
      </c>
      <c r="P144" s="186">
        <f t="shared" si="235"/>
        <v>2.240011699982106</v>
      </c>
      <c r="Q144" s="186">
        <f t="shared" si="235"/>
        <v>2.2538667693002314</v>
      </c>
      <c r="R144" s="186">
        <f t="shared" si="235"/>
        <v>2.1239570566476127</v>
      </c>
      <c r="S144" s="186">
        <f t="shared" si="235"/>
        <v>2.1594056116176379</v>
      </c>
      <c r="T144" s="186">
        <f t="shared" si="235"/>
        <v>2.2050705188526267</v>
      </c>
      <c r="U144" s="186">
        <f t="shared" si="235"/>
        <v>2.2507354260876156</v>
      </c>
      <c r="V144" s="186">
        <f t="shared" si="235"/>
        <v>2.2964003333226044</v>
      </c>
      <c r="W144" s="186">
        <f t="shared" si="235"/>
        <v>2.3420652405575932</v>
      </c>
      <c r="X144" s="186">
        <f t="shared" si="235"/>
        <v>2.3877301477925821</v>
      </c>
      <c r="Y144" s="186">
        <f t="shared" si="235"/>
        <v>2.4333950550275709</v>
      </c>
      <c r="Z144" s="186">
        <f t="shared" si="235"/>
        <v>2.4790599622625598</v>
      </c>
      <c r="AA144" s="186">
        <f t="shared" si="235"/>
        <v>2.5247248694975486</v>
      </c>
      <c r="AB144" s="186">
        <f t="shared" si="235"/>
        <v>2.5703897767325388</v>
      </c>
      <c r="AC144" s="186">
        <f t="shared" si="235"/>
        <v>2.6256969670336088</v>
      </c>
      <c r="AD144" s="186">
        <f t="shared" si="235"/>
        <v>2.6810041573346788</v>
      </c>
      <c r="AE144" s="186">
        <f t="shared" si="235"/>
        <v>2.7363113476357488</v>
      </c>
      <c r="AF144" s="186">
        <f t="shared" si="235"/>
        <v>2.7916185379368188</v>
      </c>
      <c r="AG144" s="186">
        <f t="shared" si="235"/>
        <v>2.8469257282378888</v>
      </c>
      <c r="AH144" s="186">
        <f t="shared" si="235"/>
        <v>2.9022329185389588</v>
      </c>
      <c r="AI144" s="186">
        <f t="shared" si="235"/>
        <v>2.9575401088400288</v>
      </c>
      <c r="AJ144" s="186">
        <f t="shared" si="235"/>
        <v>3.0128472991410988</v>
      </c>
      <c r="AK144" s="186">
        <f t="shared" si="235"/>
        <v>3.0681544894421688</v>
      </c>
      <c r="AL144" s="186">
        <f t="shared" si="235"/>
        <v>3.123461679743238</v>
      </c>
      <c r="AM144" s="186">
        <f t="shared" si="235"/>
        <v>3.4896720556415195</v>
      </c>
      <c r="AN144" s="186">
        <f t="shared" si="235"/>
        <v>3.8558824315398028</v>
      </c>
      <c r="AO144" s="186">
        <f t="shared" si="235"/>
        <v>3.8558824315398028</v>
      </c>
      <c r="AP144" s="186">
        <f t="shared" si="235"/>
        <v>3.8558824315398028</v>
      </c>
    </row>
    <row r="145" spans="1:51">
      <c r="A145" s="40" t="s">
        <v>125</v>
      </c>
      <c r="B145" s="22" t="str">
        <f t="shared" si="224"/>
        <v>COM_PROJ</v>
      </c>
      <c r="C145" s="23" t="str">
        <f t="shared" si="225"/>
        <v>-</v>
      </c>
      <c r="D145" s="57" t="str">
        <f>ITEMS_TRA!C23</f>
        <v>TFHCV8</v>
      </c>
      <c r="E145" s="23" t="str">
        <f t="shared" si="226"/>
        <v>-</v>
      </c>
      <c r="F145" s="23" t="str">
        <f t="shared" si="226"/>
        <v>-</v>
      </c>
      <c r="G145" s="23" t="str">
        <f t="shared" si="226"/>
        <v>-</v>
      </c>
      <c r="H145" s="23" t="str">
        <f t="shared" si="226"/>
        <v>-</v>
      </c>
      <c r="I145" s="125">
        <f t="shared" si="227"/>
        <v>0</v>
      </c>
      <c r="J145" s="186">
        <f t="shared" ref="J145:AP145" si="236">INDEX($M119:$BA119,MATCH(J$132,$M$106:$BA$106,0))</f>
        <v>7.0701624395945725E-2</v>
      </c>
      <c r="K145" s="186">
        <f t="shared" si="236"/>
        <v>7.9286966804927639E-2</v>
      </c>
      <c r="L145" s="186">
        <f t="shared" si="236"/>
        <v>8.7872309213909552E-2</v>
      </c>
      <c r="M145" s="186">
        <f t="shared" si="236"/>
        <v>9.6457651622891244E-2</v>
      </c>
      <c r="N145" s="186">
        <f t="shared" si="236"/>
        <v>0.10933566523636412</v>
      </c>
      <c r="O145" s="186">
        <f t="shared" si="236"/>
        <v>0.122213678849837</v>
      </c>
      <c r="P145" s="186">
        <f t="shared" si="236"/>
        <v>0.12297430771519344</v>
      </c>
      <c r="Q145" s="186">
        <f t="shared" si="236"/>
        <v>0.12373493658054988</v>
      </c>
      <c r="R145" s="186">
        <f t="shared" si="236"/>
        <v>0.11660302875209383</v>
      </c>
      <c r="S145" s="186">
        <f t="shared" si="236"/>
        <v>0.11854911747429903</v>
      </c>
      <c r="T145" s="186">
        <f t="shared" si="236"/>
        <v>0.12105607328803257</v>
      </c>
      <c r="U145" s="186">
        <f t="shared" si="236"/>
        <v>0.12356302910176611</v>
      </c>
      <c r="V145" s="186">
        <f t="shared" si="236"/>
        <v>0.12606998491549967</v>
      </c>
      <c r="W145" s="186">
        <f t="shared" si="236"/>
        <v>0.12857694072923323</v>
      </c>
      <c r="X145" s="186">
        <f t="shared" si="236"/>
        <v>0.13108389654296679</v>
      </c>
      <c r="Y145" s="186">
        <f t="shared" si="236"/>
        <v>0.13359085235670035</v>
      </c>
      <c r="Z145" s="186">
        <f t="shared" si="236"/>
        <v>0.1360978081704339</v>
      </c>
      <c r="AA145" s="186">
        <f t="shared" si="236"/>
        <v>0.13860476398416746</v>
      </c>
      <c r="AB145" s="186">
        <f t="shared" si="236"/>
        <v>0.14111171979790094</v>
      </c>
      <c r="AC145" s="186">
        <f t="shared" si="236"/>
        <v>0.14414802690245798</v>
      </c>
      <c r="AD145" s="186">
        <f t="shared" si="236"/>
        <v>0.14718433400701503</v>
      </c>
      <c r="AE145" s="186">
        <f t="shared" si="236"/>
        <v>0.15022064111157207</v>
      </c>
      <c r="AF145" s="186">
        <f t="shared" si="236"/>
        <v>0.15325694821612912</v>
      </c>
      <c r="AG145" s="186">
        <f t="shared" si="236"/>
        <v>0.15629325532068616</v>
      </c>
      <c r="AH145" s="186">
        <f t="shared" si="236"/>
        <v>0.15932956242524321</v>
      </c>
      <c r="AI145" s="186">
        <f t="shared" si="236"/>
        <v>0.16236586952980026</v>
      </c>
      <c r="AJ145" s="186">
        <f t="shared" si="236"/>
        <v>0.1654021766343573</v>
      </c>
      <c r="AK145" s="186">
        <f t="shared" si="236"/>
        <v>0.16843848373891435</v>
      </c>
      <c r="AL145" s="186">
        <f t="shared" si="236"/>
        <v>0.17147479084347125</v>
      </c>
      <c r="AM145" s="186">
        <f t="shared" si="236"/>
        <v>0.19157935880379567</v>
      </c>
      <c r="AN145" s="186">
        <f t="shared" si="236"/>
        <v>0.21168392676412007</v>
      </c>
      <c r="AO145" s="186">
        <f t="shared" si="236"/>
        <v>0.21168392676412007</v>
      </c>
      <c r="AP145" s="186">
        <f t="shared" si="236"/>
        <v>0.21168392676412007</v>
      </c>
    </row>
    <row r="146" spans="1:51">
      <c r="A146" s="40" t="s">
        <v>125</v>
      </c>
      <c r="B146" s="22" t="str">
        <f t="shared" si="224"/>
        <v>COM_PROJ</v>
      </c>
      <c r="C146" s="23" t="str">
        <f t="shared" si="225"/>
        <v>-</v>
      </c>
      <c r="D146" s="57" t="str">
        <f>ITEMS_TRA!C24</f>
        <v>TFHCV9</v>
      </c>
      <c r="E146" s="23" t="str">
        <f t="shared" si="226"/>
        <v>-</v>
      </c>
      <c r="F146" s="23" t="str">
        <f t="shared" si="226"/>
        <v>-</v>
      </c>
      <c r="G146" s="23" t="str">
        <f t="shared" si="226"/>
        <v>-</v>
      </c>
      <c r="H146" s="23" t="str">
        <f t="shared" si="226"/>
        <v>-</v>
      </c>
      <c r="I146" s="125">
        <f t="shared" si="227"/>
        <v>0</v>
      </c>
      <c r="J146" s="186">
        <f t="shared" ref="J146:AP146" si="237">INDEX($M120:$BA120,MATCH(J$132,$M$106:$BA$106,0))</f>
        <v>5.2818957554105039E-2</v>
      </c>
      <c r="K146" s="186">
        <f t="shared" si="237"/>
        <v>4.5016661085483405E-2</v>
      </c>
      <c r="L146" s="186">
        <f t="shared" si="237"/>
        <v>3.721436461686177E-2</v>
      </c>
      <c r="M146" s="186">
        <f t="shared" si="237"/>
        <v>2.9412068148240201E-2</v>
      </c>
      <c r="N146" s="186">
        <f t="shared" si="237"/>
        <v>2.9412068148240201E-2</v>
      </c>
      <c r="O146" s="186">
        <f t="shared" si="237"/>
        <v>2.9412068148240201E-2</v>
      </c>
      <c r="P146" s="186">
        <f t="shared" si="237"/>
        <v>2.9595121863944723E-2</v>
      </c>
      <c r="Q146" s="186">
        <f t="shared" si="237"/>
        <v>2.9778175579649249E-2</v>
      </c>
      <c r="R146" s="186">
        <f t="shared" si="237"/>
        <v>2.806180339405084E-2</v>
      </c>
      <c r="S146" s="186">
        <f t="shared" si="237"/>
        <v>2.8530151083595065E-2</v>
      </c>
      <c r="T146" s="186">
        <f t="shared" si="237"/>
        <v>2.9133477617352022E-2</v>
      </c>
      <c r="U146" s="186">
        <f t="shared" si="237"/>
        <v>2.9736804151108978E-2</v>
      </c>
      <c r="V146" s="186">
        <f t="shared" si="237"/>
        <v>3.0340130684865935E-2</v>
      </c>
      <c r="W146" s="186">
        <f t="shared" si="237"/>
        <v>3.0943457218622891E-2</v>
      </c>
      <c r="X146" s="186">
        <f t="shared" si="237"/>
        <v>3.1546783752379848E-2</v>
      </c>
      <c r="Y146" s="186">
        <f t="shared" si="237"/>
        <v>3.2150110286136804E-2</v>
      </c>
      <c r="Z146" s="186">
        <f t="shared" si="237"/>
        <v>3.2753436819893761E-2</v>
      </c>
      <c r="AA146" s="186">
        <f t="shared" si="237"/>
        <v>3.3356763353650717E-2</v>
      </c>
      <c r="AB146" s="186">
        <f t="shared" si="237"/>
        <v>3.3960089887407674E-2</v>
      </c>
      <c r="AC146" s="186">
        <f t="shared" si="237"/>
        <v>3.4690810640752676E-2</v>
      </c>
      <c r="AD146" s="186">
        <f t="shared" si="237"/>
        <v>3.5421531394097677E-2</v>
      </c>
      <c r="AE146" s="186">
        <f t="shared" si="237"/>
        <v>3.6152252147442679E-2</v>
      </c>
      <c r="AF146" s="186">
        <f t="shared" si="237"/>
        <v>3.6882972900787681E-2</v>
      </c>
      <c r="AG146" s="186">
        <f t="shared" si="237"/>
        <v>3.7613693654132682E-2</v>
      </c>
      <c r="AH146" s="186">
        <f t="shared" si="237"/>
        <v>3.8344414407477684E-2</v>
      </c>
      <c r="AI146" s="186">
        <f t="shared" si="237"/>
        <v>3.9075135160822685E-2</v>
      </c>
      <c r="AJ146" s="186">
        <f t="shared" si="237"/>
        <v>3.9805855914167687E-2</v>
      </c>
      <c r="AK146" s="186">
        <f t="shared" si="237"/>
        <v>4.0536576667512689E-2</v>
      </c>
      <c r="AL146" s="186">
        <f t="shared" si="237"/>
        <v>4.1267297420857718E-2</v>
      </c>
      <c r="AM146" s="186">
        <f t="shared" si="237"/>
        <v>4.6105683176895174E-2</v>
      </c>
      <c r="AN146" s="186">
        <f t="shared" si="237"/>
        <v>5.0944068932932636E-2</v>
      </c>
      <c r="AO146" s="186">
        <f t="shared" si="237"/>
        <v>5.0944068932932636E-2</v>
      </c>
      <c r="AP146" s="186">
        <f t="shared" si="237"/>
        <v>5.0944068932932636E-2</v>
      </c>
    </row>
    <row r="147" spans="1:51">
      <c r="A147" s="40" t="s">
        <v>125</v>
      </c>
      <c r="B147" s="22" t="str">
        <f t="shared" si="224"/>
        <v>COM_PROJ</v>
      </c>
      <c r="C147" s="23" t="str">
        <f t="shared" si="225"/>
        <v>-</v>
      </c>
      <c r="D147" s="57" t="str">
        <f>ITEMS_TRA!C25</f>
        <v>TFRCO</v>
      </c>
      <c r="E147" s="23" t="str">
        <f t="shared" si="226"/>
        <v>-</v>
      </c>
      <c r="F147" s="23" t="str">
        <f t="shared" si="226"/>
        <v>-</v>
      </c>
      <c r="G147" s="23" t="str">
        <f t="shared" si="226"/>
        <v>-</v>
      </c>
      <c r="H147" s="23" t="str">
        <f t="shared" si="226"/>
        <v>-</v>
      </c>
      <c r="I147" s="125">
        <f t="shared" si="227"/>
        <v>0</v>
      </c>
      <c r="J147" s="186">
        <f t="shared" ref="J147:AP147" si="238">INDEX($M121:$BA121,MATCH(J$132,$M$106:$BA$106,0))</f>
        <v>22</v>
      </c>
      <c r="K147" s="186">
        <f t="shared" si="238"/>
        <v>22.394471154794282</v>
      </c>
      <c r="L147" s="186">
        <f t="shared" si="238"/>
        <v>22.788942309588563</v>
      </c>
      <c r="M147" s="186">
        <f t="shared" si="238"/>
        <v>23.183413464382845</v>
      </c>
      <c r="N147" s="186">
        <f t="shared" si="238"/>
        <v>23.396576241140881</v>
      </c>
      <c r="O147" s="186">
        <f t="shared" si="238"/>
        <v>23.609739017898917</v>
      </c>
      <c r="P147" s="186">
        <f t="shared" si="238"/>
        <v>23.756680417335971</v>
      </c>
      <c r="Q147" s="186">
        <f t="shared" si="238"/>
        <v>23.903621816773025</v>
      </c>
      <c r="R147" s="186">
        <f t="shared" si="238"/>
        <v>22.525850653068453</v>
      </c>
      <c r="S147" s="186">
        <f t="shared" si="238"/>
        <v>22.901804042814582</v>
      </c>
      <c r="T147" s="186">
        <f t="shared" si="238"/>
        <v>23.38610803438641</v>
      </c>
      <c r="U147" s="186">
        <f t="shared" si="238"/>
        <v>23.870412025958238</v>
      </c>
      <c r="V147" s="186">
        <f t="shared" si="238"/>
        <v>24.354716017530066</v>
      </c>
      <c r="W147" s="186">
        <f t="shared" si="238"/>
        <v>24.839020009101894</v>
      </c>
      <c r="X147" s="186">
        <f t="shared" si="238"/>
        <v>25.323324000673722</v>
      </c>
      <c r="Y147" s="186">
        <f t="shared" si="238"/>
        <v>25.80762799224555</v>
      </c>
      <c r="Z147" s="186">
        <f t="shared" si="238"/>
        <v>26.291931983817378</v>
      </c>
      <c r="AA147" s="186">
        <f t="shared" si="238"/>
        <v>26.776235975389206</v>
      </c>
      <c r="AB147" s="186">
        <f t="shared" si="238"/>
        <v>27.260539966961023</v>
      </c>
      <c r="AC147" s="186">
        <f t="shared" si="238"/>
        <v>27.847106208902439</v>
      </c>
      <c r="AD147" s="186">
        <f t="shared" si="238"/>
        <v>28.433672450843854</v>
      </c>
      <c r="AE147" s="186">
        <f t="shared" si="238"/>
        <v>29.02023869278527</v>
      </c>
      <c r="AF147" s="186">
        <f t="shared" si="238"/>
        <v>29.606804934726686</v>
      </c>
      <c r="AG147" s="186">
        <f t="shared" si="238"/>
        <v>30.193371176668101</v>
      </c>
      <c r="AH147" s="186">
        <f t="shared" si="238"/>
        <v>30.779937418609517</v>
      </c>
      <c r="AI147" s="186">
        <f t="shared" si="238"/>
        <v>31.366503660550933</v>
      </c>
      <c r="AJ147" s="186">
        <f t="shared" si="238"/>
        <v>31.953069902492349</v>
      </c>
      <c r="AK147" s="186">
        <f t="shared" si="238"/>
        <v>32.539636144433764</v>
      </c>
      <c r="AL147" s="186">
        <f t="shared" si="238"/>
        <v>33.126202386375169</v>
      </c>
      <c r="AM147" s="186">
        <f t="shared" si="238"/>
        <v>37.010085165111299</v>
      </c>
      <c r="AN147" s="186">
        <f t="shared" si="238"/>
        <v>40.89396794384745</v>
      </c>
      <c r="AO147" s="186">
        <f t="shared" si="238"/>
        <v>40.89396794384745</v>
      </c>
      <c r="AP147" s="186">
        <f t="shared" si="238"/>
        <v>40.89396794384745</v>
      </c>
    </row>
    <row r="148" spans="1:51">
      <c r="A148" s="40"/>
      <c r="B148" s="22" t="str">
        <f t="shared" si="224"/>
        <v>COM_PROJ</v>
      </c>
      <c r="C148" s="23" t="str">
        <f t="shared" si="225"/>
        <v>-</v>
      </c>
      <c r="D148" s="57" t="str">
        <f>ITEMS_TRA!C26</f>
        <v>TFROT</v>
      </c>
      <c r="E148" s="23" t="str">
        <f t="shared" si="226"/>
        <v>-</v>
      </c>
      <c r="F148" s="23" t="str">
        <f t="shared" si="226"/>
        <v>-</v>
      </c>
      <c r="G148" s="23" t="str">
        <f t="shared" si="226"/>
        <v>-</v>
      </c>
      <c r="H148" s="23" t="str">
        <f t="shared" si="226"/>
        <v>-</v>
      </c>
      <c r="I148" s="125">
        <f t="shared" si="227"/>
        <v>0</v>
      </c>
      <c r="J148" s="186">
        <f t="shared" ref="J148:AP148" si="239">INDEX($M122:$BA122,MATCH(J$132,$M$106:$BA$106,0))</f>
        <v>25.1</v>
      </c>
      <c r="K148" s="186">
        <f t="shared" si="239"/>
        <v>25.550055726606203</v>
      </c>
      <c r="L148" s="186">
        <f t="shared" si="239"/>
        <v>26.000111453212405</v>
      </c>
      <c r="M148" s="186">
        <f t="shared" si="239"/>
        <v>26.450167179818607</v>
      </c>
      <c r="N148" s="186">
        <f t="shared" si="239"/>
        <v>26.693366529665273</v>
      </c>
      <c r="O148" s="186">
        <f t="shared" si="239"/>
        <v>26.936565879511939</v>
      </c>
      <c r="P148" s="186">
        <f t="shared" si="239"/>
        <v>27.104212657960581</v>
      </c>
      <c r="Q148" s="186">
        <f t="shared" si="239"/>
        <v>27.271859436409219</v>
      </c>
      <c r="R148" s="186">
        <f t="shared" si="239"/>
        <v>25.699947790546279</v>
      </c>
      <c r="S148" s="186">
        <f t="shared" si="239"/>
        <v>26.12887643066572</v>
      </c>
      <c r="T148" s="186">
        <f t="shared" si="239"/>
        <v>26.681423257413577</v>
      </c>
      <c r="U148" s="186">
        <f t="shared" si="239"/>
        <v>27.233970084161434</v>
      </c>
      <c r="V148" s="186">
        <f t="shared" si="239"/>
        <v>27.786516910909292</v>
      </c>
      <c r="W148" s="186">
        <f t="shared" si="239"/>
        <v>28.339063737657149</v>
      </c>
      <c r="X148" s="186">
        <f t="shared" si="239"/>
        <v>28.891610564405006</v>
      </c>
      <c r="Y148" s="186">
        <f t="shared" si="239"/>
        <v>29.444157391152864</v>
      </c>
      <c r="Z148" s="186">
        <f t="shared" si="239"/>
        <v>29.996704217900721</v>
      </c>
      <c r="AA148" s="186">
        <f t="shared" si="239"/>
        <v>30.549251044648578</v>
      </c>
      <c r="AB148" s="186">
        <f t="shared" si="239"/>
        <v>31.101797871396435</v>
      </c>
      <c r="AC148" s="186">
        <f t="shared" si="239"/>
        <v>31.771016629247775</v>
      </c>
      <c r="AD148" s="186">
        <f t="shared" si="239"/>
        <v>32.440235387099115</v>
      </c>
      <c r="AE148" s="186">
        <f t="shared" si="239"/>
        <v>33.109454144950455</v>
      </c>
      <c r="AF148" s="186">
        <f t="shared" si="239"/>
        <v>33.778672902801794</v>
      </c>
      <c r="AG148" s="186">
        <f t="shared" si="239"/>
        <v>34.447891660653134</v>
      </c>
      <c r="AH148" s="186">
        <f t="shared" si="239"/>
        <v>35.117110418504474</v>
      </c>
      <c r="AI148" s="186">
        <f t="shared" si="239"/>
        <v>35.786329176355814</v>
      </c>
      <c r="AJ148" s="186">
        <f t="shared" si="239"/>
        <v>36.455547934207154</v>
      </c>
      <c r="AK148" s="186">
        <f t="shared" si="239"/>
        <v>37.124766692058493</v>
      </c>
      <c r="AL148" s="186">
        <f t="shared" si="239"/>
        <v>37.79398544990984</v>
      </c>
      <c r="AM148" s="186">
        <f t="shared" si="239"/>
        <v>42.225142620195172</v>
      </c>
      <c r="AN148" s="186">
        <f t="shared" si="239"/>
        <v>46.656299790480489</v>
      </c>
      <c r="AO148" s="186">
        <f t="shared" si="239"/>
        <v>46.656299790480489</v>
      </c>
      <c r="AP148" s="186">
        <f t="shared" si="239"/>
        <v>46.656299790480489</v>
      </c>
    </row>
    <row r="149" spans="1:51">
      <c r="A149" s="40"/>
      <c r="B149" s="22" t="str">
        <f t="shared" si="224"/>
        <v>COM_PROJ</v>
      </c>
      <c r="C149" s="124" t="str">
        <f t="shared" si="225"/>
        <v>-</v>
      </c>
      <c r="D149" s="57" t="str">
        <f>ITEMS_TRA!C27</f>
        <v>TFREX</v>
      </c>
      <c r="E149" s="124" t="str">
        <f t="shared" si="226"/>
        <v>-</v>
      </c>
      <c r="F149" s="124" t="str">
        <f t="shared" si="226"/>
        <v>-</v>
      </c>
      <c r="G149" s="124" t="str">
        <f t="shared" si="226"/>
        <v>-</v>
      </c>
      <c r="H149" s="124" t="str">
        <f t="shared" si="226"/>
        <v>-</v>
      </c>
      <c r="I149" s="125">
        <f t="shared" si="227"/>
        <v>0</v>
      </c>
      <c r="J149" s="186">
        <f t="shared" ref="J149:AP149" si="240">INDEX($M123:$BA123,MATCH(J$132,$M$106:$BA$106,0))</f>
        <v>82</v>
      </c>
      <c r="K149" s="186">
        <f t="shared" si="240"/>
        <v>82</v>
      </c>
      <c r="L149" s="186">
        <f t="shared" si="240"/>
        <v>82</v>
      </c>
      <c r="M149" s="186">
        <f t="shared" si="240"/>
        <v>82</v>
      </c>
      <c r="N149" s="186">
        <f t="shared" si="240"/>
        <v>82</v>
      </c>
      <c r="O149" s="186">
        <f t="shared" si="240"/>
        <v>82</v>
      </c>
      <c r="P149" s="186">
        <f t="shared" si="240"/>
        <v>84.018400836522261</v>
      </c>
      <c r="Q149" s="186">
        <f t="shared" si="240"/>
        <v>86.036801673044508</v>
      </c>
      <c r="R149" s="186">
        <f t="shared" si="240"/>
        <v>76.525600127976475</v>
      </c>
      <c r="S149" s="186">
        <f t="shared" si="240"/>
        <v>81.331040777374611</v>
      </c>
      <c r="T149" s="186">
        <f t="shared" si="240"/>
        <v>82.062170075963863</v>
      </c>
      <c r="U149" s="186">
        <f t="shared" si="240"/>
        <v>82.793299374553115</v>
      </c>
      <c r="V149" s="186">
        <f t="shared" si="240"/>
        <v>83.524428673142367</v>
      </c>
      <c r="W149" s="186">
        <f t="shared" si="240"/>
        <v>84.255557971731619</v>
      </c>
      <c r="X149" s="186">
        <f t="shared" si="240"/>
        <v>84.986687270320871</v>
      </c>
      <c r="Y149" s="186">
        <f t="shared" si="240"/>
        <v>85.717816568910123</v>
      </c>
      <c r="Z149" s="186">
        <f t="shared" si="240"/>
        <v>86.448945867499376</v>
      </c>
      <c r="AA149" s="186">
        <f t="shared" si="240"/>
        <v>87.180075166088628</v>
      </c>
      <c r="AB149" s="186">
        <f t="shared" si="240"/>
        <v>87.911204464677908</v>
      </c>
      <c r="AC149" s="186">
        <f t="shared" si="240"/>
        <v>89.965956911277232</v>
      </c>
      <c r="AD149" s="186">
        <f t="shared" si="240"/>
        <v>92.020709357876555</v>
      </c>
      <c r="AE149" s="186">
        <f t="shared" si="240"/>
        <v>94.075461804475879</v>
      </c>
      <c r="AF149" s="186">
        <f t="shared" si="240"/>
        <v>96.130214251075202</v>
      </c>
      <c r="AG149" s="186">
        <f t="shared" si="240"/>
        <v>98.184966697674525</v>
      </c>
      <c r="AH149" s="186">
        <f t="shared" si="240"/>
        <v>100.23971914427385</v>
      </c>
      <c r="AI149" s="186">
        <f t="shared" si="240"/>
        <v>102.29447159087317</v>
      </c>
      <c r="AJ149" s="186">
        <f t="shared" si="240"/>
        <v>104.3492240374725</v>
      </c>
      <c r="AK149" s="186">
        <f t="shared" si="240"/>
        <v>106.40397648407182</v>
      </c>
      <c r="AL149" s="186">
        <f t="shared" si="240"/>
        <v>108.4587289306711</v>
      </c>
      <c r="AM149" s="186">
        <f t="shared" si="240"/>
        <v>120.07603703362946</v>
      </c>
      <c r="AN149" s="186">
        <f t="shared" si="240"/>
        <v>131.69334513658779</v>
      </c>
      <c r="AO149" s="186">
        <f t="shared" si="240"/>
        <v>131.69334513658779</v>
      </c>
      <c r="AP149" s="186">
        <f t="shared" si="240"/>
        <v>131.69334513658779</v>
      </c>
    </row>
    <row r="150" spans="1:51">
      <c r="A150" s="187"/>
      <c r="B150" s="187"/>
      <c r="C150" s="187"/>
      <c r="D150" s="187"/>
      <c r="E150" s="187"/>
      <c r="F150" s="187"/>
      <c r="G150" s="187"/>
      <c r="H150" s="187"/>
      <c r="I150" s="63"/>
      <c r="J150" s="63"/>
      <c r="K150" s="63"/>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10"/>
    </row>
    <row r="151" spans="1:51">
      <c r="A151" s="187"/>
      <c r="B151" s="187"/>
      <c r="C151" s="187"/>
      <c r="D151" s="187"/>
      <c r="E151" s="187"/>
      <c r="F151" s="187"/>
      <c r="G151" s="63"/>
      <c r="H151" s="63"/>
      <c r="I151" s="63"/>
      <c r="J151" s="63"/>
      <c r="K151" s="63"/>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10"/>
      <c r="AQ151" s="10"/>
      <c r="AR151" s="10"/>
      <c r="AS151" s="10"/>
      <c r="AT151" s="10"/>
      <c r="AU151" s="10"/>
      <c r="AV151" s="10"/>
      <c r="AW151" s="10"/>
      <c r="AX151" s="10"/>
      <c r="AY151" s="10"/>
    </row>
    <row r="152" spans="1:51">
      <c r="A152" s="187"/>
      <c r="B152" s="187"/>
      <c r="C152" s="187"/>
      <c r="D152" s="187"/>
      <c r="E152" s="187"/>
      <c r="F152" s="187"/>
      <c r="G152" s="63"/>
      <c r="H152" s="63"/>
      <c r="I152" s="63"/>
      <c r="J152" s="63"/>
      <c r="K152" s="63"/>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10"/>
      <c r="AS152" s="10"/>
      <c r="AT152" s="10"/>
      <c r="AU152" s="10"/>
      <c r="AV152" s="10"/>
      <c r="AW152" s="10"/>
      <c r="AX152" s="10"/>
      <c r="AY152" s="10"/>
    </row>
    <row r="153" spans="1:51">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10"/>
      <c r="AS153" s="10"/>
      <c r="AT153" s="10"/>
      <c r="AU153" s="10"/>
      <c r="AV153" s="10"/>
      <c r="AW153" s="10"/>
      <c r="AX153" s="10"/>
      <c r="AY153" s="10"/>
    </row>
    <row r="154" spans="1:51">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10"/>
      <c r="AS154" s="10"/>
      <c r="AT154" s="10"/>
      <c r="AU154" s="10"/>
      <c r="AV154" s="10"/>
      <c r="AW154" s="10"/>
      <c r="AX154" s="10"/>
      <c r="AY154" s="10"/>
    </row>
    <row r="155" spans="1:51">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10"/>
      <c r="AS155" s="10"/>
      <c r="AT155" s="10"/>
      <c r="AU155" s="10"/>
      <c r="AV155" s="10"/>
      <c r="AW155" s="10"/>
      <c r="AX155" s="10"/>
      <c r="AY155" s="10"/>
    </row>
    <row r="156" spans="1:51">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10"/>
      <c r="AS156" s="10"/>
      <c r="AT156" s="10"/>
      <c r="AU156" s="10"/>
      <c r="AV156" s="10"/>
      <c r="AW156" s="10"/>
      <c r="AX156" s="10"/>
      <c r="AY156" s="10"/>
    </row>
    <row r="157" spans="1:51">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10"/>
      <c r="AS157" s="10"/>
      <c r="AT157" s="10"/>
      <c r="AU157" s="10"/>
      <c r="AV157" s="10"/>
      <c r="AW157" s="10"/>
      <c r="AX157" s="10"/>
      <c r="AY157" s="10"/>
    </row>
    <row r="158" spans="1:51">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10"/>
      <c r="AS158" s="10"/>
      <c r="AT158" s="10"/>
      <c r="AU158" s="10"/>
      <c r="AV158" s="10"/>
      <c r="AW158" s="10"/>
      <c r="AX158" s="10"/>
      <c r="AY158" s="10"/>
    </row>
    <row r="159" spans="1:51">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10"/>
      <c r="AS159" s="10"/>
      <c r="AT159" s="10"/>
      <c r="AU159" s="10"/>
      <c r="AV159" s="10"/>
      <c r="AW159" s="10"/>
      <c r="AX159" s="10"/>
      <c r="AY159" s="10"/>
    </row>
    <row r="160" spans="1:51">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10"/>
      <c r="AS160" s="10"/>
      <c r="AT160" s="10"/>
      <c r="AU160" s="10"/>
      <c r="AV160" s="10"/>
      <c r="AW160" s="10"/>
      <c r="AX160" s="10"/>
      <c r="AY160" s="10"/>
    </row>
    <row r="161" spans="1:78">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10"/>
      <c r="AS161" s="10"/>
      <c r="AT161" s="10"/>
      <c r="AU161" s="10"/>
      <c r="AV161" s="10"/>
      <c r="AW161" s="10"/>
      <c r="AX161" s="10"/>
      <c r="AY161" s="10"/>
    </row>
    <row r="162" spans="1:78">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10"/>
      <c r="AS162" s="10"/>
      <c r="AT162" s="10"/>
      <c r="AU162" s="10"/>
      <c r="AV162" s="10"/>
      <c r="AW162" s="10"/>
      <c r="AX162" s="10"/>
      <c r="AY162" s="10"/>
    </row>
    <row r="163" spans="1:78">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10"/>
      <c r="AS163" s="10"/>
      <c r="AT163" s="10"/>
      <c r="AU163" s="10"/>
      <c r="AV163" s="10"/>
      <c r="AW163" s="10"/>
      <c r="AX163" s="10"/>
      <c r="AY163" s="10"/>
    </row>
    <row r="164" spans="1:78">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10"/>
      <c r="AS164" s="10"/>
      <c r="AT164" s="10"/>
      <c r="AU164" s="10"/>
      <c r="AV164" s="10"/>
      <c r="AW164" s="10"/>
      <c r="AX164" s="10"/>
      <c r="AY164" s="10"/>
    </row>
    <row r="165" spans="1:78">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10"/>
      <c r="AS165" s="10"/>
      <c r="AT165" s="10"/>
      <c r="AU165" s="10"/>
      <c r="AV165" s="10"/>
      <c r="AW165" s="10"/>
      <c r="AX165" s="10"/>
      <c r="AY165" s="10"/>
    </row>
    <row r="166" spans="1:78">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10"/>
      <c r="AS166" s="10"/>
      <c r="AT166" s="10"/>
      <c r="AU166" s="10"/>
      <c r="AV166" s="10"/>
      <c r="AW166" s="10"/>
      <c r="AX166" s="10"/>
      <c r="AY166" s="10"/>
    </row>
    <row r="167" spans="1:78">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10"/>
      <c r="AS167" s="10"/>
      <c r="AT167" s="10"/>
      <c r="AU167" s="10"/>
      <c r="AV167" s="10"/>
      <c r="AW167" s="10"/>
      <c r="AX167" s="10"/>
      <c r="AY167" s="10"/>
    </row>
    <row r="168" spans="1:78">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10"/>
      <c r="AS168" s="10"/>
      <c r="AT168" s="10"/>
      <c r="AU168" s="10"/>
      <c r="AV168" s="10"/>
      <c r="AW168" s="10"/>
      <c r="AX168" s="10"/>
      <c r="AY168" s="10"/>
    </row>
    <row r="169" spans="1:78">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10"/>
      <c r="AS169" s="10"/>
      <c r="AT169" s="10"/>
      <c r="AU169" s="10"/>
      <c r="AV169" s="10"/>
      <c r="AW169" s="10"/>
      <c r="AX169" s="10"/>
      <c r="AY169" s="10"/>
    </row>
    <row r="170" spans="1:78" ht="23.25">
      <c r="A170" s="114" t="s">
        <v>16</v>
      </c>
      <c r="B170" s="118" t="s">
        <v>18</v>
      </c>
      <c r="C170" s="118" t="s">
        <v>19</v>
      </c>
      <c r="D170" s="118" t="s">
        <v>20</v>
      </c>
      <c r="E170" s="118" t="s">
        <v>21</v>
      </c>
      <c r="F170" s="118" t="s">
        <v>22</v>
      </c>
      <c r="G170" s="118" t="s">
        <v>23</v>
      </c>
      <c r="H170" s="118"/>
      <c r="I170" s="118" t="s">
        <v>24</v>
      </c>
      <c r="J170" s="119" t="s">
        <v>25</v>
      </c>
      <c r="K170" s="185">
        <v>2012</v>
      </c>
      <c r="L170" s="185">
        <v>2013</v>
      </c>
      <c r="M170" s="185">
        <v>2014</v>
      </c>
      <c r="N170" s="185">
        <v>2015</v>
      </c>
      <c r="O170" s="185">
        <v>2016</v>
      </c>
      <c r="P170" s="185">
        <v>2017</v>
      </c>
      <c r="Q170" s="185">
        <v>2018</v>
      </c>
      <c r="R170" s="185">
        <v>2019</v>
      </c>
      <c r="S170" s="185">
        <v>2020</v>
      </c>
      <c r="T170" s="185">
        <v>2021</v>
      </c>
      <c r="U170" s="185">
        <v>2022</v>
      </c>
      <c r="V170" s="185">
        <v>2023</v>
      </c>
      <c r="W170" s="185">
        <v>2024</v>
      </c>
      <c r="X170" s="185">
        <v>2025</v>
      </c>
      <c r="Y170" s="185">
        <v>2026</v>
      </c>
      <c r="Z170" s="185">
        <v>2027</v>
      </c>
      <c r="AA170" s="185">
        <v>2028</v>
      </c>
      <c r="AB170" s="185">
        <v>2029</v>
      </c>
      <c r="AC170" s="185">
        <v>2030</v>
      </c>
      <c r="AD170" s="185">
        <v>2031</v>
      </c>
      <c r="AE170" s="185">
        <v>2032</v>
      </c>
      <c r="AF170" s="185">
        <v>2033</v>
      </c>
      <c r="AG170" s="185">
        <v>2034</v>
      </c>
      <c r="AH170" s="185">
        <v>2035</v>
      </c>
      <c r="AI170" s="185">
        <v>2036</v>
      </c>
      <c r="AJ170" s="185">
        <v>2037</v>
      </c>
      <c r="AK170" s="185">
        <v>2038</v>
      </c>
      <c r="AL170" s="185">
        <v>2039</v>
      </c>
      <c r="AM170" s="185">
        <v>2040</v>
      </c>
      <c r="AN170" s="185">
        <v>2041</v>
      </c>
      <c r="AO170" s="185">
        <v>2042</v>
      </c>
      <c r="AP170" s="185">
        <v>2043</v>
      </c>
      <c r="AQ170" s="185">
        <v>2044</v>
      </c>
    </row>
    <row r="171" spans="1:78" s="191" customFormat="1">
      <c r="A171" s="114" t="s">
        <v>16</v>
      </c>
      <c r="B171" s="191" t="s">
        <v>392</v>
      </c>
      <c r="C171" s="191">
        <v>1</v>
      </c>
      <c r="D171" s="191">
        <v>2006</v>
      </c>
      <c r="E171" s="191">
        <v>2010</v>
      </c>
      <c r="F171" s="191">
        <v>2020</v>
      </c>
      <c r="G171" s="191">
        <v>2030</v>
      </c>
      <c r="I171" s="191">
        <v>2040</v>
      </c>
      <c r="J171" s="236">
        <v>2050</v>
      </c>
      <c r="K171" s="191">
        <f t="shared" ref="K171:AQ171" si="241">MATCH(J$132,$C$128:$K$128,$C171)</f>
        <v>1</v>
      </c>
      <c r="L171" s="191">
        <f t="shared" si="241"/>
        <v>1</v>
      </c>
      <c r="M171" s="191">
        <f t="shared" si="241"/>
        <v>1</v>
      </c>
      <c r="N171" s="191">
        <f t="shared" si="241"/>
        <v>2</v>
      </c>
      <c r="O171" s="191">
        <f t="shared" si="241"/>
        <v>2</v>
      </c>
      <c r="P171" s="191">
        <f t="shared" si="241"/>
        <v>3</v>
      </c>
      <c r="Q171" s="191">
        <f t="shared" si="241"/>
        <v>3</v>
      </c>
      <c r="R171" s="191">
        <f t="shared" si="241"/>
        <v>4</v>
      </c>
      <c r="S171" s="191">
        <f t="shared" si="241"/>
        <v>5</v>
      </c>
      <c r="T171" s="191">
        <f t="shared" si="241"/>
        <v>6</v>
      </c>
      <c r="U171" s="191">
        <f t="shared" si="241"/>
        <v>6</v>
      </c>
      <c r="V171" s="191">
        <f t="shared" si="241"/>
        <v>6</v>
      </c>
      <c r="W171" s="191">
        <f t="shared" si="241"/>
        <v>6</v>
      </c>
      <c r="X171" s="191">
        <f t="shared" si="241"/>
        <v>6</v>
      </c>
      <c r="Y171" s="191">
        <f t="shared" si="241"/>
        <v>6</v>
      </c>
      <c r="Z171" s="191">
        <f t="shared" si="241"/>
        <v>6</v>
      </c>
      <c r="AA171" s="191">
        <f t="shared" si="241"/>
        <v>6</v>
      </c>
      <c r="AB171" s="191">
        <f t="shared" si="241"/>
        <v>6</v>
      </c>
      <c r="AC171" s="191">
        <f t="shared" si="241"/>
        <v>7</v>
      </c>
      <c r="AD171" s="191">
        <f t="shared" si="241"/>
        <v>7</v>
      </c>
      <c r="AE171" s="191">
        <f t="shared" si="241"/>
        <v>7</v>
      </c>
      <c r="AF171" s="191">
        <f t="shared" si="241"/>
        <v>7</v>
      </c>
      <c r="AG171" s="191">
        <f t="shared" si="241"/>
        <v>7</v>
      </c>
      <c r="AH171" s="191">
        <f t="shared" si="241"/>
        <v>7</v>
      </c>
      <c r="AI171" s="191">
        <f t="shared" si="241"/>
        <v>7</v>
      </c>
      <c r="AJ171" s="191">
        <f t="shared" si="241"/>
        <v>7</v>
      </c>
      <c r="AK171" s="191">
        <f t="shared" si="241"/>
        <v>7</v>
      </c>
      <c r="AL171" s="191">
        <f t="shared" si="241"/>
        <v>7</v>
      </c>
      <c r="AM171" s="191">
        <f t="shared" si="241"/>
        <v>8</v>
      </c>
      <c r="AN171" s="191">
        <f t="shared" si="241"/>
        <v>8</v>
      </c>
      <c r="AO171" s="191">
        <f t="shared" si="241"/>
        <v>9</v>
      </c>
      <c r="AP171" s="191">
        <f t="shared" si="241"/>
        <v>9</v>
      </c>
      <c r="AQ171" s="191">
        <f t="shared" si="241"/>
        <v>9</v>
      </c>
      <c r="AR171" s="185"/>
      <c r="AS171" s="185"/>
      <c r="AT171" s="185"/>
      <c r="AU171" s="185"/>
      <c r="AV171" s="185"/>
      <c r="AW171" s="185"/>
      <c r="AX171" s="185"/>
      <c r="AY171" s="185"/>
      <c r="AZ171" s="185"/>
      <c r="BA171" s="185"/>
      <c r="BB171" s="185"/>
      <c r="BC171" s="185"/>
      <c r="BD171" s="185"/>
      <c r="BE171" s="185"/>
      <c r="BF171" s="185"/>
      <c r="BG171" s="185"/>
      <c r="BH171" s="185"/>
      <c r="BI171" s="185"/>
      <c r="BJ171" s="185"/>
      <c r="BK171" s="185"/>
      <c r="BL171" s="185"/>
      <c r="BM171" s="185"/>
      <c r="BN171" s="185"/>
      <c r="BO171" s="185"/>
      <c r="BP171" s="185"/>
      <c r="BQ171" s="185"/>
      <c r="BR171" s="185"/>
      <c r="BS171" s="185"/>
      <c r="BT171" s="185"/>
      <c r="BU171" s="185"/>
      <c r="BV171" s="185"/>
      <c r="BW171" s="185"/>
      <c r="BX171" s="185"/>
      <c r="BY171" s="185"/>
      <c r="BZ171" s="185"/>
    </row>
    <row r="172" spans="1:78">
      <c r="A172" s="40" t="s">
        <v>16</v>
      </c>
      <c r="B172" s="185" t="s">
        <v>393</v>
      </c>
      <c r="C172" s="185">
        <v>0</v>
      </c>
      <c r="D172" s="185" cm="1">
        <f t="array" ref="D172">INDEX($D171:$J171,0,COUNT($D171:$J171)-D173)</f>
        <v>2040</v>
      </c>
      <c r="E172" s="185" cm="1">
        <f t="array" ref="E172">INDEX($D171:$J171,0,COUNT($D171:$J171)-E173)</f>
        <v>0</v>
      </c>
      <c r="F172" s="185" cm="1">
        <f t="array" ref="F172">INDEX($D171:$J171,0,COUNT($D171:$J171)-F173)</f>
        <v>2030</v>
      </c>
      <c r="G172" s="185" cm="1">
        <f t="array" ref="G172">INDEX($D171:$J171,0,COUNT($D171:$J171)-G173)</f>
        <v>2020</v>
      </c>
      <c r="I172" s="185" cm="1">
        <f t="array" ref="I172">INDEX($D171:$J171,0,COUNT($D171:$J171)-I173)</f>
        <v>2010</v>
      </c>
      <c r="J172" s="121" cm="1">
        <f t="array" ref="J172">INDEX($D171:$J171,0,COUNT($D171:$J171)-J173)</f>
        <v>2006</v>
      </c>
      <c r="K172" s="40">
        <f t="shared" ref="K172:AQ172" si="242">MATCH(J$132,$C$128:$K$128,$C172)</f>
        <v>1</v>
      </c>
      <c r="L172" s="185" t="e">
        <f t="shared" si="242"/>
        <v>#N/A</v>
      </c>
      <c r="M172" s="185" t="e">
        <f t="shared" si="242"/>
        <v>#N/A</v>
      </c>
      <c r="N172" s="185">
        <f t="shared" si="242"/>
        <v>2</v>
      </c>
      <c r="O172" s="185" t="e">
        <f t="shared" si="242"/>
        <v>#N/A</v>
      </c>
      <c r="P172" s="185">
        <f t="shared" si="242"/>
        <v>3</v>
      </c>
      <c r="Q172" s="185" t="e">
        <f t="shared" si="242"/>
        <v>#N/A</v>
      </c>
      <c r="R172" s="185">
        <f t="shared" si="242"/>
        <v>4</v>
      </c>
      <c r="S172" s="185">
        <f t="shared" si="242"/>
        <v>5</v>
      </c>
      <c r="T172" s="185">
        <f t="shared" si="242"/>
        <v>6</v>
      </c>
      <c r="U172" s="185" t="e">
        <f t="shared" si="242"/>
        <v>#N/A</v>
      </c>
      <c r="V172" s="185" t="e">
        <f t="shared" si="242"/>
        <v>#N/A</v>
      </c>
      <c r="W172" s="185" t="e">
        <f t="shared" si="242"/>
        <v>#N/A</v>
      </c>
      <c r="X172" s="185" t="e">
        <f t="shared" si="242"/>
        <v>#N/A</v>
      </c>
      <c r="Y172" s="185" t="e">
        <f t="shared" si="242"/>
        <v>#N/A</v>
      </c>
      <c r="Z172" s="185" t="e">
        <f t="shared" si="242"/>
        <v>#N/A</v>
      </c>
      <c r="AA172" s="185" t="e">
        <f t="shared" si="242"/>
        <v>#N/A</v>
      </c>
      <c r="AB172" s="185" t="e">
        <f t="shared" si="242"/>
        <v>#N/A</v>
      </c>
      <c r="AC172" s="185">
        <f t="shared" si="242"/>
        <v>7</v>
      </c>
      <c r="AD172" s="185" t="e">
        <f t="shared" si="242"/>
        <v>#N/A</v>
      </c>
      <c r="AE172" s="185" t="e">
        <f t="shared" si="242"/>
        <v>#N/A</v>
      </c>
      <c r="AF172" s="185" t="e">
        <f t="shared" si="242"/>
        <v>#N/A</v>
      </c>
      <c r="AG172" s="185" t="e">
        <f t="shared" si="242"/>
        <v>#N/A</v>
      </c>
      <c r="AH172" s="185" t="e">
        <f t="shared" si="242"/>
        <v>#N/A</v>
      </c>
      <c r="AI172" s="185" t="e">
        <f t="shared" si="242"/>
        <v>#N/A</v>
      </c>
      <c r="AJ172" s="185" t="e">
        <f t="shared" si="242"/>
        <v>#N/A</v>
      </c>
      <c r="AK172" s="185" t="e">
        <f t="shared" si="242"/>
        <v>#N/A</v>
      </c>
      <c r="AL172" s="185" t="e">
        <f t="shared" si="242"/>
        <v>#N/A</v>
      </c>
      <c r="AM172" s="185">
        <f t="shared" si="242"/>
        <v>8</v>
      </c>
      <c r="AN172" s="185" t="e">
        <f t="shared" si="242"/>
        <v>#N/A</v>
      </c>
      <c r="AO172" s="185">
        <f t="shared" si="242"/>
        <v>9</v>
      </c>
      <c r="AP172" s="185" t="e">
        <f t="shared" si="242"/>
        <v>#N/A</v>
      </c>
      <c r="AQ172" s="185" t="e">
        <f t="shared" si="242"/>
        <v>#N/A</v>
      </c>
    </row>
    <row r="173" spans="1:78">
      <c r="A173" s="40" t="s">
        <v>16</v>
      </c>
      <c r="B173" s="185" t="s">
        <v>391</v>
      </c>
      <c r="C173" s="185">
        <v>-1</v>
      </c>
      <c r="D173" s="185">
        <v>0</v>
      </c>
      <c r="E173" s="185">
        <v>1</v>
      </c>
      <c r="F173" s="185">
        <v>2</v>
      </c>
      <c r="G173" s="185">
        <v>3</v>
      </c>
      <c r="I173" s="185">
        <v>4</v>
      </c>
      <c r="J173" s="185">
        <v>5</v>
      </c>
      <c r="K173" s="40">
        <f t="shared" ref="K173:AQ173" si="243">MATCH(J$132,$C$129:$K$129,$C173)</f>
        <v>9</v>
      </c>
      <c r="L173" s="185">
        <f t="shared" si="243"/>
        <v>8</v>
      </c>
      <c r="M173" s="185">
        <f t="shared" si="243"/>
        <v>8</v>
      </c>
      <c r="N173" s="185">
        <f t="shared" si="243"/>
        <v>8</v>
      </c>
      <c r="O173" s="185">
        <f t="shared" si="243"/>
        <v>7</v>
      </c>
      <c r="P173" s="185">
        <f t="shared" si="243"/>
        <v>7</v>
      </c>
      <c r="Q173" s="185">
        <f t="shared" si="243"/>
        <v>6</v>
      </c>
      <c r="R173" s="185">
        <f t="shared" si="243"/>
        <v>6</v>
      </c>
      <c r="S173" s="185">
        <f t="shared" si="243"/>
        <v>5</v>
      </c>
      <c r="T173" s="185">
        <f t="shared" si="243"/>
        <v>4</v>
      </c>
      <c r="U173" s="185">
        <f t="shared" si="243"/>
        <v>3</v>
      </c>
      <c r="V173" s="185">
        <f t="shared" si="243"/>
        <v>3</v>
      </c>
      <c r="W173" s="185">
        <f t="shared" si="243"/>
        <v>3</v>
      </c>
      <c r="X173" s="185">
        <f t="shared" si="243"/>
        <v>3</v>
      </c>
      <c r="Y173" s="185">
        <f t="shared" si="243"/>
        <v>3</v>
      </c>
      <c r="Z173" s="185">
        <f t="shared" si="243"/>
        <v>3</v>
      </c>
      <c r="AA173" s="185">
        <f t="shared" si="243"/>
        <v>3</v>
      </c>
      <c r="AB173" s="185">
        <f t="shared" si="243"/>
        <v>3</v>
      </c>
      <c r="AC173" s="185">
        <f t="shared" si="243"/>
        <v>3</v>
      </c>
      <c r="AD173" s="185">
        <f t="shared" si="243"/>
        <v>2</v>
      </c>
      <c r="AE173" s="185">
        <f t="shared" si="243"/>
        <v>2</v>
      </c>
      <c r="AF173" s="185">
        <f t="shared" si="243"/>
        <v>2</v>
      </c>
      <c r="AG173" s="185">
        <f t="shared" si="243"/>
        <v>2</v>
      </c>
      <c r="AH173" s="185">
        <f t="shared" si="243"/>
        <v>2</v>
      </c>
      <c r="AI173" s="185">
        <f t="shared" si="243"/>
        <v>2</v>
      </c>
      <c r="AJ173" s="185">
        <f t="shared" si="243"/>
        <v>2</v>
      </c>
      <c r="AK173" s="185">
        <f t="shared" si="243"/>
        <v>2</v>
      </c>
      <c r="AL173" s="185">
        <f t="shared" si="243"/>
        <v>2</v>
      </c>
      <c r="AM173" s="185">
        <f t="shared" si="243"/>
        <v>2</v>
      </c>
      <c r="AN173" s="185">
        <f t="shared" si="243"/>
        <v>1</v>
      </c>
      <c r="AO173" s="185">
        <f t="shared" si="243"/>
        <v>1</v>
      </c>
      <c r="AP173" s="185" t="e">
        <f t="shared" si="243"/>
        <v>#N/A</v>
      </c>
      <c r="AQ173" s="185" t="e">
        <f t="shared" si="243"/>
        <v>#N/A</v>
      </c>
    </row>
    <row r="174" spans="1:78" s="117" customFormat="1">
      <c r="A174" s="40" t="s">
        <v>16</v>
      </c>
      <c r="B174" s="185" t="s">
        <v>394</v>
      </c>
      <c r="C174" s="185"/>
      <c r="D174" s="185"/>
      <c r="E174" s="185"/>
      <c r="F174" s="185"/>
      <c r="G174" s="185"/>
      <c r="H174" s="185"/>
      <c r="I174" s="185"/>
      <c r="J174" s="122"/>
      <c r="K174" s="189">
        <f>IF(ISNA(K171),-1,IF(ISNA(K173),99,IF(ISNA(K172),K171,0)))</f>
        <v>0</v>
      </c>
      <c r="L174" s="189">
        <f t="shared" ref="L174:AQ174" si="244">IF(ISNA(L171),-1,IF(ISNA(L173),99,IF(ISNA(L172),L171,0)))</f>
        <v>1</v>
      </c>
      <c r="M174" s="189">
        <f t="shared" si="244"/>
        <v>1</v>
      </c>
      <c r="N174" s="189">
        <f t="shared" si="244"/>
        <v>0</v>
      </c>
      <c r="O174" s="189">
        <f t="shared" si="244"/>
        <v>2</v>
      </c>
      <c r="P174" s="189">
        <f t="shared" si="244"/>
        <v>0</v>
      </c>
      <c r="Q174" s="189">
        <f t="shared" si="244"/>
        <v>3</v>
      </c>
      <c r="R174" s="189">
        <f t="shared" si="244"/>
        <v>0</v>
      </c>
      <c r="S174" s="189">
        <f t="shared" si="244"/>
        <v>0</v>
      </c>
      <c r="T174" s="189">
        <f t="shared" si="244"/>
        <v>0</v>
      </c>
      <c r="U174" s="189">
        <f t="shared" si="244"/>
        <v>6</v>
      </c>
      <c r="V174" s="189">
        <f t="shared" si="244"/>
        <v>6</v>
      </c>
      <c r="W174" s="189">
        <f t="shared" si="244"/>
        <v>6</v>
      </c>
      <c r="X174" s="189">
        <f t="shared" si="244"/>
        <v>6</v>
      </c>
      <c r="Y174" s="189">
        <f t="shared" si="244"/>
        <v>6</v>
      </c>
      <c r="Z174" s="189">
        <f t="shared" si="244"/>
        <v>6</v>
      </c>
      <c r="AA174" s="189">
        <f t="shared" si="244"/>
        <v>6</v>
      </c>
      <c r="AB174" s="189">
        <f t="shared" si="244"/>
        <v>6</v>
      </c>
      <c r="AC174" s="189">
        <f t="shared" si="244"/>
        <v>0</v>
      </c>
      <c r="AD174" s="189">
        <f t="shared" si="244"/>
        <v>7</v>
      </c>
      <c r="AE174" s="189">
        <f t="shared" si="244"/>
        <v>7</v>
      </c>
      <c r="AF174" s="189">
        <f t="shared" si="244"/>
        <v>7</v>
      </c>
      <c r="AG174" s="189">
        <f t="shared" si="244"/>
        <v>7</v>
      </c>
      <c r="AH174" s="189">
        <f t="shared" si="244"/>
        <v>7</v>
      </c>
      <c r="AI174" s="189">
        <f t="shared" si="244"/>
        <v>7</v>
      </c>
      <c r="AJ174" s="189">
        <f t="shared" si="244"/>
        <v>7</v>
      </c>
      <c r="AK174" s="189">
        <f t="shared" si="244"/>
        <v>7</v>
      </c>
      <c r="AL174" s="189">
        <f t="shared" si="244"/>
        <v>7</v>
      </c>
      <c r="AM174" s="189">
        <f t="shared" si="244"/>
        <v>0</v>
      </c>
      <c r="AN174" s="189">
        <f t="shared" si="244"/>
        <v>8</v>
      </c>
      <c r="AO174" s="189">
        <f t="shared" si="244"/>
        <v>0</v>
      </c>
      <c r="AP174" s="189">
        <f t="shared" si="244"/>
        <v>99</v>
      </c>
      <c r="AQ174" s="189">
        <f t="shared" si="244"/>
        <v>99</v>
      </c>
      <c r="AR174" s="185"/>
      <c r="AS174" s="185"/>
      <c r="AT174" s="185"/>
      <c r="AU174" s="185"/>
      <c r="AV174" s="185"/>
      <c r="AW174" s="185"/>
      <c r="AX174" s="185"/>
      <c r="AY174" s="185"/>
      <c r="AZ174" s="185"/>
      <c r="BA174" s="185"/>
      <c r="BB174" s="185"/>
      <c r="BC174" s="185"/>
      <c r="BD174" s="185"/>
      <c r="BE174" s="185"/>
      <c r="BF174" s="185"/>
      <c r="BG174" s="185"/>
      <c r="BH174" s="185"/>
      <c r="BI174" s="185"/>
      <c r="BJ174" s="185"/>
      <c r="BK174" s="185"/>
      <c r="BL174" s="185"/>
      <c r="BM174" s="185"/>
      <c r="BN174" s="185"/>
      <c r="BO174" s="185"/>
      <c r="BP174" s="185"/>
      <c r="BQ174" s="185"/>
      <c r="BR174" s="185"/>
      <c r="BS174" s="185"/>
      <c r="BT174" s="185"/>
      <c r="BU174" s="185"/>
      <c r="BV174" s="185"/>
      <c r="BW174" s="185"/>
      <c r="BX174" s="185"/>
      <c r="BY174" s="185"/>
      <c r="BZ174" s="185"/>
    </row>
    <row r="175" spans="1:78">
      <c r="A175" s="185" t="s">
        <v>16</v>
      </c>
      <c r="B175" s="22" t="str">
        <f t="shared" ref="B175:B184" si="245">IF(A175="*","","COM_PROJ")</f>
        <v/>
      </c>
      <c r="C175" s="23" t="str">
        <f t="shared" ref="C175:C184" si="246">IF($A175="*","","-")</f>
        <v/>
      </c>
      <c r="D175" s="57"/>
      <c r="E175" s="23" t="str">
        <f t="shared" ref="E175:I184" si="247">IF($A175="*","","-")</f>
        <v/>
      </c>
      <c r="F175" s="23" t="str">
        <f t="shared" si="247"/>
        <v/>
      </c>
      <c r="G175" s="23" t="str">
        <f t="shared" si="247"/>
        <v/>
      </c>
      <c r="H175" s="23"/>
      <c r="I175" s="23" t="str">
        <f t="shared" si="247"/>
        <v/>
      </c>
      <c r="K175" s="23">
        <f>K170</f>
        <v>2012</v>
      </c>
      <c r="L175" s="23">
        <f t="shared" ref="L175:AQ175" si="248">L170</f>
        <v>2013</v>
      </c>
      <c r="M175" s="23">
        <f t="shared" si="248"/>
        <v>2014</v>
      </c>
      <c r="N175" s="23">
        <f t="shared" si="248"/>
        <v>2015</v>
      </c>
      <c r="O175" s="23">
        <f t="shared" si="248"/>
        <v>2016</v>
      </c>
      <c r="P175" s="23">
        <f t="shared" si="248"/>
        <v>2017</v>
      </c>
      <c r="Q175" s="23">
        <f t="shared" si="248"/>
        <v>2018</v>
      </c>
      <c r="R175" s="23">
        <f t="shared" si="248"/>
        <v>2019</v>
      </c>
      <c r="S175" s="23">
        <f t="shared" si="248"/>
        <v>2020</v>
      </c>
      <c r="T175" s="23">
        <f t="shared" si="248"/>
        <v>2021</v>
      </c>
      <c r="U175" s="23">
        <f t="shared" si="248"/>
        <v>2022</v>
      </c>
      <c r="V175" s="23">
        <f t="shared" si="248"/>
        <v>2023</v>
      </c>
      <c r="W175" s="23">
        <f t="shared" si="248"/>
        <v>2024</v>
      </c>
      <c r="X175" s="23">
        <f t="shared" si="248"/>
        <v>2025</v>
      </c>
      <c r="Y175" s="23">
        <f t="shared" si="248"/>
        <v>2026</v>
      </c>
      <c r="Z175" s="23">
        <f t="shared" si="248"/>
        <v>2027</v>
      </c>
      <c r="AA175" s="23">
        <f t="shared" si="248"/>
        <v>2028</v>
      </c>
      <c r="AB175" s="23">
        <f t="shared" si="248"/>
        <v>2029</v>
      </c>
      <c r="AC175" s="23">
        <f t="shared" si="248"/>
        <v>2030</v>
      </c>
      <c r="AD175" s="23">
        <f t="shared" si="248"/>
        <v>2031</v>
      </c>
      <c r="AE175" s="23">
        <f t="shared" si="248"/>
        <v>2032</v>
      </c>
      <c r="AF175" s="23">
        <f t="shared" si="248"/>
        <v>2033</v>
      </c>
      <c r="AG175" s="23">
        <f t="shared" si="248"/>
        <v>2034</v>
      </c>
      <c r="AH175" s="23">
        <f t="shared" si="248"/>
        <v>2035</v>
      </c>
      <c r="AI175" s="23">
        <f t="shared" si="248"/>
        <v>2036</v>
      </c>
      <c r="AJ175" s="23">
        <f t="shared" si="248"/>
        <v>2037</v>
      </c>
      <c r="AK175" s="23">
        <f t="shared" si="248"/>
        <v>2038</v>
      </c>
      <c r="AL175" s="23">
        <f t="shared" si="248"/>
        <v>2039</v>
      </c>
      <c r="AM175" s="23">
        <f t="shared" si="248"/>
        <v>2040</v>
      </c>
      <c r="AN175" s="23">
        <f t="shared" si="248"/>
        <v>2041</v>
      </c>
      <c r="AO175" s="23">
        <f t="shared" si="248"/>
        <v>2042</v>
      </c>
      <c r="AP175" s="23">
        <f t="shared" si="248"/>
        <v>2043</v>
      </c>
      <c r="AQ175" s="23">
        <f t="shared" si="248"/>
        <v>2044</v>
      </c>
    </row>
    <row r="176" spans="1:78">
      <c r="A176" s="185" t="s">
        <v>16</v>
      </c>
      <c r="B176" s="22" t="str">
        <f t="shared" si="245"/>
        <v/>
      </c>
      <c r="C176" s="23" t="str">
        <f t="shared" si="246"/>
        <v/>
      </c>
      <c r="D176" s="57"/>
      <c r="E176" s="23" t="str">
        <f t="shared" si="247"/>
        <v/>
      </c>
      <c r="F176" s="23" t="str">
        <f t="shared" si="247"/>
        <v/>
      </c>
      <c r="G176" s="23" t="str">
        <f t="shared" si="247"/>
        <v/>
      </c>
      <c r="H176" s="23"/>
      <c r="I176" s="23" t="str">
        <f t="shared" si="247"/>
        <v/>
      </c>
      <c r="J176" s="133" t="str">
        <f t="shared" ref="J176:J188" si="249">B76</f>
        <v>TFLCV</v>
      </c>
      <c r="K176" s="186">
        <f>F43</f>
        <v>17.310372778407704</v>
      </c>
      <c r="L176" s="186" cm="1">
        <f t="array" ref="L176">IF(L$174=-1,M176,IF(L$174=99,K176,IF(L$174=0,INDEX($F43:$N43,0,L$172),(INDEX($F43:$N43,0,L$174+1)-INDEX($F43:$N43,0,L$174))/(INDEX($F$4:$N$4,0,L$174+1)-INDEX($F$4:$N$4,0,L$174))+K176)))</f>
        <v>17.580501485645549</v>
      </c>
      <c r="M176" s="186" cm="1">
        <f t="array" ref="M176">IF(M$174=-1,N176,IF(M$174=99,L176,IF(M$174=0,INDEX($F43:$N43,0,M$172),(INDEX($F43:$N43,0,M$174+1)-INDEX($F43:$N43,0,M$174))/(INDEX($F$4:$N$4,0,M$174+1)-INDEX($F$4:$N$4,0,M$174))+L176)))</f>
        <v>17.850630192883393</v>
      </c>
      <c r="N176" s="186" cm="1">
        <f t="array" ref="N176">IF(N$174=-1,O176,IF(N$174=99,M176,IF(N$174=0,INDEX($F43:$N43,0,N$172),(INDEX($F43:$N43,0,N$174+1)-INDEX($F43:$N43,0,N$174))/(INDEX($F$4:$N$4,0,N$174+1)-INDEX($F$4:$N$4,0,N$174))+M176)))</f>
        <v>18.120758900121242</v>
      </c>
      <c r="O176" s="186" cm="1">
        <f t="array" ref="O176">IF(O$174=-1,P176,IF(O$174=99,N176,IF(O$174=0,INDEX($F43:$N43,0,O$172),(INDEX($F43:$N43,0,O$174+1)-INDEX($F43:$N43,0,O$174))/(INDEX($F$4:$N$4,0,O$174+1)-INDEX($F$4:$N$4,0,O$174))+N176)))</f>
        <v>18.525951960978013</v>
      </c>
      <c r="P176" s="186" cm="1">
        <f t="array" ref="P176">IF(P$174=-1,Q176,IF(P$174=99,O176,IF(P$174=0,INDEX($F43:$N43,0,P$172),(INDEX($F43:$N43,0,P$174+1)-INDEX($F43:$N43,0,P$174))/(INDEX($F$4:$N$4,0,P$174+1)-INDEX($F$4:$N$4,0,P$174))+O176)))</f>
        <v>18.931145021834784</v>
      </c>
      <c r="Q176" s="186" cm="1">
        <f t="array" ref="Q176">IF(Q$174=-1,R176,IF(Q$174=99,P176,IF(Q$174=0,INDEX($F43:$N43,0,Q$172),(INDEX($F43:$N43,0,Q$174+1)-INDEX($F43:$N43,0,Q$174))/(INDEX($F$4:$N$4,0,Q$174+1)-INDEX($F$4:$N$4,0,Q$174))+P176)))</f>
        <v>19.048967965169538</v>
      </c>
      <c r="R176" s="186" cm="1">
        <f t="array" ref="R176">IF(R$174=-1,S176,IF(R$174=99,Q176,IF(R$174=0,INDEX($F43:$N43,0,R$172),(INDEX($F43:$N43,0,R$174+1)-INDEX($F43:$N43,0,R$174))/(INDEX($F$4:$N$4,0,R$174+1)-INDEX($F$4:$N$4,0,R$174))+Q176)))</f>
        <v>19.166790908504293</v>
      </c>
      <c r="S176" s="186" cm="1">
        <f t="array" ref="S176">IF(S$174=-1,T176,IF(S$174=99,R176,IF(S$174=0,INDEX($F43:$N43,0,S$172),(INDEX($F43:$N43,0,S$174+1)-INDEX($F43:$N43,0,S$174))/(INDEX($F$4:$N$4,0,S$174+1)-INDEX($F$4:$N$4,0,S$174))+R176)))</f>
        <v>17.606790705410827</v>
      </c>
      <c r="T176" s="186" cm="1">
        <f t="array" ref="T176">IF(T$174=-1,U176,IF(T$174=99,S176,IF(T$174=0,INDEX($F43:$N43,0,T$172),(INDEX($F43:$N43,0,T$174+1)-INDEX($F43:$N43,0,T$174))/(INDEX($F$4:$N$4,0,T$174+1)-INDEX($F$4:$N$4,0,T$174))+S176)))</f>
        <v>18.363497083448415</v>
      </c>
      <c r="U176" s="186" cm="1">
        <f t="array" ref="U176">IF(U$174=-1,V176,IF(U$174=99,T176,IF(U$174=0,INDEX($F43:$N43,0,U$172),(INDEX($F43:$N43,0,U$174+1)-INDEX($F43:$N43,0,U$174))/(INDEX($F$4:$N$4,0,U$174+1)-INDEX($F$4:$N$4,0,U$174))+T176)))</f>
        <v>18.690613741876579</v>
      </c>
      <c r="V176" s="186" cm="1">
        <f t="array" ref="V176">IF(V$174=-1,W176,IF(V$174=99,U176,IF(V$174=0,INDEX($F43:$N43,0,V$172),(INDEX($F43:$N43,0,V$174+1)-INDEX($F43:$N43,0,V$174))/(INDEX($F$4:$N$4,0,V$174+1)-INDEX($F$4:$N$4,0,V$174))+U176)))</f>
        <v>19.017730400304742</v>
      </c>
      <c r="W176" s="186" cm="1">
        <f t="array" ref="W176">IF(W$174=-1,X176,IF(W$174=99,V176,IF(W$174=0,INDEX($F43:$N43,0,W$172),(INDEX($F43:$N43,0,W$174+1)-INDEX($F43:$N43,0,W$174))/(INDEX($F$4:$N$4,0,W$174+1)-INDEX($F$4:$N$4,0,W$174))+V176)))</f>
        <v>19.344847058732906</v>
      </c>
      <c r="X176" s="186" cm="1">
        <f t="array" ref="X176">IF(X$174=-1,Y176,IF(X$174=99,W176,IF(X$174=0,INDEX($F43:$N43,0,X$172),(INDEX($F43:$N43,0,X$174+1)-INDEX($F43:$N43,0,X$174))/(INDEX($F$4:$N$4,0,X$174+1)-INDEX($F$4:$N$4,0,X$174))+W176)))</f>
        <v>19.67196371716107</v>
      </c>
      <c r="Y176" s="186" cm="1">
        <f t="array" ref="Y176">IF(Y$174=-1,Z176,IF(Y$174=99,X176,IF(Y$174=0,INDEX($F43:$N43,0,Y$172),(INDEX($F43:$N43,0,Y$174+1)-INDEX($F43:$N43,0,Y$174))/(INDEX($F$4:$N$4,0,Y$174+1)-INDEX($F$4:$N$4,0,Y$174))+X176)))</f>
        <v>19.999080375589234</v>
      </c>
      <c r="Z176" s="186" cm="1">
        <f t="array" ref="Z176">IF(Z$174=-1,AA176,IF(Z$174=99,Y176,IF(Z$174=0,INDEX($F43:$N43,0,Z$172),(INDEX($F43:$N43,0,Z$174+1)-INDEX($F43:$N43,0,Z$174))/(INDEX($F$4:$N$4,0,Z$174+1)-INDEX($F$4:$N$4,0,Z$174))+Y176)))</f>
        <v>20.326197034017397</v>
      </c>
      <c r="AA176" s="186" cm="1">
        <f t="array" ref="AA176">IF(AA$174=-1,AB176,IF(AA$174=99,Z176,IF(AA$174=0,INDEX($F43:$N43,0,AA$172),(INDEX($F43:$N43,0,AA$174+1)-INDEX($F43:$N43,0,AA$174))/(INDEX($F$4:$N$4,0,AA$174+1)-INDEX($F$4:$N$4,0,AA$174))+Z176)))</f>
        <v>20.653313692445561</v>
      </c>
      <c r="AB176" s="186" cm="1">
        <f t="array" ref="AB176">IF(AB$174=-1,AC176,IF(AB$174=99,AA176,IF(AB$174=0,INDEX($F43:$N43,0,AB$172),(INDEX($F43:$N43,0,AB$174+1)-INDEX($F43:$N43,0,AB$174))/(INDEX($F$4:$N$4,0,AB$174+1)-INDEX($F$4:$N$4,0,AB$174))+AA176)))</f>
        <v>20.980430350873725</v>
      </c>
      <c r="AC176" s="186" cm="1">
        <f t="array" ref="AC176">IF(AC$174=-1,AD176,IF(AC$174=99,AB176,IF(AC$174=0,INDEX($F43:$N43,0,AC$172),(INDEX($F43:$N43,0,AC$174+1)-INDEX($F43:$N43,0,AC$174))/(INDEX($F$4:$N$4,0,AC$174+1)-INDEX($F$4:$N$4,0,AC$174))+AB176)))</f>
        <v>21.307547009301889</v>
      </c>
      <c r="AD176" s="186" cm="1">
        <f t="array" ref="AD176">IF(AD$174=-1,AE176,IF(AD$174=99,AC176,IF(AD$174=0,INDEX($F43:$N43,0,AD$172),(INDEX($F43:$N43,0,AD$174+1)-INDEX($F43:$N43,0,AD$174))/(INDEX($F$4:$N$4,0,AD$174+1)-INDEX($F$4:$N$4,0,AD$174))+AC176)))</f>
        <v>21.766022438966296</v>
      </c>
      <c r="AE176" s="186" cm="1">
        <f t="array" ref="AE176">IF(AE$174=-1,AF176,IF(AE$174=99,AD176,IF(AE$174=0,INDEX($F43:$N43,0,AE$172),(INDEX($F43:$N43,0,AE$174+1)-INDEX($F43:$N43,0,AE$174))/(INDEX($F$4:$N$4,0,AE$174+1)-INDEX($F$4:$N$4,0,AE$174))+AD176)))</f>
        <v>22.224497868630703</v>
      </c>
      <c r="AF176" s="186" cm="1">
        <f t="array" ref="AF176">IF(AF$174=-1,AG176,IF(AF$174=99,AE176,IF(AF$174=0,INDEX($F43:$N43,0,AF$172),(INDEX($F43:$N43,0,AF$174+1)-INDEX($F43:$N43,0,AF$174))/(INDEX($F$4:$N$4,0,AF$174+1)-INDEX($F$4:$N$4,0,AF$174))+AE176)))</f>
        <v>22.68297329829511</v>
      </c>
      <c r="AG176" s="186" cm="1">
        <f t="array" ref="AG176">IF(AG$174=-1,AH176,IF(AG$174=99,AF176,IF(AG$174=0,INDEX($F43:$N43,0,AG$172),(INDEX($F43:$N43,0,AG$174+1)-INDEX($F43:$N43,0,AG$174))/(INDEX($F$4:$N$4,0,AG$174+1)-INDEX($F$4:$N$4,0,AG$174))+AF176)))</f>
        <v>23.141448727959517</v>
      </c>
      <c r="AH176" s="186" cm="1">
        <f t="array" ref="AH176">IF(AH$174=-1,AI176,IF(AH$174=99,AG176,IF(AH$174=0,INDEX($F43:$N43,0,AH$172),(INDEX($F43:$N43,0,AH$174+1)-INDEX($F43:$N43,0,AH$174))/(INDEX($F$4:$N$4,0,AH$174+1)-INDEX($F$4:$N$4,0,AH$174))+AG176)))</f>
        <v>23.599924157623924</v>
      </c>
      <c r="AI176" s="186" cm="1">
        <f t="array" ref="AI176">IF(AI$174=-1,AJ176,IF(AI$174=99,AH176,IF(AI$174=0,INDEX($F43:$N43,0,AI$172),(INDEX($F43:$N43,0,AI$174+1)-INDEX($F43:$N43,0,AI$174))/(INDEX($F$4:$N$4,0,AI$174+1)-INDEX($F$4:$N$4,0,AI$174))+AH176)))</f>
        <v>24.058399587288331</v>
      </c>
      <c r="AJ176" s="186" cm="1">
        <f t="array" ref="AJ176">IF(AJ$174=-1,AK176,IF(AJ$174=99,AI176,IF(AJ$174=0,INDEX($F43:$N43,0,AJ$172),(INDEX($F43:$N43,0,AJ$174+1)-INDEX($F43:$N43,0,AJ$174))/(INDEX($F$4:$N$4,0,AJ$174+1)-INDEX($F$4:$N$4,0,AJ$174))+AI176)))</f>
        <v>24.516875016952739</v>
      </c>
      <c r="AK176" s="186" cm="1">
        <f t="array" ref="AK176">IF(AK$174=-1,AL176,IF(AK$174=99,AJ176,IF(AK$174=0,INDEX($F43:$N43,0,AK$172),(INDEX($F43:$N43,0,AK$174+1)-INDEX($F43:$N43,0,AK$174))/(INDEX($F$4:$N$4,0,AK$174+1)-INDEX($F$4:$N$4,0,AK$174))+AJ176)))</f>
        <v>24.975350446617146</v>
      </c>
      <c r="AL176" s="186" cm="1">
        <f t="array" ref="AL176">IF(AL$174=-1,AM176,IF(AL$174=99,AK176,IF(AL$174=0,INDEX($F43:$N43,0,AL$172),(INDEX($F43:$N43,0,AL$174+1)-INDEX($F43:$N43,0,AL$174))/(INDEX($F$4:$N$4,0,AL$174+1)-INDEX($F$4:$N$4,0,AL$174))+AK176)))</f>
        <v>25.433825876281553</v>
      </c>
      <c r="AM176" s="186" cm="1">
        <f t="array" ref="AM176">IF(AM$174=-1,AN176,IF(AM$174=99,AL176,IF(AM$174=0,INDEX($F43:$N43,0,AM$172),(INDEX($F43:$N43,0,AM$174+1)-INDEX($F43:$N43,0,AM$174))/(INDEX($F$4:$N$4,0,AM$174+1)-INDEX($F$4:$N$4,0,AM$174))+AL176)))</f>
        <v>25.892301305945971</v>
      </c>
      <c r="AN176" s="186" cm="1">
        <f t="array" ref="AN176">IF(AN$174=-1,AO176,IF(AN$174=99,AM176,IF(AN$174=0,INDEX($F43:$N43,0,AN$172),(INDEX($F43:$N43,0,AN$174+1)-INDEX($F43:$N43,0,AN$174))/(INDEX($F$4:$N$4,0,AN$174+1)-INDEX($F$4:$N$4,0,AN$174))+AM176)))</f>
        <v>26.499450063724328</v>
      </c>
      <c r="AO176" s="186" cm="1">
        <f t="array" ref="AO176">IF(AO$174=-1,AP176,IF(AO$174=99,AN176,IF(AO$174=0,INDEX($F43:$N43,0,AO$172),(INDEX($F43:$N43,0,AO$174+1)-INDEX($F43:$N43,0,AO$174))/(INDEX($F$4:$N$4,0,AO$174+1)-INDEX($F$4:$N$4,0,AO$174))+AN176)))</f>
        <v>31.963788883729556</v>
      </c>
      <c r="AP176" s="186" cm="1">
        <f t="array" ref="AP176">IF(AP$174=-1,AQ176,IF(AP$174=99,AO176,IF(AP$174=0,INDEX($F43:$N43,0,AP$172),(INDEX($F43:$N43,0,AP$174+1)-INDEX($F43:$N43,0,AP$174))/(INDEX($F$4:$N$4,0,AP$174+1)-INDEX($F$4:$N$4,0,AP$174))+AO176)))</f>
        <v>31.963788883729556</v>
      </c>
      <c r="AQ176" s="186" cm="1">
        <f t="array" ref="AQ176">IF(AQ$174=-1,AR176,IF(AQ$174=99,AP176,IF(AQ$174=0,INDEX($F43:$N43,0,AQ$172),(INDEX($F43:$N43,0,AQ$174+1)-INDEX($F43:$N43,0,AQ$174))/(INDEX($F$4:$N$4,0,AQ$174+1)-INDEX($F$4:$N$4,0,AQ$174))+AP176)))</f>
        <v>31.963788883729556</v>
      </c>
    </row>
    <row r="177" spans="1:57">
      <c r="A177" s="185" t="s">
        <v>16</v>
      </c>
      <c r="B177" s="22" t="str">
        <f t="shared" si="245"/>
        <v/>
      </c>
      <c r="C177" s="23" t="str">
        <f t="shared" si="246"/>
        <v/>
      </c>
      <c r="D177" s="57"/>
      <c r="E177" s="23" t="str">
        <f t="shared" si="247"/>
        <v/>
      </c>
      <c r="F177" s="23" t="str">
        <f t="shared" si="247"/>
        <v/>
      </c>
      <c r="G177" s="23" t="str">
        <f t="shared" si="247"/>
        <v/>
      </c>
      <c r="H177" s="23"/>
      <c r="I177" s="23" t="str">
        <f t="shared" si="247"/>
        <v/>
      </c>
      <c r="J177" s="133" t="str">
        <f t="shared" si="249"/>
        <v>TFHCV1</v>
      </c>
      <c r="K177" s="186">
        <f>F46</f>
        <v>5.4335092951131081</v>
      </c>
      <c r="L177" s="186" cm="1">
        <f t="array" ref="L177">IF(L$174=-1,M177,IF(L$174=99,K177,IF(L$174=0,INDEX($F46:$N46,0,L$172),(INDEX($F46:$N46,0,L$174+1)-INDEX($F46:$N46,0,L$174))/(INDEX($F$4:$N$4,0,L$174+1)-INDEX($F$4:$N$4,0,L$174))+K177)))</f>
        <v>5.5309348717598681</v>
      </c>
      <c r="M177" s="186" cm="1">
        <f t="array" ref="M177">IF(M$174=-1,N177,IF(M$174=99,L177,IF(M$174=0,INDEX($F46:$N46,0,M$172),(INDEX($F46:$N46,0,M$174+1)-INDEX($F46:$N46,0,M$174))/(INDEX($F$4:$N$4,0,M$174+1)-INDEX($F$4:$N$4,0,M$174))+L177)))</f>
        <v>5.6283604484066281</v>
      </c>
      <c r="N177" s="186" cm="1">
        <f t="array" ref="N177">IF(N$174=-1,O177,IF(N$174=99,M177,IF(N$174=0,INDEX($F46:$N46,0,N$172),(INDEX($F46:$N46,0,N$174+1)-INDEX($F46:$N46,0,N$174))/(INDEX($F$4:$N$4,0,N$174+1)-INDEX($F$4:$N$4,0,N$174))+M177)))</f>
        <v>5.725786025053389</v>
      </c>
      <c r="O177" s="186" cm="1">
        <f t="array" ref="O177">IF(O$174=-1,P177,IF(O$174=99,N177,IF(O$174=0,INDEX($F46:$N46,0,O$172),(INDEX($F46:$N46,0,O$174+1)-INDEX($F46:$N46,0,O$174))/(INDEX($F$4:$N$4,0,O$174+1)-INDEX($F$4:$N$4,0,O$174))+N177)))</f>
        <v>5.7784324763664294</v>
      </c>
      <c r="P177" s="186" cm="1">
        <f t="array" ref="P177">IF(P$174=-1,Q177,IF(P$174=99,O177,IF(P$174=0,INDEX($F46:$N46,0,P$172),(INDEX($F46:$N46,0,P$174+1)-INDEX($F46:$N46,0,P$174))/(INDEX($F$4:$N$4,0,P$174+1)-INDEX($F$4:$N$4,0,P$174))+O177)))</f>
        <v>5.8310789276794708</v>
      </c>
      <c r="Q177" s="186" cm="1">
        <f t="array" ref="Q177">IF(Q$174=-1,R177,IF(Q$174=99,P177,IF(Q$174=0,INDEX($F46:$N46,0,Q$172),(INDEX($F46:$N46,0,Q$174+1)-INDEX($F46:$N46,0,Q$174))/(INDEX($F$4:$N$4,0,Q$174+1)-INDEX($F$4:$N$4,0,Q$174))+P177)))</f>
        <v>5.867370175846661</v>
      </c>
      <c r="R177" s="186" cm="1">
        <f t="array" ref="R177">IF(R$174=-1,S177,IF(R$174=99,Q177,IF(R$174=0,INDEX($F46:$N46,0,R$172),(INDEX($F46:$N46,0,R$174+1)-INDEX($F46:$N46,0,R$174))/(INDEX($F$4:$N$4,0,R$174+1)-INDEX($F$4:$N$4,0,R$174))+Q177)))</f>
        <v>5.9036614240138503</v>
      </c>
      <c r="S177" s="186" cm="1">
        <f t="array" ref="S177">IF(S$174=-1,T177,IF(S$174=99,R177,IF(S$174=0,INDEX($F46:$N46,0,S$172),(INDEX($F46:$N46,0,S$174+1)-INDEX($F46:$N46,0,S$174))/(INDEX($F$4:$N$4,0,S$174+1)-INDEX($F$4:$N$4,0,S$174))+R177)))</f>
        <v>5.5633826774444142</v>
      </c>
      <c r="T177" s="186" cm="1">
        <f t="array" ref="T177">IF(T$174=-1,U177,IF(T$174=99,S177,IF(T$174=0,INDEX($F46:$N46,0,T$172),(INDEX($F46:$N46,0,T$174+1)-INDEX($F46:$N46,0,T$174))/(INDEX($F$4:$N$4,0,T$174+1)-INDEX($F$4:$N$4,0,T$174))+S177)))</f>
        <v>5.6562347791587255</v>
      </c>
      <c r="U177" s="186" cm="1">
        <f t="array" ref="U177">IF(U$174=-1,V177,IF(U$174=99,T177,IF(U$174=0,INDEX($F46:$N46,0,U$172),(INDEX($F46:$N46,0,U$174+1)-INDEX($F46:$N46,0,U$174))/(INDEX($F$4:$N$4,0,U$174+1)-INDEX($F$4:$N$4,0,U$174))+T177)))</f>
        <v>5.7758470627889942</v>
      </c>
      <c r="V177" s="186" cm="1">
        <f t="array" ref="V177">IF(V$174=-1,W177,IF(V$174=99,U177,IF(V$174=0,INDEX($F46:$N46,0,V$172),(INDEX($F46:$N46,0,V$174+1)-INDEX($F46:$N46,0,V$174))/(INDEX($F$4:$N$4,0,V$174+1)-INDEX($F$4:$N$4,0,V$174))+U177)))</f>
        <v>5.8954593464192628</v>
      </c>
      <c r="W177" s="186" cm="1">
        <f t="array" ref="W177">IF(W$174=-1,X177,IF(W$174=99,V177,IF(W$174=0,INDEX($F46:$N46,0,W$172),(INDEX($F46:$N46,0,W$174+1)-INDEX($F46:$N46,0,W$174))/(INDEX($F$4:$N$4,0,W$174+1)-INDEX($F$4:$N$4,0,W$174))+V177)))</f>
        <v>6.0150716300495315</v>
      </c>
      <c r="X177" s="186" cm="1">
        <f t="array" ref="X177">IF(X$174=-1,Y177,IF(X$174=99,W177,IF(X$174=0,INDEX($F46:$N46,0,X$172),(INDEX($F46:$N46,0,X$174+1)-INDEX($F46:$N46,0,X$174))/(INDEX($F$4:$N$4,0,X$174+1)-INDEX($F$4:$N$4,0,X$174))+W177)))</f>
        <v>6.1346839136798001</v>
      </c>
      <c r="Y177" s="186" cm="1">
        <f t="array" ref="Y177">IF(Y$174=-1,Z177,IF(Y$174=99,X177,IF(Y$174=0,INDEX($F46:$N46,0,Y$172),(INDEX($F46:$N46,0,Y$174+1)-INDEX($F46:$N46,0,Y$174))/(INDEX($F$4:$N$4,0,Y$174+1)-INDEX($F$4:$N$4,0,Y$174))+X177)))</f>
        <v>6.2542961973100688</v>
      </c>
      <c r="Z177" s="186" cm="1">
        <f t="array" ref="Z177">IF(Z$174=-1,AA177,IF(Z$174=99,Y177,IF(Z$174=0,INDEX($F46:$N46,0,Z$172),(INDEX($F46:$N46,0,Z$174+1)-INDEX($F46:$N46,0,Z$174))/(INDEX($F$4:$N$4,0,Z$174+1)-INDEX($F$4:$N$4,0,Z$174))+Y177)))</f>
        <v>6.3739084809403375</v>
      </c>
      <c r="AA177" s="186" cm="1">
        <f t="array" ref="AA177">IF(AA$174=-1,AB177,IF(AA$174=99,Z177,IF(AA$174=0,INDEX($F46:$N46,0,AA$172),(INDEX($F46:$N46,0,AA$174+1)-INDEX($F46:$N46,0,AA$174))/(INDEX($F$4:$N$4,0,AA$174+1)-INDEX($F$4:$N$4,0,AA$174))+Z177)))</f>
        <v>6.4935207645706061</v>
      </c>
      <c r="AB177" s="186" cm="1">
        <f t="array" ref="AB177">IF(AB$174=-1,AC177,IF(AB$174=99,AA177,IF(AB$174=0,INDEX($F46:$N46,0,AB$172),(INDEX($F46:$N46,0,AB$174+1)-INDEX($F46:$N46,0,AB$174))/(INDEX($F$4:$N$4,0,AB$174+1)-INDEX($F$4:$N$4,0,AB$174))+AA177)))</f>
        <v>6.6131330482008748</v>
      </c>
      <c r="AC177" s="186" cm="1">
        <f t="array" ref="AC177">IF(AC$174=-1,AD177,IF(AC$174=99,AB177,IF(AC$174=0,INDEX($F46:$N46,0,AC$172),(INDEX($F46:$N46,0,AC$174+1)-INDEX($F46:$N46,0,AC$174))/(INDEX($F$4:$N$4,0,AC$174+1)-INDEX($F$4:$N$4,0,AC$174))+AB177)))</f>
        <v>6.7327453318311399</v>
      </c>
      <c r="AD177" s="186" cm="1">
        <f t="array" ref="AD177">IF(AD$174=-1,AE177,IF(AD$174=99,AC177,IF(AD$174=0,INDEX($F46:$N46,0,AD$172),(INDEX($F46:$N46,0,AD$174+1)-INDEX($F46:$N46,0,AD$174))/(INDEX($F$4:$N$4,0,AD$174+1)-INDEX($F$4:$N$4,0,AD$174))+AC177)))</f>
        <v>6.8776141103669692</v>
      </c>
      <c r="AE177" s="186" cm="1">
        <f t="array" ref="AE177">IF(AE$174=-1,AF177,IF(AE$174=99,AD177,IF(AE$174=0,INDEX($F46:$N46,0,AE$172),(INDEX($F46:$N46,0,AE$174+1)-INDEX($F46:$N46,0,AE$174))/(INDEX($F$4:$N$4,0,AE$174+1)-INDEX($F$4:$N$4,0,AE$174))+AD177)))</f>
        <v>7.0224828889027986</v>
      </c>
      <c r="AF177" s="186" cm="1">
        <f t="array" ref="AF177">IF(AF$174=-1,AG177,IF(AF$174=99,AE177,IF(AF$174=0,INDEX($F46:$N46,0,AF$172),(INDEX($F46:$N46,0,AF$174+1)-INDEX($F46:$N46,0,AF$174))/(INDEX($F$4:$N$4,0,AF$174+1)-INDEX($F$4:$N$4,0,AF$174))+AE177)))</f>
        <v>7.1673516674386279</v>
      </c>
      <c r="AG177" s="186" cm="1">
        <f t="array" ref="AG177">IF(AG$174=-1,AH177,IF(AG$174=99,AF177,IF(AG$174=0,INDEX($F46:$N46,0,AG$172),(INDEX($F46:$N46,0,AG$174+1)-INDEX($F46:$N46,0,AG$174))/(INDEX($F$4:$N$4,0,AG$174+1)-INDEX($F$4:$N$4,0,AG$174))+AF177)))</f>
        <v>7.3122204459744573</v>
      </c>
      <c r="AH177" s="186" cm="1">
        <f t="array" ref="AH177">IF(AH$174=-1,AI177,IF(AH$174=99,AG177,IF(AH$174=0,INDEX($F46:$N46,0,AH$172),(INDEX($F46:$N46,0,AH$174+1)-INDEX($F46:$N46,0,AH$174))/(INDEX($F$4:$N$4,0,AH$174+1)-INDEX($F$4:$N$4,0,AH$174))+AG177)))</f>
        <v>7.4570892245102867</v>
      </c>
      <c r="AI177" s="186" cm="1">
        <f t="array" ref="AI177">IF(AI$174=-1,AJ177,IF(AI$174=99,AH177,IF(AI$174=0,INDEX($F46:$N46,0,AI$172),(INDEX($F46:$N46,0,AI$174+1)-INDEX($F46:$N46,0,AI$174))/(INDEX($F$4:$N$4,0,AI$174+1)-INDEX($F$4:$N$4,0,AI$174))+AH177)))</f>
        <v>7.601958003046116</v>
      </c>
      <c r="AJ177" s="186" cm="1">
        <f t="array" ref="AJ177">IF(AJ$174=-1,AK177,IF(AJ$174=99,AI177,IF(AJ$174=0,INDEX($F46:$N46,0,AJ$172),(INDEX($F46:$N46,0,AJ$174+1)-INDEX($F46:$N46,0,AJ$174))/(INDEX($F$4:$N$4,0,AJ$174+1)-INDEX($F$4:$N$4,0,AJ$174))+AI177)))</f>
        <v>7.7468267815819454</v>
      </c>
      <c r="AK177" s="186" cm="1">
        <f t="array" ref="AK177">IF(AK$174=-1,AL177,IF(AK$174=99,AJ177,IF(AK$174=0,INDEX($F46:$N46,0,AK$172),(INDEX($F46:$N46,0,AK$174+1)-INDEX($F46:$N46,0,AK$174))/(INDEX($F$4:$N$4,0,AK$174+1)-INDEX($F$4:$N$4,0,AK$174))+AJ177)))</f>
        <v>7.8916955601177747</v>
      </c>
      <c r="AL177" s="186" cm="1">
        <f t="array" ref="AL177">IF(AL$174=-1,AM177,IF(AL$174=99,AK177,IF(AL$174=0,INDEX($F46:$N46,0,AL$172),(INDEX($F46:$N46,0,AL$174+1)-INDEX($F46:$N46,0,AL$174))/(INDEX($F$4:$N$4,0,AL$174+1)-INDEX($F$4:$N$4,0,AL$174))+AK177)))</f>
        <v>8.0365643386536032</v>
      </c>
      <c r="AM177" s="186" cm="1">
        <f t="array" ref="AM177">IF(AM$174=-1,AN177,IF(AM$174=99,AL177,IF(AM$174=0,INDEX($F46:$N46,0,AM$172),(INDEX($F46:$N46,0,AM$174+1)-INDEX($F46:$N46,0,AM$174))/(INDEX($F$4:$N$4,0,AM$174+1)-INDEX($F$4:$N$4,0,AM$174))+AL177)))</f>
        <v>8.1814331171894299</v>
      </c>
      <c r="AN177" s="186" cm="1">
        <f t="array" ref="AN177">IF(AN$174=-1,AO177,IF(AN$174=99,AM177,IF(AN$174=0,INDEX($F46:$N46,0,AN$172),(INDEX($F46:$N46,0,AN$174+1)-INDEX($F46:$N46,0,AN$174))/(INDEX($F$4:$N$4,0,AN$174+1)-INDEX($F$4:$N$4,0,AN$174))+AM177)))</f>
        <v>8.3732796006384529</v>
      </c>
      <c r="AO177" s="186" cm="1">
        <f t="array" ref="AO177">IF(AO$174=-1,AP177,IF(AO$174=99,AN177,IF(AO$174=0,INDEX($F46:$N46,0,AO$172),(INDEX($F46:$N46,0,AO$174+1)-INDEX($F46:$N46,0,AO$174))/(INDEX($F$4:$N$4,0,AO$174+1)-INDEX($F$4:$N$4,0,AO$174))+AN177)))</f>
        <v>10.099897951679662</v>
      </c>
      <c r="AP177" s="186" cm="1">
        <f t="array" ref="AP177">IF(AP$174=-1,AQ177,IF(AP$174=99,AO177,IF(AP$174=0,INDEX($F46:$N46,0,AP$172),(INDEX($F46:$N46,0,AP$174+1)-INDEX($F46:$N46,0,AP$174))/(INDEX($F$4:$N$4,0,AP$174+1)-INDEX($F$4:$N$4,0,AP$174))+AO177)))</f>
        <v>10.099897951679662</v>
      </c>
      <c r="AQ177" s="186" cm="1">
        <f t="array" ref="AQ177">IF(AQ$174=-1,AR177,IF(AQ$174=99,AP177,IF(AQ$174=0,INDEX($F46:$N46,0,AQ$172),(INDEX($F46:$N46,0,AQ$174+1)-INDEX($F46:$N46,0,AQ$174))/(INDEX($F$4:$N$4,0,AQ$174+1)-INDEX($F$4:$N$4,0,AQ$174))+AP177)))</f>
        <v>10.099897951679662</v>
      </c>
      <c r="AZ177" s="186"/>
      <c r="BA177" s="186"/>
      <c r="BB177" s="186"/>
      <c r="BC177" s="186"/>
      <c r="BD177" s="186"/>
      <c r="BE177" s="186"/>
    </row>
    <row r="178" spans="1:57">
      <c r="A178" s="185" t="s">
        <v>16</v>
      </c>
      <c r="B178" s="22" t="str">
        <f t="shared" si="245"/>
        <v/>
      </c>
      <c r="C178" s="23" t="str">
        <f t="shared" si="246"/>
        <v/>
      </c>
      <c r="D178" s="57"/>
      <c r="E178" s="23" t="str">
        <f t="shared" si="247"/>
        <v/>
      </c>
      <c r="F178" s="23" t="str">
        <f t="shared" si="247"/>
        <v/>
      </c>
      <c r="G178" s="23" t="str">
        <f t="shared" si="247"/>
        <v/>
      </c>
      <c r="H178" s="23"/>
      <c r="I178" s="23" t="str">
        <f t="shared" si="247"/>
        <v/>
      </c>
      <c r="J178" s="133" t="str">
        <f t="shared" si="249"/>
        <v>TFHCV2</v>
      </c>
      <c r="K178" s="186">
        <f t="shared" ref="K178:K185" si="250">F51</f>
        <v>2.2763173637182028</v>
      </c>
      <c r="L178" s="186" cm="1">
        <f t="array" ref="L178">IF(L$174=-1,M178,IF(L$174=99,K178,IF(L$174=0,INDEX($F51:$N51,0,L$172),(INDEX($F51:$N51,0,L$174+1)-INDEX($F51:$N51,0,L$174))/(INDEX($F$4:$N$4,0,L$174+1)-INDEX($F$4:$N$4,0,L$174))+K178)))</f>
        <v>2.3171328882247568</v>
      </c>
      <c r="M178" s="186" cm="1">
        <f t="array" ref="M178">IF(M$174=-1,N178,IF(M$174=99,L178,IF(M$174=0,INDEX($F51:$N51,0,M$172),(INDEX($F51:$N51,0,M$174+1)-INDEX($F51:$N51,0,M$174))/(INDEX($F$4:$N$4,0,M$174+1)-INDEX($F$4:$N$4,0,M$174))+L178)))</f>
        <v>2.3579484127313108</v>
      </c>
      <c r="N178" s="186" cm="1">
        <f t="array" ref="N178">IF(N$174=-1,O178,IF(N$174=99,M178,IF(N$174=0,INDEX($F51:$N51,0,N$172),(INDEX($F51:$N51,0,N$174+1)-INDEX($F51:$N51,0,N$174))/(INDEX($F$4:$N$4,0,N$174+1)-INDEX($F$4:$N$4,0,N$174))+M178)))</f>
        <v>2.3987639372378653</v>
      </c>
      <c r="O178" s="186" cm="1">
        <f t="array" ref="O178">IF(O$174=-1,P178,IF(O$174=99,N178,IF(O$174=0,INDEX($F51:$N51,0,O$172),(INDEX($F51:$N51,0,O$174+1)-INDEX($F51:$N51,0,O$174))/(INDEX($F$4:$N$4,0,O$174+1)-INDEX($F$4:$N$4,0,O$174))+N178)))</f>
        <v>2.42081967042117</v>
      </c>
      <c r="P178" s="186" cm="1">
        <f t="array" ref="P178">IF(P$174=-1,Q178,IF(P$174=99,O178,IF(P$174=0,INDEX($F51:$N51,0,P$172),(INDEX($F51:$N51,0,P$174+1)-INDEX($F51:$N51,0,P$174))/(INDEX($F$4:$N$4,0,P$174+1)-INDEX($F$4:$N$4,0,P$174))+O178)))</f>
        <v>2.4428754036044746</v>
      </c>
      <c r="Q178" s="186" cm="1">
        <f t="array" ref="Q178">IF(Q$174=-1,R178,IF(Q$174=99,P178,IF(Q$174=0,INDEX($F51:$N51,0,Q$172),(INDEX($F51:$N51,0,Q$174+1)-INDEX($F51:$N51,0,Q$174))/(INDEX($F$4:$N$4,0,Q$174+1)-INDEX($F$4:$N$4,0,Q$174))+P178)))</f>
        <v>2.4580792790130026</v>
      </c>
      <c r="R178" s="186" cm="1">
        <f t="array" ref="R178">IF(R$174=-1,S178,IF(R$174=99,Q178,IF(R$174=0,INDEX($F51:$N51,0,R$172),(INDEX($F51:$N51,0,R$174+1)-INDEX($F51:$N51,0,R$174))/(INDEX($F$4:$N$4,0,R$174+1)-INDEX($F$4:$N$4,0,R$174))+Q178)))</f>
        <v>2.473283154421531</v>
      </c>
      <c r="S178" s="186" cm="1">
        <f t="array" ref="S178">IF(S$174=-1,T178,IF(S$174=99,R178,IF(S$174=0,INDEX($F51:$N51,0,S$172),(INDEX($F51:$N51,0,S$174+1)-INDEX($F51:$N51,0,S$174))/(INDEX($F$4:$N$4,0,S$174+1)-INDEX($F$4:$N$4,0,S$174))+R178)))</f>
        <v>2.3307265897319418</v>
      </c>
      <c r="T178" s="186" cm="1">
        <f t="array" ref="T178">IF(T$174=-1,U178,IF(T$174=99,S178,IF(T$174=0,INDEX($F51:$N51,0,T$172),(INDEX($F51:$N51,0,T$174+1)-INDEX($F51:$N51,0,T$174))/(INDEX($F$4:$N$4,0,T$174+1)-INDEX($F$4:$N$4,0,T$174))+S178)))</f>
        <v>2.3696261001422978</v>
      </c>
      <c r="U178" s="186" cm="1">
        <f t="array" ref="U178">IF(U$174=-1,V178,IF(U$174=99,T178,IF(U$174=0,INDEX($F51:$N51,0,U$172),(INDEX($F51:$N51,0,U$174+1)-INDEX($F51:$N51,0,U$174))/(INDEX($F$4:$N$4,0,U$174+1)-INDEX($F$4:$N$4,0,U$174))+T178)))</f>
        <v>2.4197365358392515</v>
      </c>
      <c r="V178" s="186" cm="1">
        <f t="array" ref="V178">IF(V$174=-1,W178,IF(V$174=99,U178,IF(V$174=0,INDEX($F51:$N51,0,V$172),(INDEX($F51:$N51,0,V$174+1)-INDEX($F51:$N51,0,V$174))/(INDEX($F$4:$N$4,0,V$174+1)-INDEX($F$4:$N$4,0,V$174))+U178)))</f>
        <v>2.4698469715362052</v>
      </c>
      <c r="W178" s="186" cm="1">
        <f t="array" ref="W178">IF(W$174=-1,X178,IF(W$174=99,V178,IF(W$174=0,INDEX($F51:$N51,0,W$172),(INDEX($F51:$N51,0,W$174+1)-INDEX($F51:$N51,0,W$174))/(INDEX($F$4:$N$4,0,W$174+1)-INDEX($F$4:$N$4,0,W$174))+V178)))</f>
        <v>2.519957407233159</v>
      </c>
      <c r="X178" s="186" cm="1">
        <f t="array" ref="X178">IF(X$174=-1,Y178,IF(X$174=99,W178,IF(X$174=0,INDEX($F51:$N51,0,X$172),(INDEX($F51:$N51,0,X$174+1)-INDEX($F51:$N51,0,X$174))/(INDEX($F$4:$N$4,0,X$174+1)-INDEX($F$4:$N$4,0,X$174))+W178)))</f>
        <v>2.5700678429301127</v>
      </c>
      <c r="Y178" s="186" cm="1">
        <f t="array" ref="Y178">IF(Y$174=-1,Z178,IF(Y$174=99,X178,IF(Y$174=0,INDEX($F51:$N51,0,Y$172),(INDEX($F51:$N51,0,Y$174+1)-INDEX($F51:$N51,0,Y$174))/(INDEX($F$4:$N$4,0,Y$174+1)-INDEX($F$4:$N$4,0,Y$174))+X178)))</f>
        <v>2.6201782786270664</v>
      </c>
      <c r="Z178" s="186" cm="1">
        <f t="array" ref="Z178">IF(Z$174=-1,AA178,IF(Z$174=99,Y178,IF(Z$174=0,INDEX($F51:$N51,0,Z$172),(INDEX($F51:$N51,0,Z$174+1)-INDEX($F51:$N51,0,Z$174))/(INDEX($F$4:$N$4,0,Z$174+1)-INDEX($F$4:$N$4,0,Z$174))+Y178)))</f>
        <v>2.6702887143240202</v>
      </c>
      <c r="AA178" s="186" cm="1">
        <f t="array" ref="AA178">IF(AA$174=-1,AB178,IF(AA$174=99,Z178,IF(AA$174=0,INDEX($F51:$N51,0,AA$172),(INDEX($F51:$N51,0,AA$174+1)-INDEX($F51:$N51,0,AA$174))/(INDEX($F$4:$N$4,0,AA$174+1)-INDEX($F$4:$N$4,0,AA$174))+Z178)))</f>
        <v>2.7203991500209739</v>
      </c>
      <c r="AB178" s="186" cm="1">
        <f t="array" ref="AB178">IF(AB$174=-1,AC178,IF(AB$174=99,AA178,IF(AB$174=0,INDEX($F51:$N51,0,AB$172),(INDEX($F51:$N51,0,AB$174+1)-INDEX($F51:$N51,0,AB$174))/(INDEX($F$4:$N$4,0,AB$174+1)-INDEX($F$4:$N$4,0,AB$174))+AA178)))</f>
        <v>2.7705095857179276</v>
      </c>
      <c r="AC178" s="186" cm="1">
        <f t="array" ref="AC178">IF(AC$174=-1,AD178,IF(AC$174=99,AB178,IF(AC$174=0,INDEX($F51:$N51,0,AC$172),(INDEX($F51:$N51,0,AC$174+1)-INDEX($F51:$N51,0,AC$174))/(INDEX($F$4:$N$4,0,AC$174+1)-INDEX($F$4:$N$4,0,AC$174))+AB178)))</f>
        <v>2.8206200214148818</v>
      </c>
      <c r="AD178" s="186" cm="1">
        <f t="array" ref="AD178">IF(AD$174=-1,AE178,IF(AD$174=99,AC178,IF(AD$174=0,INDEX($F51:$N51,0,AD$172),(INDEX($F51:$N51,0,AD$174+1)-INDEX($F51:$N51,0,AD$174))/(INDEX($F$4:$N$4,0,AD$174+1)-INDEX($F$4:$N$4,0,AD$174))+AC178)))</f>
        <v>2.881311426937708</v>
      </c>
      <c r="AE178" s="186" cm="1">
        <f t="array" ref="AE178">IF(AE$174=-1,AF178,IF(AE$174=99,AD178,IF(AE$174=0,INDEX($F51:$N51,0,AE$172),(INDEX($F51:$N51,0,AE$174+1)-INDEX($F51:$N51,0,AE$174))/(INDEX($F$4:$N$4,0,AE$174+1)-INDEX($F$4:$N$4,0,AE$174))+AD178)))</f>
        <v>2.9420028324605343</v>
      </c>
      <c r="AF178" s="186" cm="1">
        <f t="array" ref="AF178">IF(AF$174=-1,AG178,IF(AF$174=99,AE178,IF(AF$174=0,INDEX($F51:$N51,0,AF$172),(INDEX($F51:$N51,0,AF$174+1)-INDEX($F51:$N51,0,AF$174))/(INDEX($F$4:$N$4,0,AF$174+1)-INDEX($F$4:$N$4,0,AF$174))+AE178)))</f>
        <v>3.0026942379833605</v>
      </c>
      <c r="AG178" s="186" cm="1">
        <f t="array" ref="AG178">IF(AG$174=-1,AH178,IF(AG$174=99,AF178,IF(AG$174=0,INDEX($F51:$N51,0,AG$172),(INDEX($F51:$N51,0,AG$174+1)-INDEX($F51:$N51,0,AG$174))/(INDEX($F$4:$N$4,0,AG$174+1)-INDEX($F$4:$N$4,0,AG$174))+AF178)))</f>
        <v>3.0633856435061868</v>
      </c>
      <c r="AH178" s="186" cm="1">
        <f t="array" ref="AH178">IF(AH$174=-1,AI178,IF(AH$174=99,AG178,IF(AH$174=0,INDEX($F51:$N51,0,AH$172),(INDEX($F51:$N51,0,AH$174+1)-INDEX($F51:$N51,0,AH$174))/(INDEX($F$4:$N$4,0,AH$174+1)-INDEX($F$4:$N$4,0,AH$174))+AG178)))</f>
        <v>3.1240770490290131</v>
      </c>
      <c r="AI178" s="186" cm="1">
        <f t="array" ref="AI178">IF(AI$174=-1,AJ178,IF(AI$174=99,AH178,IF(AI$174=0,INDEX($F51:$N51,0,AI$172),(INDEX($F51:$N51,0,AI$174+1)-INDEX($F51:$N51,0,AI$174))/(INDEX($F$4:$N$4,0,AI$174+1)-INDEX($F$4:$N$4,0,AI$174))+AH178)))</f>
        <v>3.1847684545518393</v>
      </c>
      <c r="AJ178" s="186" cm="1">
        <f t="array" ref="AJ178">IF(AJ$174=-1,AK178,IF(AJ$174=99,AI178,IF(AJ$174=0,INDEX($F51:$N51,0,AJ$172),(INDEX($F51:$N51,0,AJ$174+1)-INDEX($F51:$N51,0,AJ$174))/(INDEX($F$4:$N$4,0,AJ$174+1)-INDEX($F$4:$N$4,0,AJ$174))+AI178)))</f>
        <v>3.2454598600746656</v>
      </c>
      <c r="AK178" s="186" cm="1">
        <f t="array" ref="AK178">IF(AK$174=-1,AL178,IF(AK$174=99,AJ178,IF(AK$174=0,INDEX($F51:$N51,0,AK$172),(INDEX($F51:$N51,0,AK$174+1)-INDEX($F51:$N51,0,AK$174))/(INDEX($F$4:$N$4,0,AK$174+1)-INDEX($F$4:$N$4,0,AK$174))+AJ178)))</f>
        <v>3.3061512655974918</v>
      </c>
      <c r="AL178" s="186" cm="1">
        <f t="array" ref="AL178">IF(AL$174=-1,AM178,IF(AL$174=99,AK178,IF(AL$174=0,INDEX($F51:$N51,0,AL$172),(INDEX($F51:$N51,0,AL$174+1)-INDEX($F51:$N51,0,AL$174))/(INDEX($F$4:$N$4,0,AL$174+1)-INDEX($F$4:$N$4,0,AL$174))+AK178)))</f>
        <v>3.3668426711203181</v>
      </c>
      <c r="AM178" s="186" cm="1">
        <f t="array" ref="AM178">IF(AM$174=-1,AN178,IF(AM$174=99,AL178,IF(AM$174=0,INDEX($F51:$N51,0,AM$172),(INDEX($F51:$N51,0,AM$174+1)-INDEX($F51:$N51,0,AM$174))/(INDEX($F$4:$N$4,0,AM$174+1)-INDEX($F$4:$N$4,0,AM$174))+AL178)))</f>
        <v>3.4275340766431426</v>
      </c>
      <c r="AN178" s="186" cm="1">
        <f t="array" ref="AN178">IF(AN$174=-1,AO178,IF(AN$174=99,AM178,IF(AN$174=0,INDEX($F51:$N51,0,AN$172),(INDEX($F51:$N51,0,AN$174+1)-INDEX($F51:$N51,0,AN$174))/(INDEX($F$4:$N$4,0,AN$174+1)-INDEX($F$4:$N$4,0,AN$174))+AM178)))</f>
        <v>3.5079063476238987</v>
      </c>
      <c r="AO178" s="186" cm="1">
        <f t="array" ref="AO178">IF(AO$174=-1,AP178,IF(AO$174=99,AN178,IF(AO$174=0,INDEX($F51:$N51,0,AO$172),(INDEX($F51:$N51,0,AO$174+1)-INDEX($F51:$N51,0,AO$174))/(INDEX($F$4:$N$4,0,AO$174+1)-INDEX($F$4:$N$4,0,AO$174))+AN178)))</f>
        <v>4.2312567864507047</v>
      </c>
      <c r="AP178" s="186" cm="1">
        <f t="array" ref="AP178">IF(AP$174=-1,AQ178,IF(AP$174=99,AO178,IF(AP$174=0,INDEX($F51:$N51,0,AP$172),(INDEX($F51:$N51,0,AP$174+1)-INDEX($F51:$N51,0,AP$174))/(INDEX($F$4:$N$4,0,AP$174+1)-INDEX($F$4:$N$4,0,AP$174))+AO178)))</f>
        <v>4.2312567864507047</v>
      </c>
      <c r="AQ178" s="186" cm="1">
        <f t="array" ref="AQ178">IF(AQ$174=-1,AR178,IF(AQ$174=99,AP178,IF(AQ$174=0,INDEX($F51:$N51,0,AQ$172),(INDEX($F51:$N51,0,AQ$174+1)-INDEX($F51:$N51,0,AQ$174))/(INDEX($F$4:$N$4,0,AQ$174+1)-INDEX($F$4:$N$4,0,AQ$174))+AP178)))</f>
        <v>4.2312567864507047</v>
      </c>
      <c r="AZ178" s="186"/>
      <c r="BA178" s="186"/>
      <c r="BB178" s="186"/>
      <c r="BC178" s="186"/>
      <c r="BD178" s="186"/>
      <c r="BE178" s="186"/>
    </row>
    <row r="179" spans="1:57">
      <c r="A179" s="185" t="s">
        <v>16</v>
      </c>
      <c r="B179" s="22" t="str">
        <f t="shared" si="245"/>
        <v/>
      </c>
      <c r="C179" s="23" t="str">
        <f t="shared" si="246"/>
        <v/>
      </c>
      <c r="D179" s="57"/>
      <c r="E179" s="23" t="str">
        <f t="shared" si="247"/>
        <v/>
      </c>
      <c r="F179" s="23" t="str">
        <f t="shared" si="247"/>
        <v/>
      </c>
      <c r="G179" s="23" t="str">
        <f t="shared" si="247"/>
        <v/>
      </c>
      <c r="H179" s="23"/>
      <c r="I179" s="23" t="str">
        <f t="shared" si="247"/>
        <v/>
      </c>
      <c r="J179" s="133" t="str">
        <f t="shared" si="249"/>
        <v>TFHCV3</v>
      </c>
      <c r="K179" s="186">
        <f t="shared" si="250"/>
        <v>15.233523986729871</v>
      </c>
      <c r="L179" s="186" cm="1">
        <f t="array" ref="L179">IF(L$174=-1,M179,IF(L$174=99,K179,IF(L$174=0,INDEX($F52:$N52,0,L$172),(INDEX($F52:$N52,0,L$174+1)-INDEX($F52:$N52,0,L$174))/(INDEX($F$4:$N$4,0,L$174+1)-INDEX($F$4:$N$4,0,L$174))+K179)))</f>
        <v>15.506668795758584</v>
      </c>
      <c r="M179" s="186" cm="1">
        <f t="array" ref="M179">IF(M$174=-1,N179,IF(M$174=99,L179,IF(M$174=0,INDEX($F52:$N52,0,M$172),(INDEX($F52:$N52,0,M$174+1)-INDEX($F52:$N52,0,M$174))/(INDEX($F$4:$N$4,0,M$174+1)-INDEX($F$4:$N$4,0,M$174))+L179)))</f>
        <v>15.779813604787297</v>
      </c>
      <c r="N179" s="186" cm="1">
        <f t="array" ref="N179">IF(N$174=-1,O179,IF(N$174=99,M179,IF(N$174=0,INDEX($F52:$N52,0,N$172),(INDEX($F52:$N52,0,N$174+1)-INDEX($F52:$N52,0,N$174))/(INDEX($F$4:$N$4,0,N$174+1)-INDEX($F$4:$N$4,0,N$174))+M179)))</f>
        <v>16.052958413816011</v>
      </c>
      <c r="O179" s="186" cm="1">
        <f t="array" ref="O179">IF(O$174=-1,P179,IF(O$174=99,N179,IF(O$174=0,INDEX($F52:$N52,0,O$172),(INDEX($F52:$N52,0,O$174+1)-INDEX($F52:$N52,0,O$174))/(INDEX($F$4:$N$4,0,O$174+1)-INDEX($F$4:$N$4,0,O$174))+N179)))</f>
        <v>16.200559335307894</v>
      </c>
      <c r="P179" s="186" cm="1">
        <f t="array" ref="P179">IF(P$174=-1,Q179,IF(P$174=99,O179,IF(P$174=0,INDEX($F52:$N52,0,P$172),(INDEX($F52:$N52,0,P$174+1)-INDEX($F52:$N52,0,P$174))/(INDEX($F$4:$N$4,0,P$174+1)-INDEX($F$4:$N$4,0,P$174))+O179)))</f>
        <v>16.34816025679978</v>
      </c>
      <c r="Q179" s="186" cm="1">
        <f t="array" ref="Q179">IF(Q$174=-1,R179,IF(Q$174=99,P179,IF(Q$174=0,INDEX($F52:$N52,0,Q$172),(INDEX($F52:$N52,0,Q$174+1)-INDEX($F52:$N52,0,Q$174))/(INDEX($F$4:$N$4,0,Q$174+1)-INDEX($F$4:$N$4,0,Q$174))+P179)))</f>
        <v>16.449907317389236</v>
      </c>
      <c r="R179" s="186" cm="1">
        <f t="array" ref="R179">IF(R$174=-1,S179,IF(R$174=99,Q179,IF(R$174=0,INDEX($F52:$N52,0,R$172),(INDEX($F52:$N52,0,R$174+1)-INDEX($F52:$N52,0,R$174))/(INDEX($F$4:$N$4,0,R$174+1)-INDEX($F$4:$N$4,0,R$174))+Q179)))</f>
        <v>16.551654377978693</v>
      </c>
      <c r="S179" s="186" cm="1">
        <f t="array" ref="S179">IF(S$174=-1,T179,IF(S$174=99,R179,IF(S$174=0,INDEX($F52:$N52,0,S$172),(INDEX($F52:$N52,0,S$174+1)-INDEX($F52:$N52,0,S$174))/(INDEX($F$4:$N$4,0,S$174+1)-INDEX($F$4:$N$4,0,S$174))+R179)))</f>
        <v>15.597640283864223</v>
      </c>
      <c r="T179" s="186" cm="1">
        <f t="array" ref="T179">IF(T$174=-1,U179,IF(T$174=99,S179,IF(T$174=0,INDEX($F52:$N52,0,T$172),(INDEX($F52:$N52,0,T$174+1)-INDEX($F52:$N52,0,T$174))/(INDEX($F$4:$N$4,0,T$174+1)-INDEX($F$4:$N$4,0,T$174))+S179)))</f>
        <v>15.857962782981954</v>
      </c>
      <c r="U179" s="186" cm="1">
        <f t="array" ref="U179">IF(U$174=-1,V179,IF(U$174=99,T179,IF(U$174=0,INDEX($F52:$N52,0,U$172),(INDEX($F52:$N52,0,U$174+1)-INDEX($F52:$N52,0,U$174))/(INDEX($F$4:$N$4,0,U$174+1)-INDEX($F$4:$N$4,0,U$174))+T179)))</f>
        <v>16.193310804458246</v>
      </c>
      <c r="V179" s="186" cm="1">
        <f t="array" ref="V179">IF(V$174=-1,W179,IF(V$174=99,U179,IF(V$174=0,INDEX($F52:$N52,0,V$172),(INDEX($F52:$N52,0,V$174+1)-INDEX($F52:$N52,0,V$174))/(INDEX($F$4:$N$4,0,V$174+1)-INDEX($F$4:$N$4,0,V$174))+U179)))</f>
        <v>16.528658825934539</v>
      </c>
      <c r="W179" s="186" cm="1">
        <f t="array" ref="W179">IF(W$174=-1,X179,IF(W$174=99,V179,IF(W$174=0,INDEX($F52:$N52,0,W$172),(INDEX($F52:$N52,0,W$174+1)-INDEX($F52:$N52,0,W$174))/(INDEX($F$4:$N$4,0,W$174+1)-INDEX($F$4:$N$4,0,W$174))+V179)))</f>
        <v>16.864006847410831</v>
      </c>
      <c r="X179" s="186" cm="1">
        <f t="array" ref="X179">IF(X$174=-1,Y179,IF(X$174=99,W179,IF(X$174=0,INDEX($F52:$N52,0,X$172),(INDEX($F52:$N52,0,X$174+1)-INDEX($F52:$N52,0,X$174))/(INDEX($F$4:$N$4,0,X$174+1)-INDEX($F$4:$N$4,0,X$174))+W179)))</f>
        <v>17.199354868887124</v>
      </c>
      <c r="Y179" s="186" cm="1">
        <f t="array" ref="Y179">IF(Y$174=-1,Z179,IF(Y$174=99,X179,IF(Y$174=0,INDEX($F52:$N52,0,Y$172),(INDEX($F52:$N52,0,Y$174+1)-INDEX($F52:$N52,0,Y$174))/(INDEX($F$4:$N$4,0,Y$174+1)-INDEX($F$4:$N$4,0,Y$174))+X179)))</f>
        <v>17.534702890363416</v>
      </c>
      <c r="Z179" s="186" cm="1">
        <f t="array" ref="Z179">IF(Z$174=-1,AA179,IF(Z$174=99,Y179,IF(Z$174=0,INDEX($F52:$N52,0,Z$172),(INDEX($F52:$N52,0,Z$174+1)-INDEX($F52:$N52,0,Z$174))/(INDEX($F$4:$N$4,0,Z$174+1)-INDEX($F$4:$N$4,0,Z$174))+Y179)))</f>
        <v>17.870050911839709</v>
      </c>
      <c r="AA179" s="186" cm="1">
        <f t="array" ref="AA179">IF(AA$174=-1,AB179,IF(AA$174=99,Z179,IF(AA$174=0,INDEX($F52:$N52,0,AA$172),(INDEX($F52:$N52,0,AA$174+1)-INDEX($F52:$N52,0,AA$174))/(INDEX($F$4:$N$4,0,AA$174+1)-INDEX($F$4:$N$4,0,AA$174))+Z179)))</f>
        <v>18.205398933316001</v>
      </c>
      <c r="AB179" s="186" cm="1">
        <f t="array" ref="AB179">IF(AB$174=-1,AC179,IF(AB$174=99,AA179,IF(AB$174=0,INDEX($F52:$N52,0,AB$172),(INDEX($F52:$N52,0,AB$174+1)-INDEX($F52:$N52,0,AB$174))/(INDEX($F$4:$N$4,0,AB$174+1)-INDEX($F$4:$N$4,0,AB$174))+AA179)))</f>
        <v>18.540746954792294</v>
      </c>
      <c r="AC179" s="186" cm="1">
        <f t="array" ref="AC179">IF(AC$174=-1,AD179,IF(AC$174=99,AB179,IF(AC$174=0,INDEX($F52:$N52,0,AC$172),(INDEX($F52:$N52,0,AC$174+1)-INDEX($F52:$N52,0,AC$174))/(INDEX($F$4:$N$4,0,AC$174+1)-INDEX($F$4:$N$4,0,AC$174))+AB179)))</f>
        <v>18.876094976268586</v>
      </c>
      <c r="AD179" s="186" cm="1">
        <f t="array" ref="AD179">IF(AD$174=-1,AE179,IF(AD$174=99,AC179,IF(AD$174=0,INDEX($F52:$N52,0,AD$172),(INDEX($F52:$N52,0,AD$174+1)-INDEX($F52:$N52,0,AD$174))/(INDEX($F$4:$N$4,0,AD$174+1)-INDEX($F$4:$N$4,0,AD$174))+AC179)))</f>
        <v>19.282252745196793</v>
      </c>
      <c r="AE179" s="186" cm="1">
        <f t="array" ref="AE179">IF(AE$174=-1,AF179,IF(AE$174=99,AD179,IF(AE$174=0,INDEX($F52:$N52,0,AE$172),(INDEX($F52:$N52,0,AE$174+1)-INDEX($F52:$N52,0,AE$174))/(INDEX($F$4:$N$4,0,AE$174+1)-INDEX($F$4:$N$4,0,AE$174))+AD179)))</f>
        <v>19.688410514125</v>
      </c>
      <c r="AF179" s="186" cm="1">
        <f t="array" ref="AF179">IF(AF$174=-1,AG179,IF(AF$174=99,AE179,IF(AF$174=0,INDEX($F52:$N52,0,AF$172),(INDEX($F52:$N52,0,AF$174+1)-INDEX($F52:$N52,0,AF$174))/(INDEX($F$4:$N$4,0,AF$174+1)-INDEX($F$4:$N$4,0,AF$174))+AE179)))</f>
        <v>20.094568283053206</v>
      </c>
      <c r="AG179" s="186" cm="1">
        <f t="array" ref="AG179">IF(AG$174=-1,AH179,IF(AG$174=99,AF179,IF(AG$174=0,INDEX($F52:$N52,0,AG$172),(INDEX($F52:$N52,0,AG$174+1)-INDEX($F52:$N52,0,AG$174))/(INDEX($F$4:$N$4,0,AG$174+1)-INDEX($F$4:$N$4,0,AG$174))+AF179)))</f>
        <v>20.500726051981413</v>
      </c>
      <c r="AH179" s="186" cm="1">
        <f t="array" ref="AH179">IF(AH$174=-1,AI179,IF(AH$174=99,AG179,IF(AH$174=0,INDEX($F52:$N52,0,AH$172),(INDEX($F52:$N52,0,AH$174+1)-INDEX($F52:$N52,0,AH$174))/(INDEX($F$4:$N$4,0,AH$174+1)-INDEX($F$4:$N$4,0,AH$174))+AG179)))</f>
        <v>20.90688382090962</v>
      </c>
      <c r="AI179" s="186" cm="1">
        <f t="array" ref="AI179">IF(AI$174=-1,AJ179,IF(AI$174=99,AH179,IF(AI$174=0,INDEX($F52:$N52,0,AI$172),(INDEX($F52:$N52,0,AI$174+1)-INDEX($F52:$N52,0,AI$174))/(INDEX($F$4:$N$4,0,AI$174+1)-INDEX($F$4:$N$4,0,AI$174))+AH179)))</f>
        <v>21.313041589837827</v>
      </c>
      <c r="AJ179" s="186" cm="1">
        <f t="array" ref="AJ179">IF(AJ$174=-1,AK179,IF(AJ$174=99,AI179,IF(AJ$174=0,INDEX($F52:$N52,0,AJ$172),(INDEX($F52:$N52,0,AJ$174+1)-INDEX($F52:$N52,0,AJ$174))/(INDEX($F$4:$N$4,0,AJ$174+1)-INDEX($F$4:$N$4,0,AJ$174))+AI179)))</f>
        <v>21.719199358766033</v>
      </c>
      <c r="AK179" s="186" cm="1">
        <f t="array" ref="AK179">IF(AK$174=-1,AL179,IF(AK$174=99,AJ179,IF(AK$174=0,INDEX($F52:$N52,0,AK$172),(INDEX($F52:$N52,0,AK$174+1)-INDEX($F52:$N52,0,AK$174))/(INDEX($F$4:$N$4,0,AK$174+1)-INDEX($F$4:$N$4,0,AK$174))+AJ179)))</f>
        <v>22.12535712769424</v>
      </c>
      <c r="AL179" s="186" cm="1">
        <f t="array" ref="AL179">IF(AL$174=-1,AM179,IF(AL$174=99,AK179,IF(AL$174=0,INDEX($F52:$N52,0,AL$172),(INDEX($F52:$N52,0,AL$174+1)-INDEX($F52:$N52,0,AL$174))/(INDEX($F$4:$N$4,0,AL$174+1)-INDEX($F$4:$N$4,0,AL$174))+AK179)))</f>
        <v>22.531514896622447</v>
      </c>
      <c r="AM179" s="186" cm="1">
        <f t="array" ref="AM179">IF(AM$174=-1,AN179,IF(AM$174=99,AL179,IF(AM$174=0,INDEX($F52:$N52,0,AM$172),(INDEX($F52:$N52,0,AM$174+1)-INDEX($F52:$N52,0,AM$174))/(INDEX($F$4:$N$4,0,AM$174+1)-INDEX($F$4:$N$4,0,AM$174))+AL179)))</f>
        <v>22.937672665550647</v>
      </c>
      <c r="AN179" s="186" cm="1">
        <f t="array" ref="AN179">IF(AN$174=-1,AO179,IF(AN$174=99,AM179,IF(AN$174=0,INDEX($F52:$N52,0,AN$172),(INDEX($F52:$N52,0,AN$174+1)-INDEX($F52:$N52,0,AN$174))/(INDEX($F$4:$N$4,0,AN$174+1)-INDEX($F$4:$N$4,0,AN$174))+AM179)))</f>
        <v>23.475538315291775</v>
      </c>
      <c r="AO179" s="186" cm="1">
        <f t="array" ref="AO179">IF(AO$174=-1,AP179,IF(AO$174=99,AN179,IF(AO$174=0,INDEX($F52:$N52,0,AO$172),(INDEX($F52:$N52,0,AO$174+1)-INDEX($F52:$N52,0,AO$174))/(INDEX($F$4:$N$4,0,AO$174+1)-INDEX($F$4:$N$4,0,AO$174))+AN179)))</f>
        <v>28.316329162961928</v>
      </c>
      <c r="AP179" s="186" cm="1">
        <f t="array" ref="AP179">IF(AP$174=-1,AQ179,IF(AP$174=99,AO179,IF(AP$174=0,INDEX($F52:$N52,0,AP$172),(INDEX($F52:$N52,0,AP$174+1)-INDEX($F52:$N52,0,AP$174))/(INDEX($F$4:$N$4,0,AP$174+1)-INDEX($F$4:$N$4,0,AP$174))+AO179)))</f>
        <v>28.316329162961928</v>
      </c>
      <c r="AQ179" s="186" cm="1">
        <f t="array" ref="AQ179">IF(AQ$174=-1,AR179,IF(AQ$174=99,AP179,IF(AQ$174=0,INDEX($F52:$N52,0,AQ$172),(INDEX($F52:$N52,0,AQ$174+1)-INDEX($F52:$N52,0,AQ$174))/(INDEX($F$4:$N$4,0,AQ$174+1)-INDEX($F$4:$N$4,0,AQ$174))+AP179)))</f>
        <v>28.316329162961928</v>
      </c>
      <c r="AZ179" s="186"/>
      <c r="BA179" s="186"/>
      <c r="BB179" s="186"/>
      <c r="BC179" s="186"/>
      <c r="BD179" s="186"/>
      <c r="BE179" s="186"/>
    </row>
    <row r="180" spans="1:57">
      <c r="A180" s="185" t="s">
        <v>16</v>
      </c>
      <c r="B180" s="22" t="str">
        <f t="shared" si="245"/>
        <v/>
      </c>
      <c r="C180" s="23" t="str">
        <f t="shared" si="246"/>
        <v/>
      </c>
      <c r="D180" s="57"/>
      <c r="E180" s="23" t="str">
        <f t="shared" si="247"/>
        <v/>
      </c>
      <c r="F180" s="23" t="str">
        <f t="shared" si="247"/>
        <v/>
      </c>
      <c r="G180" s="23" t="str">
        <f t="shared" si="247"/>
        <v/>
      </c>
      <c r="H180" s="23"/>
      <c r="I180" s="23" t="str">
        <f t="shared" si="247"/>
        <v/>
      </c>
      <c r="J180" s="133" t="str">
        <f t="shared" si="249"/>
        <v>TFHCV4</v>
      </c>
      <c r="K180" s="186">
        <f t="shared" si="250"/>
        <v>5.0807673805466287</v>
      </c>
      <c r="L180" s="186" cm="1">
        <f t="array" ref="L180">IF(L$174=-1,M180,IF(L$174=99,K180,IF(L$174=0,INDEX($F53:$N53,0,L$172),(INDEX($F53:$N53,0,L$174+1)-INDEX($F53:$N53,0,L$174))/(INDEX($F$4:$N$4,0,L$174+1)-INDEX($F$4:$N$4,0,L$174))+K180)))</f>
        <v>5.1718681158123259</v>
      </c>
      <c r="M180" s="186" cm="1">
        <f t="array" ref="M180">IF(M$174=-1,N180,IF(M$174=99,L180,IF(M$174=0,INDEX($F53:$N53,0,M$172),(INDEX($F53:$N53,0,M$174+1)-INDEX($F53:$N53,0,M$174))/(INDEX($F$4:$N$4,0,M$174+1)-INDEX($F$4:$N$4,0,M$174))+L180)))</f>
        <v>5.262968851078023</v>
      </c>
      <c r="N180" s="186" cm="1">
        <f t="array" ref="N180">IF(N$174=-1,O180,IF(N$174=99,M180,IF(N$174=0,INDEX($F53:$N53,0,N$172),(INDEX($F53:$N53,0,N$174+1)-INDEX($F53:$N53,0,N$174))/(INDEX($F$4:$N$4,0,N$174+1)-INDEX($F$4:$N$4,0,N$174))+M180)))</f>
        <v>5.3540695863437202</v>
      </c>
      <c r="O180" s="186" cm="1">
        <f t="array" ref="O180">IF(O$174=-1,P180,IF(O$174=99,N180,IF(O$174=0,INDEX($F53:$N53,0,O$172),(INDEX($F53:$N53,0,O$174+1)-INDEX($F53:$N53,0,O$174))/(INDEX($F$4:$N$4,0,O$174+1)-INDEX($F$4:$N$4,0,O$174))+N180)))</f>
        <v>5.403298244657309</v>
      </c>
      <c r="P180" s="186" cm="1">
        <f t="array" ref="P180">IF(P$174=-1,Q180,IF(P$174=99,O180,IF(P$174=0,INDEX($F53:$N53,0,P$172),(INDEX($F53:$N53,0,P$174+1)-INDEX($F53:$N53,0,P$174))/(INDEX($F$4:$N$4,0,P$174+1)-INDEX($F$4:$N$4,0,P$174))+O180)))</f>
        <v>5.4525269029708987</v>
      </c>
      <c r="Q180" s="186" cm="1">
        <f t="array" ref="Q180">IF(Q$174=-1,R180,IF(Q$174=99,P180,IF(Q$174=0,INDEX($F53:$N53,0,Q$172),(INDEX($F53:$N53,0,Q$174+1)-INDEX($F53:$N53,0,Q$174))/(INDEX($F$4:$N$4,0,Q$174+1)-INDEX($F$4:$N$4,0,Q$174))+P180)))</f>
        <v>5.4864621333850661</v>
      </c>
      <c r="R180" s="186" cm="1">
        <f t="array" ref="R180">IF(R$174=-1,S180,IF(R$174=99,Q180,IF(R$174=0,INDEX($F53:$N53,0,R$172),(INDEX($F53:$N53,0,R$174+1)-INDEX($F53:$N53,0,R$174))/(INDEX($F$4:$N$4,0,R$174+1)-INDEX($F$4:$N$4,0,R$174))+Q180)))</f>
        <v>5.5203973637992325</v>
      </c>
      <c r="S180" s="186" cm="1">
        <f t="array" ref="S180">IF(S$174=-1,T180,IF(S$174=99,R180,IF(S$174=0,INDEX($F53:$N53,0,S$172),(INDEX($F53:$N53,0,S$174+1)-INDEX($F53:$N53,0,S$174))/(INDEX($F$4:$N$4,0,S$174+1)-INDEX($F$4:$N$4,0,S$174))+R180)))</f>
        <v>5.2022094189625063</v>
      </c>
      <c r="T180" s="186" cm="1">
        <f t="array" ref="T180">IF(T$174=-1,U180,IF(T$174=99,S180,IF(T$174=0,INDEX($F53:$N53,0,T$172),(INDEX($F53:$N53,0,T$174+1)-INDEX($F53:$N53,0,T$174))/(INDEX($F$4:$N$4,0,T$174+1)-INDEX($F$4:$N$4,0,T$174))+S180)))</f>
        <v>5.2890335880183272</v>
      </c>
      <c r="U180" s="186" cm="1">
        <f t="array" ref="U180">IF(U$174=-1,V180,IF(U$174=99,T180,IF(U$174=0,INDEX($F53:$N53,0,U$172),(INDEX($F53:$N53,0,U$174+1)-INDEX($F53:$N53,0,U$174))/(INDEX($F$4:$N$4,0,U$174+1)-INDEX($F$4:$N$4,0,U$174))+T180)))</f>
        <v>5.4008806754113579</v>
      </c>
      <c r="V180" s="186" cm="1">
        <f t="array" ref="V180">IF(V$174=-1,W180,IF(V$174=99,U180,IF(V$174=0,INDEX($F53:$N53,0,V$172),(INDEX($F53:$N53,0,V$174+1)-INDEX($F53:$N53,0,V$174))/(INDEX($F$4:$N$4,0,V$174+1)-INDEX($F$4:$N$4,0,V$174))+U180)))</f>
        <v>5.5127277628043885</v>
      </c>
      <c r="W180" s="186" cm="1">
        <f t="array" ref="W180">IF(W$174=-1,X180,IF(W$174=99,V180,IF(W$174=0,INDEX($F53:$N53,0,W$172),(INDEX($F53:$N53,0,W$174+1)-INDEX($F53:$N53,0,W$174))/(INDEX($F$4:$N$4,0,W$174+1)-INDEX($F$4:$N$4,0,W$174))+V180)))</f>
        <v>5.6245748501974191</v>
      </c>
      <c r="X180" s="186" cm="1">
        <f t="array" ref="X180">IF(X$174=-1,Y180,IF(X$174=99,W180,IF(X$174=0,INDEX($F53:$N53,0,X$172),(INDEX($F53:$N53,0,X$174+1)-INDEX($F53:$N53,0,X$174))/(INDEX($F$4:$N$4,0,X$174+1)-INDEX($F$4:$N$4,0,X$174))+W180)))</f>
        <v>5.7364219375904497</v>
      </c>
      <c r="Y180" s="186" cm="1">
        <f t="array" ref="Y180">IF(Y$174=-1,Z180,IF(Y$174=99,X180,IF(Y$174=0,INDEX($F53:$N53,0,Y$172),(INDEX($F53:$N53,0,Y$174+1)-INDEX($F53:$N53,0,Y$174))/(INDEX($F$4:$N$4,0,Y$174+1)-INDEX($F$4:$N$4,0,Y$174))+X180)))</f>
        <v>5.8482690249834803</v>
      </c>
      <c r="Z180" s="186" cm="1">
        <f t="array" ref="Z180">IF(Z$174=-1,AA180,IF(Z$174=99,Y180,IF(Z$174=0,INDEX($F53:$N53,0,Z$172),(INDEX($F53:$N53,0,Z$174+1)-INDEX($F53:$N53,0,Z$174))/(INDEX($F$4:$N$4,0,Z$174+1)-INDEX($F$4:$N$4,0,Z$174))+Y180)))</f>
        <v>5.960116112376511</v>
      </c>
      <c r="AA180" s="186" cm="1">
        <f t="array" ref="AA180">IF(AA$174=-1,AB180,IF(AA$174=99,Z180,IF(AA$174=0,INDEX($F53:$N53,0,AA$172),(INDEX($F53:$N53,0,AA$174+1)-INDEX($F53:$N53,0,AA$174))/(INDEX($F$4:$N$4,0,AA$174+1)-INDEX($F$4:$N$4,0,AA$174))+Z180)))</f>
        <v>6.0719631997695416</v>
      </c>
      <c r="AB180" s="186" cm="1">
        <f t="array" ref="AB180">IF(AB$174=-1,AC180,IF(AB$174=99,AA180,IF(AB$174=0,INDEX($F53:$N53,0,AB$172),(INDEX($F53:$N53,0,AB$174+1)-INDEX($F53:$N53,0,AB$174))/(INDEX($F$4:$N$4,0,AB$174+1)-INDEX($F$4:$N$4,0,AB$174))+AA180)))</f>
        <v>6.1838102871625722</v>
      </c>
      <c r="AC180" s="186" cm="1">
        <f t="array" ref="AC180">IF(AC$174=-1,AD180,IF(AC$174=99,AB180,IF(AC$174=0,INDEX($F53:$N53,0,AC$172),(INDEX($F53:$N53,0,AC$174+1)-INDEX($F53:$N53,0,AC$174))/(INDEX($F$4:$N$4,0,AC$174+1)-INDEX($F$4:$N$4,0,AC$174))+AB180)))</f>
        <v>6.2956573745556001</v>
      </c>
      <c r="AD180" s="186" cm="1">
        <f t="array" ref="AD180">IF(AD$174=-1,AE180,IF(AD$174=99,AC180,IF(AD$174=0,INDEX($F53:$N53,0,AD$172),(INDEX($F53:$N53,0,AD$174+1)-INDEX($F53:$N53,0,AD$174))/(INDEX($F$4:$N$4,0,AD$174+1)-INDEX($F$4:$N$4,0,AD$174))+AC180)))</f>
        <v>6.4311213122185888</v>
      </c>
      <c r="AE180" s="186" cm="1">
        <f t="array" ref="AE180">IF(AE$174=-1,AF180,IF(AE$174=99,AD180,IF(AE$174=0,INDEX($F53:$N53,0,AE$172),(INDEX($F53:$N53,0,AE$174+1)-INDEX($F53:$N53,0,AE$174))/(INDEX($F$4:$N$4,0,AE$174+1)-INDEX($F$4:$N$4,0,AE$174))+AD180)))</f>
        <v>6.5665852498815775</v>
      </c>
      <c r="AF180" s="186" cm="1">
        <f t="array" ref="AF180">IF(AF$174=-1,AG180,IF(AF$174=99,AE180,IF(AF$174=0,INDEX($F53:$N53,0,AF$172),(INDEX($F53:$N53,0,AF$174+1)-INDEX($F53:$N53,0,AF$174))/(INDEX($F$4:$N$4,0,AF$174+1)-INDEX($F$4:$N$4,0,AF$174))+AE180)))</f>
        <v>6.7020491875445662</v>
      </c>
      <c r="AG180" s="186" cm="1">
        <f t="array" ref="AG180">IF(AG$174=-1,AH180,IF(AG$174=99,AF180,IF(AG$174=0,INDEX($F53:$N53,0,AG$172),(INDEX($F53:$N53,0,AG$174+1)-INDEX($F53:$N53,0,AG$174))/(INDEX($F$4:$N$4,0,AG$174+1)-INDEX($F$4:$N$4,0,AG$174))+AF180)))</f>
        <v>6.8375131252075549</v>
      </c>
      <c r="AH180" s="186" cm="1">
        <f t="array" ref="AH180">IF(AH$174=-1,AI180,IF(AH$174=99,AG180,IF(AH$174=0,INDEX($F53:$N53,0,AH$172),(INDEX($F53:$N53,0,AH$174+1)-INDEX($F53:$N53,0,AH$174))/(INDEX($F$4:$N$4,0,AH$174+1)-INDEX($F$4:$N$4,0,AH$174))+AG180)))</f>
        <v>6.9729770628705436</v>
      </c>
      <c r="AI180" s="186" cm="1">
        <f t="array" ref="AI180">IF(AI$174=-1,AJ180,IF(AI$174=99,AH180,IF(AI$174=0,INDEX($F53:$N53,0,AI$172),(INDEX($F53:$N53,0,AI$174+1)-INDEX($F53:$N53,0,AI$174))/(INDEX($F$4:$N$4,0,AI$174+1)-INDEX($F$4:$N$4,0,AI$174))+AH180)))</f>
        <v>7.1084410005335323</v>
      </c>
      <c r="AJ180" s="186" cm="1">
        <f t="array" ref="AJ180">IF(AJ$174=-1,AK180,IF(AJ$174=99,AI180,IF(AJ$174=0,INDEX($F53:$N53,0,AJ$172),(INDEX($F53:$N53,0,AJ$174+1)-INDEX($F53:$N53,0,AJ$174))/(INDEX($F$4:$N$4,0,AJ$174+1)-INDEX($F$4:$N$4,0,AJ$174))+AI180)))</f>
        <v>7.243904938196521</v>
      </c>
      <c r="AK180" s="186" cm="1">
        <f t="array" ref="AK180">IF(AK$174=-1,AL180,IF(AK$174=99,AJ180,IF(AK$174=0,INDEX($F53:$N53,0,AK$172),(INDEX($F53:$N53,0,AK$174+1)-INDEX($F53:$N53,0,AK$174))/(INDEX($F$4:$N$4,0,AK$174+1)-INDEX($F$4:$N$4,0,AK$174))+AJ180)))</f>
        <v>7.3793688758595097</v>
      </c>
      <c r="AL180" s="186" cm="1">
        <f t="array" ref="AL180">IF(AL$174=-1,AM180,IF(AL$174=99,AK180,IF(AL$174=0,INDEX($F53:$N53,0,AL$172),(INDEX($F53:$N53,0,AL$174+1)-INDEX($F53:$N53,0,AL$174))/(INDEX($F$4:$N$4,0,AL$174+1)-INDEX($F$4:$N$4,0,AL$174))+AK180)))</f>
        <v>7.5148328135224984</v>
      </c>
      <c r="AM180" s="186" cm="1">
        <f t="array" ref="AM180">IF(AM$174=-1,AN180,IF(AM$174=99,AL180,IF(AM$174=0,INDEX($F53:$N53,0,AM$172),(INDEX($F53:$N53,0,AM$174+1)-INDEX($F53:$N53,0,AM$174))/(INDEX($F$4:$N$4,0,AM$174+1)-INDEX($F$4:$N$4,0,AM$174))+AL180)))</f>
        <v>7.6502967511854907</v>
      </c>
      <c r="AN180" s="186" cm="1">
        <f t="array" ref="AN180">IF(AN$174=-1,AO180,IF(AN$174=99,AM180,IF(AN$174=0,INDEX($F53:$N53,0,AN$172),(INDEX($F53:$N53,0,AN$174+1)-INDEX($F53:$N53,0,AN$174))/(INDEX($F$4:$N$4,0,AN$174+1)-INDEX($F$4:$N$4,0,AN$174))+AM180)))</f>
        <v>7.8296886142043034</v>
      </c>
      <c r="AO180" s="186" cm="1">
        <f t="array" ref="AO180">IF(AO$174=-1,AP180,IF(AO$174=99,AN180,IF(AO$174=0,INDEX($F53:$N53,0,AO$172),(INDEX($F53:$N53,0,AO$174+1)-INDEX($F53:$N53,0,AO$174))/(INDEX($F$4:$N$4,0,AO$174+1)-INDEX($F$4:$N$4,0,AO$174))+AN180)))</f>
        <v>9.4442153813736169</v>
      </c>
      <c r="AP180" s="186" cm="1">
        <f t="array" ref="AP180">IF(AP$174=-1,AQ180,IF(AP$174=99,AO180,IF(AP$174=0,INDEX($F53:$N53,0,AP$172),(INDEX($F53:$N53,0,AP$174+1)-INDEX($F53:$N53,0,AP$174))/(INDEX($F$4:$N$4,0,AP$174+1)-INDEX($F$4:$N$4,0,AP$174))+AO180)))</f>
        <v>9.4442153813736169</v>
      </c>
      <c r="AQ180" s="186" cm="1">
        <f t="array" ref="AQ180">IF(AQ$174=-1,AR180,IF(AQ$174=99,AP180,IF(AQ$174=0,INDEX($F53:$N53,0,AQ$172),(INDEX($F53:$N53,0,AQ$174+1)-INDEX($F53:$N53,0,AQ$174))/(INDEX($F$4:$N$4,0,AQ$174+1)-INDEX($F$4:$N$4,0,AQ$174))+AP180)))</f>
        <v>9.4442153813736169</v>
      </c>
      <c r="AZ180" s="186"/>
      <c r="BA180" s="186"/>
      <c r="BB180" s="186"/>
      <c r="BC180" s="186"/>
      <c r="BD180" s="186"/>
      <c r="BE180" s="186"/>
    </row>
    <row r="181" spans="1:57">
      <c r="A181" s="185" t="s">
        <v>16</v>
      </c>
      <c r="B181" s="22" t="str">
        <f t="shared" si="245"/>
        <v/>
      </c>
      <c r="C181" s="23" t="str">
        <f t="shared" si="246"/>
        <v/>
      </c>
      <c r="D181" s="57"/>
      <c r="E181" s="23" t="str">
        <f t="shared" si="247"/>
        <v/>
      </c>
      <c r="F181" s="23" t="str">
        <f t="shared" si="247"/>
        <v/>
      </c>
      <c r="G181" s="23" t="str">
        <f t="shared" si="247"/>
        <v/>
      </c>
      <c r="H181" s="23"/>
      <c r="I181" s="23" t="str">
        <f t="shared" si="247"/>
        <v/>
      </c>
      <c r="J181" s="133" t="str">
        <f t="shared" si="249"/>
        <v>TFHCV5</v>
      </c>
      <c r="K181" s="186">
        <f t="shared" si="250"/>
        <v>3.0627981264343846</v>
      </c>
      <c r="L181" s="186" cm="1">
        <f t="array" ref="L181">IF(L$174=-1,M181,IF(L$174=99,K181,IF(L$174=0,INDEX($F54:$N54,0,L$172),(INDEX($F54:$N54,0,L$174+1)-INDEX($F54:$N54,0,L$174))/(INDEX($F$4:$N$4,0,L$174+1)-INDEX($F$4:$N$4,0,L$174))+K181)))</f>
        <v>3.1177156497905814</v>
      </c>
      <c r="M181" s="186" cm="1">
        <f t="array" ref="M181">IF(M$174=-1,N181,IF(M$174=99,L181,IF(M$174=0,INDEX($F54:$N54,0,M$172),(INDEX($F54:$N54,0,M$174+1)-INDEX($F54:$N54,0,M$174))/(INDEX($F$4:$N$4,0,M$174+1)-INDEX($F$4:$N$4,0,M$174))+L181)))</f>
        <v>3.1726331731467781</v>
      </c>
      <c r="N181" s="186" cm="1">
        <f t="array" ref="N181">IF(N$174=-1,O181,IF(N$174=99,M181,IF(N$174=0,INDEX($F54:$N54,0,N$172),(INDEX($F54:$N54,0,N$174+1)-INDEX($F54:$N54,0,N$174))/(INDEX($F$4:$N$4,0,N$174+1)-INDEX($F$4:$N$4,0,N$174))+M181)))</f>
        <v>3.2275506965029748</v>
      </c>
      <c r="O181" s="186" cm="1">
        <f t="array" ref="O181">IF(O$174=-1,P181,IF(O$174=99,N181,IF(O$174=0,INDEX($F54:$N54,0,O$172),(INDEX($F54:$N54,0,O$174+1)-INDEX($F54:$N54,0,O$174))/(INDEX($F$4:$N$4,0,O$174+1)-INDEX($F$4:$N$4,0,O$174))+N181)))</f>
        <v>3.2572268125611594</v>
      </c>
      <c r="P181" s="186" cm="1">
        <f t="array" ref="P181">IF(P$174=-1,Q181,IF(P$174=99,O181,IF(P$174=0,INDEX($F54:$N54,0,P$172),(INDEX($F54:$N54,0,P$174+1)-INDEX($F54:$N54,0,P$174))/(INDEX($F$4:$N$4,0,P$174+1)-INDEX($F$4:$N$4,0,P$174))+O181)))</f>
        <v>3.2869029286193441</v>
      </c>
      <c r="Q181" s="186" cm="1">
        <f t="array" ref="Q181">IF(Q$174=-1,R181,IF(Q$174=99,P181,IF(Q$174=0,INDEX($F54:$N54,0,Q$172),(INDEX($F54:$N54,0,Q$174+1)-INDEX($F54:$N54,0,Q$174))/(INDEX($F$4:$N$4,0,Q$174+1)-INDEX($F$4:$N$4,0,Q$174))+P181)))</f>
        <v>3.3073598305689558</v>
      </c>
      <c r="R181" s="186" cm="1">
        <f t="array" ref="R181">IF(R$174=-1,S181,IF(R$174=99,Q181,IF(R$174=0,INDEX($F54:$N54,0,R$172),(INDEX($F54:$N54,0,R$174+1)-INDEX($F54:$N54,0,R$174))/(INDEX($F$4:$N$4,0,R$174+1)-INDEX($F$4:$N$4,0,R$174))+Q181)))</f>
        <v>3.3278167325185679</v>
      </c>
      <c r="S181" s="186" cm="1">
        <f t="array" ref="S181">IF(S$174=-1,T181,IF(S$174=99,R181,IF(S$174=0,INDEX($F54:$N54,0,S$172),(INDEX($F54:$N54,0,S$174+1)-INDEX($F54:$N54,0,S$174))/(INDEX($F$4:$N$4,0,S$174+1)-INDEX($F$4:$N$4,0,S$174))+R181)))</f>
        <v>3.1360060534799454</v>
      </c>
      <c r="T181" s="186" cm="1">
        <f t="array" ref="T181">IF(T$174=-1,U181,IF(T$174=99,S181,IF(T$174=0,INDEX($F54:$N54,0,T$172),(INDEX($F54:$N54,0,T$174+1)-INDEX($F54:$N54,0,T$174))/(INDEX($F$4:$N$4,0,T$174+1)-INDEX($F$4:$N$4,0,T$174))+S181)))</f>
        <v>3.1883455688318136</v>
      </c>
      <c r="U181" s="186" cm="1">
        <f t="array" ref="U181">IF(U$174=-1,V181,IF(U$174=99,T181,IF(U$174=0,INDEX($F54:$N54,0,U$172),(INDEX($F54:$N54,0,U$174+1)-INDEX($F54:$N54,0,U$174))/(INDEX($F$4:$N$4,0,U$174+1)-INDEX($F$4:$N$4,0,U$174))+T181)))</f>
        <v>3.2557694487413995</v>
      </c>
      <c r="V181" s="186" cm="1">
        <f t="array" ref="V181">IF(V$174=-1,W181,IF(V$174=99,U181,IF(V$174=0,INDEX($F54:$N54,0,V$172),(INDEX($F54:$N54,0,V$174+1)-INDEX($F54:$N54,0,V$174))/(INDEX($F$4:$N$4,0,V$174+1)-INDEX($F$4:$N$4,0,V$174))+U181)))</f>
        <v>3.3231933286509854</v>
      </c>
      <c r="W181" s="186" cm="1">
        <f t="array" ref="W181">IF(W$174=-1,X181,IF(W$174=99,V181,IF(W$174=0,INDEX($F54:$N54,0,W$172),(INDEX($F54:$N54,0,W$174+1)-INDEX($F54:$N54,0,W$174))/(INDEX($F$4:$N$4,0,W$174+1)-INDEX($F$4:$N$4,0,W$174))+V181)))</f>
        <v>3.3906172085605712</v>
      </c>
      <c r="X181" s="186" cm="1">
        <f t="array" ref="X181">IF(X$174=-1,Y181,IF(X$174=99,W181,IF(X$174=0,INDEX($F54:$N54,0,X$172),(INDEX($F54:$N54,0,X$174+1)-INDEX($F54:$N54,0,X$174))/(INDEX($F$4:$N$4,0,X$174+1)-INDEX($F$4:$N$4,0,X$174))+W181)))</f>
        <v>3.4580410884701571</v>
      </c>
      <c r="Y181" s="186" cm="1">
        <f t="array" ref="Y181">IF(Y$174=-1,Z181,IF(Y$174=99,X181,IF(Y$174=0,INDEX($F54:$N54,0,Y$172),(INDEX($F54:$N54,0,Y$174+1)-INDEX($F54:$N54,0,Y$174))/(INDEX($F$4:$N$4,0,Y$174+1)-INDEX($F$4:$N$4,0,Y$174))+X181)))</f>
        <v>3.525464968379743</v>
      </c>
      <c r="Z181" s="186" cm="1">
        <f t="array" ref="Z181">IF(Z$174=-1,AA181,IF(Z$174=99,Y181,IF(Z$174=0,INDEX($F54:$N54,0,Z$172),(INDEX($F54:$N54,0,Z$174+1)-INDEX($F54:$N54,0,Z$174))/(INDEX($F$4:$N$4,0,Z$174+1)-INDEX($F$4:$N$4,0,Z$174))+Y181)))</f>
        <v>3.5928888482893289</v>
      </c>
      <c r="AA181" s="186" cm="1">
        <f t="array" ref="AA181">IF(AA$174=-1,AB181,IF(AA$174=99,Z181,IF(AA$174=0,INDEX($F54:$N54,0,AA$172),(INDEX($F54:$N54,0,AA$174+1)-INDEX($F54:$N54,0,AA$174))/(INDEX($F$4:$N$4,0,AA$174+1)-INDEX($F$4:$N$4,0,AA$174))+Z181)))</f>
        <v>3.6603127281989147</v>
      </c>
      <c r="AB181" s="186" cm="1">
        <f t="array" ref="AB181">IF(AB$174=-1,AC181,IF(AB$174=99,AA181,IF(AB$174=0,INDEX($F54:$N54,0,AB$172),(INDEX($F54:$N54,0,AB$174+1)-INDEX($F54:$N54,0,AB$174))/(INDEX($F$4:$N$4,0,AB$174+1)-INDEX($F$4:$N$4,0,AB$174))+AA181)))</f>
        <v>3.7277366081085006</v>
      </c>
      <c r="AC181" s="186" cm="1">
        <f t="array" ref="AC181">IF(AC$174=-1,AD181,IF(AC$174=99,AB181,IF(AC$174=0,INDEX($F54:$N54,0,AC$172),(INDEX($F54:$N54,0,AC$174+1)-INDEX($F54:$N54,0,AC$174))/(INDEX($F$4:$N$4,0,AC$174+1)-INDEX($F$4:$N$4,0,AC$174))+AB181)))</f>
        <v>3.7951604880180847</v>
      </c>
      <c r="AD181" s="186" cm="1">
        <f t="array" ref="AD181">IF(AD$174=-1,AE181,IF(AD$174=99,AC181,IF(AD$174=0,INDEX($F54:$N54,0,AD$172),(INDEX($F54:$N54,0,AD$174+1)-INDEX($F54:$N54,0,AD$174))/(INDEX($F$4:$N$4,0,AD$174+1)-INDEX($F$4:$N$4,0,AD$174))+AC181)))</f>
        <v>3.8768211237838948</v>
      </c>
      <c r="AE181" s="186" cm="1">
        <f t="array" ref="AE181">IF(AE$174=-1,AF181,IF(AE$174=99,AD181,IF(AE$174=0,INDEX($F54:$N54,0,AE$172),(INDEX($F54:$N54,0,AE$174+1)-INDEX($F54:$N54,0,AE$174))/(INDEX($F$4:$N$4,0,AE$174+1)-INDEX($F$4:$N$4,0,AE$174))+AD181)))</f>
        <v>3.9584817595497048</v>
      </c>
      <c r="AF181" s="186" cm="1">
        <f t="array" ref="AF181">IF(AF$174=-1,AG181,IF(AF$174=99,AE181,IF(AF$174=0,INDEX($F54:$N54,0,AF$172),(INDEX($F54:$N54,0,AF$174+1)-INDEX($F54:$N54,0,AF$174))/(INDEX($F$4:$N$4,0,AF$174+1)-INDEX($F$4:$N$4,0,AF$174))+AE181)))</f>
        <v>4.0401423953155149</v>
      </c>
      <c r="AG181" s="186" cm="1">
        <f t="array" ref="AG181">IF(AG$174=-1,AH181,IF(AG$174=99,AF181,IF(AG$174=0,INDEX($F54:$N54,0,AG$172),(INDEX($F54:$N54,0,AG$174+1)-INDEX($F54:$N54,0,AG$174))/(INDEX($F$4:$N$4,0,AG$174+1)-INDEX($F$4:$N$4,0,AG$174))+AF181)))</f>
        <v>4.121803031081325</v>
      </c>
      <c r="AH181" s="186" cm="1">
        <f t="array" ref="AH181">IF(AH$174=-1,AI181,IF(AH$174=99,AG181,IF(AH$174=0,INDEX($F54:$N54,0,AH$172),(INDEX($F54:$N54,0,AH$174+1)-INDEX($F54:$N54,0,AH$174))/(INDEX($F$4:$N$4,0,AH$174+1)-INDEX($F$4:$N$4,0,AH$174))+AG181)))</f>
        <v>4.203463666847135</v>
      </c>
      <c r="AI181" s="186" cm="1">
        <f t="array" ref="AI181">IF(AI$174=-1,AJ181,IF(AI$174=99,AH181,IF(AI$174=0,INDEX($F54:$N54,0,AI$172),(INDEX($F54:$N54,0,AI$174+1)-INDEX($F54:$N54,0,AI$174))/(INDEX($F$4:$N$4,0,AI$174+1)-INDEX($F$4:$N$4,0,AI$174))+AH181)))</f>
        <v>4.2851243026129451</v>
      </c>
      <c r="AJ181" s="186" cm="1">
        <f t="array" ref="AJ181">IF(AJ$174=-1,AK181,IF(AJ$174=99,AI181,IF(AJ$174=0,INDEX($F54:$N54,0,AJ$172),(INDEX($F54:$N54,0,AJ$174+1)-INDEX($F54:$N54,0,AJ$174))/(INDEX($F$4:$N$4,0,AJ$174+1)-INDEX($F$4:$N$4,0,AJ$174))+AI181)))</f>
        <v>4.3667849383787551</v>
      </c>
      <c r="AK181" s="186" cm="1">
        <f t="array" ref="AK181">IF(AK$174=-1,AL181,IF(AK$174=99,AJ181,IF(AK$174=0,INDEX($F54:$N54,0,AK$172),(INDEX($F54:$N54,0,AK$174+1)-INDEX($F54:$N54,0,AK$174))/(INDEX($F$4:$N$4,0,AK$174+1)-INDEX($F$4:$N$4,0,AK$174))+AJ181)))</f>
        <v>4.4484455741445652</v>
      </c>
      <c r="AL181" s="186" cm="1">
        <f t="array" ref="AL181">IF(AL$174=-1,AM181,IF(AL$174=99,AK181,IF(AL$174=0,INDEX($F54:$N54,0,AL$172),(INDEX($F54:$N54,0,AL$174+1)-INDEX($F54:$N54,0,AL$174))/(INDEX($F$4:$N$4,0,AL$174+1)-INDEX($F$4:$N$4,0,AL$174))+AK181)))</f>
        <v>4.5301062099103753</v>
      </c>
      <c r="AM181" s="186" cm="1">
        <f t="array" ref="AM181">IF(AM$174=-1,AN181,IF(AM$174=99,AL181,IF(AM$174=0,INDEX($F54:$N54,0,AM$172),(INDEX($F54:$N54,0,AM$174+1)-INDEX($F54:$N54,0,AM$174))/(INDEX($F$4:$N$4,0,AM$174+1)-INDEX($F$4:$N$4,0,AM$174))+AL181)))</f>
        <v>4.6117668456761853</v>
      </c>
      <c r="AN181" s="186" cm="1">
        <f t="array" ref="AN181">IF(AN$174=-1,AO181,IF(AN$174=99,AM181,IF(AN$174=0,INDEX($F54:$N54,0,AN$172),(INDEX($F54:$N54,0,AN$174+1)-INDEX($F54:$N54,0,AN$174))/(INDEX($F$4:$N$4,0,AN$174+1)-INDEX($F$4:$N$4,0,AN$174))+AM181)))</f>
        <v>4.7199081992944016</v>
      </c>
      <c r="AO181" s="186" cm="1">
        <f t="array" ref="AO181">IF(AO$174=-1,AP181,IF(AO$174=99,AN181,IF(AO$174=0,INDEX($F54:$N54,0,AO$172),(INDEX($F54:$N54,0,AO$174+1)-INDEX($F54:$N54,0,AO$174))/(INDEX($F$4:$N$4,0,AO$174+1)-INDEX($F$4:$N$4,0,AO$174))+AN181)))</f>
        <v>5.693180381858352</v>
      </c>
      <c r="AP181" s="186" cm="1">
        <f t="array" ref="AP181">IF(AP$174=-1,AQ181,IF(AP$174=99,AO181,IF(AP$174=0,INDEX($F54:$N54,0,AP$172),(INDEX($F54:$N54,0,AP$174+1)-INDEX($F54:$N54,0,AP$174))/(INDEX($F$4:$N$4,0,AP$174+1)-INDEX($F$4:$N$4,0,AP$174))+AO181)))</f>
        <v>5.693180381858352</v>
      </c>
      <c r="AQ181" s="186" cm="1">
        <f t="array" ref="AQ181">IF(AQ$174=-1,AR181,IF(AQ$174=99,AP181,IF(AQ$174=0,INDEX($F54:$N54,0,AQ$172),(INDEX($F54:$N54,0,AQ$174+1)-INDEX($F54:$N54,0,AQ$174))/(INDEX($F$4:$N$4,0,AQ$174+1)-INDEX($F$4:$N$4,0,AQ$174))+AP181)))</f>
        <v>5.693180381858352</v>
      </c>
      <c r="AZ181" s="186"/>
      <c r="BA181" s="186"/>
      <c r="BB181" s="186"/>
      <c r="BC181" s="186"/>
      <c r="BD181" s="186"/>
      <c r="BE181" s="186"/>
    </row>
    <row r="182" spans="1:57">
      <c r="A182" s="185" t="s">
        <v>16</v>
      </c>
      <c r="B182" s="22" t="str">
        <f t="shared" si="245"/>
        <v/>
      </c>
      <c r="C182" s="23" t="str">
        <f t="shared" si="246"/>
        <v/>
      </c>
      <c r="D182" s="57"/>
      <c r="E182" s="23" t="str">
        <f t="shared" si="247"/>
        <v/>
      </c>
      <c r="F182" s="23" t="str">
        <f t="shared" si="247"/>
        <v/>
      </c>
      <c r="G182" s="23" t="str">
        <f t="shared" si="247"/>
        <v/>
      </c>
      <c r="H182" s="23"/>
      <c r="I182" s="23" t="str">
        <f t="shared" si="247"/>
        <v/>
      </c>
      <c r="J182" s="133" t="str">
        <f t="shared" si="249"/>
        <v>TFHCV6</v>
      </c>
      <c r="K182" s="186">
        <f t="shared" si="250"/>
        <v>100.6136299290159</v>
      </c>
      <c r="L182" s="186" cm="1">
        <f t="array" ref="L182">IF(L$174=-1,M182,IF(L$174=99,K182,IF(L$174=0,INDEX($F55:$N55,0,L$172),(INDEX($F55:$N55,0,L$174+1)-INDEX($F55:$N55,0,L$174))/(INDEX($F$4:$N$4,0,L$174+1)-INDEX($F$4:$N$4,0,L$174))+K182)))</f>
        <v>102.41768332838605</v>
      </c>
      <c r="M182" s="186" cm="1">
        <f t="array" ref="M182">IF(M$174=-1,N182,IF(M$174=99,L182,IF(M$174=0,INDEX($F55:$N55,0,M$172),(INDEX($F55:$N55,0,M$174+1)-INDEX($F55:$N55,0,M$174))/(INDEX($F$4:$N$4,0,M$174+1)-INDEX($F$4:$N$4,0,M$174))+L182)))</f>
        <v>104.22173672775619</v>
      </c>
      <c r="N182" s="186" cm="1">
        <f t="array" ref="N182">IF(N$174=-1,O182,IF(N$174=99,M182,IF(N$174=0,INDEX($F55:$N55,0,N$172),(INDEX($F55:$N55,0,N$174+1)-INDEX($F55:$N55,0,N$174))/(INDEX($F$4:$N$4,0,N$174+1)-INDEX($F$4:$N$4,0,N$174))+M182)))</f>
        <v>106.02579012712634</v>
      </c>
      <c r="O182" s="186" cm="1">
        <f t="array" ref="O182">IF(O$174=-1,P182,IF(O$174=99,N182,IF(O$174=0,INDEX($F55:$N55,0,O$172),(INDEX($F55:$N55,0,O$174+1)-INDEX($F55:$N55,0,O$174))/(INDEX($F$4:$N$4,0,O$174+1)-INDEX($F$4:$N$4,0,O$174))+N182)))</f>
        <v>107.00065743327973</v>
      </c>
      <c r="P182" s="186" cm="1">
        <f t="array" ref="P182">IF(P$174=-1,Q182,IF(P$174=99,O182,IF(P$174=0,INDEX($F55:$N55,0,P$172),(INDEX($F55:$N55,0,P$174+1)-INDEX($F55:$N55,0,P$174))/(INDEX($F$4:$N$4,0,P$174+1)-INDEX($F$4:$N$4,0,P$174))+O182)))</f>
        <v>107.97552473943311</v>
      </c>
      <c r="Q182" s="186" cm="1">
        <f t="array" ref="Q182">IF(Q$174=-1,R182,IF(Q$174=99,P182,IF(Q$174=0,INDEX($F55:$N55,0,Q$172),(INDEX($F55:$N55,0,Q$174+1)-INDEX($F55:$N55,0,Q$174))/(INDEX($F$4:$N$4,0,Q$174+1)-INDEX($F$4:$N$4,0,Q$174))+P182)))</f>
        <v>108.64753872053365</v>
      </c>
      <c r="R182" s="186" cm="1">
        <f t="array" ref="R182">IF(R$174=-1,S182,IF(R$174=99,Q182,IF(R$174=0,INDEX($F55:$N55,0,R$172),(INDEX($F55:$N55,0,R$174+1)-INDEX($F55:$N55,0,R$174))/(INDEX($F$4:$N$4,0,R$174+1)-INDEX($F$4:$N$4,0,R$174))+Q182)))</f>
        <v>109.31955270163417</v>
      </c>
      <c r="S182" s="186" cm="1">
        <f t="array" ref="S182">IF(S$174=-1,T182,IF(S$174=99,R182,IF(S$174=0,INDEX($F55:$N55,0,S$172),(INDEX($F55:$N55,0,S$174+1)-INDEX($F55:$N55,0,S$174))/(INDEX($F$4:$N$4,0,S$174+1)-INDEX($F$4:$N$4,0,S$174))+R182)))</f>
        <v>103.01852733836863</v>
      </c>
      <c r="T182" s="186" cm="1">
        <f t="array" ref="T182">IF(T$174=-1,U182,IF(T$174=99,S182,IF(T$174=0,INDEX($F55:$N55,0,T$172),(INDEX($F55:$N55,0,T$174+1)-INDEX($F55:$N55,0,T$174))/(INDEX($F$4:$N$4,0,T$174+1)-INDEX($F$4:$N$4,0,T$174))+S182)))</f>
        <v>104.73789257593573</v>
      </c>
      <c r="U182" s="186" cm="1">
        <f t="array" ref="U182">IF(U$174=-1,V182,IF(U$174=99,T182,IF(U$174=0,INDEX($F55:$N55,0,U$172),(INDEX($F55:$N55,0,U$174+1)-INDEX($F55:$N55,0,U$174))/(INDEX($F$4:$N$4,0,U$174+1)-INDEX($F$4:$N$4,0,U$174))+T182)))</f>
        <v>106.95278269326087</v>
      </c>
      <c r="V182" s="186" cm="1">
        <f t="array" ref="V182">IF(V$174=-1,W182,IF(V$174=99,U182,IF(V$174=0,INDEX($F55:$N55,0,V$172),(INDEX($F55:$N55,0,V$174+1)-INDEX($F55:$N55,0,V$174))/(INDEX($F$4:$N$4,0,V$174+1)-INDEX($F$4:$N$4,0,V$174))+U182)))</f>
        <v>109.16767281058601</v>
      </c>
      <c r="W182" s="186" cm="1">
        <f t="array" ref="W182">IF(W$174=-1,X182,IF(W$174=99,V182,IF(W$174=0,INDEX($F55:$N55,0,W$172),(INDEX($F55:$N55,0,W$174+1)-INDEX($F55:$N55,0,W$174))/(INDEX($F$4:$N$4,0,W$174+1)-INDEX($F$4:$N$4,0,W$174))+V182)))</f>
        <v>111.38256292791115</v>
      </c>
      <c r="X182" s="186" cm="1">
        <f t="array" ref="X182">IF(X$174=-1,Y182,IF(X$174=99,W182,IF(X$174=0,INDEX($F55:$N55,0,X$172),(INDEX($F55:$N55,0,X$174+1)-INDEX($F55:$N55,0,X$174))/(INDEX($F$4:$N$4,0,X$174+1)-INDEX($F$4:$N$4,0,X$174))+W182)))</f>
        <v>113.59745304523629</v>
      </c>
      <c r="Y182" s="186" cm="1">
        <f t="array" ref="Y182">IF(Y$174=-1,Z182,IF(Y$174=99,X182,IF(Y$174=0,INDEX($F55:$N55,0,Y$172),(INDEX($F55:$N55,0,Y$174+1)-INDEX($F55:$N55,0,Y$174))/(INDEX($F$4:$N$4,0,Y$174+1)-INDEX($F$4:$N$4,0,Y$174))+X182)))</f>
        <v>115.81234316256143</v>
      </c>
      <c r="Z182" s="186" cm="1">
        <f t="array" ref="Z182">IF(Z$174=-1,AA182,IF(Z$174=99,Y182,IF(Z$174=0,INDEX($F55:$N55,0,Z$172),(INDEX($F55:$N55,0,Z$174+1)-INDEX($F55:$N55,0,Z$174))/(INDEX($F$4:$N$4,0,Z$174+1)-INDEX($F$4:$N$4,0,Z$174))+Y182)))</f>
        <v>118.02723327988657</v>
      </c>
      <c r="AA182" s="186" cm="1">
        <f t="array" ref="AA182">IF(AA$174=-1,AB182,IF(AA$174=99,Z182,IF(AA$174=0,INDEX($F55:$N55,0,AA$172),(INDEX($F55:$N55,0,AA$174+1)-INDEX($F55:$N55,0,AA$174))/(INDEX($F$4:$N$4,0,AA$174+1)-INDEX($F$4:$N$4,0,AA$174))+Z182)))</f>
        <v>120.24212339721171</v>
      </c>
      <c r="AB182" s="186" cm="1">
        <f t="array" ref="AB182">IF(AB$174=-1,AC182,IF(AB$174=99,AA182,IF(AB$174=0,INDEX($F55:$N55,0,AB$172),(INDEX($F55:$N55,0,AB$174+1)-INDEX($F55:$N55,0,AB$174))/(INDEX($F$4:$N$4,0,AB$174+1)-INDEX($F$4:$N$4,0,AB$174))+AA182)))</f>
        <v>122.45701351453685</v>
      </c>
      <c r="AC182" s="186" cm="1">
        <f t="array" ref="AC182">IF(AC$174=-1,AD182,IF(AC$174=99,AB182,IF(AC$174=0,INDEX($F55:$N55,0,AC$172),(INDEX($F55:$N55,0,AC$174+1)-INDEX($F55:$N55,0,AC$174))/(INDEX($F$4:$N$4,0,AC$174+1)-INDEX($F$4:$N$4,0,AC$174))+AB182)))</f>
        <v>124.67190363186195</v>
      </c>
      <c r="AD182" s="186" cm="1">
        <f t="array" ref="AD182">IF(AD$174=-1,AE182,IF(AD$174=99,AC182,IF(AD$174=0,INDEX($F55:$N55,0,AD$172),(INDEX($F55:$N55,0,AD$174+1)-INDEX($F55:$N55,0,AD$174))/(INDEX($F$4:$N$4,0,AD$174+1)-INDEX($F$4:$N$4,0,AD$174))+AC182)))</f>
        <v>127.35447448620499</v>
      </c>
      <c r="AE182" s="186" cm="1">
        <f t="array" ref="AE182">IF(AE$174=-1,AF182,IF(AE$174=99,AD182,IF(AE$174=0,INDEX($F55:$N55,0,AE$172),(INDEX($F55:$N55,0,AE$174+1)-INDEX($F55:$N55,0,AE$174))/(INDEX($F$4:$N$4,0,AE$174+1)-INDEX($F$4:$N$4,0,AE$174))+AD182)))</f>
        <v>130.03704534054805</v>
      </c>
      <c r="AF182" s="186" cm="1">
        <f t="array" ref="AF182">IF(AF$174=-1,AG182,IF(AF$174=99,AE182,IF(AF$174=0,INDEX($F55:$N55,0,AF$172),(INDEX($F55:$N55,0,AF$174+1)-INDEX($F55:$N55,0,AF$174))/(INDEX($F$4:$N$4,0,AF$174+1)-INDEX($F$4:$N$4,0,AF$174))+AE182)))</f>
        <v>132.7196161948911</v>
      </c>
      <c r="AG182" s="186" cm="1">
        <f t="array" ref="AG182">IF(AG$174=-1,AH182,IF(AG$174=99,AF182,IF(AG$174=0,INDEX($F55:$N55,0,AG$172),(INDEX($F55:$N55,0,AG$174+1)-INDEX($F55:$N55,0,AG$174))/(INDEX($F$4:$N$4,0,AG$174+1)-INDEX($F$4:$N$4,0,AG$174))+AF182)))</f>
        <v>135.40218704923416</v>
      </c>
      <c r="AH182" s="186" cm="1">
        <f t="array" ref="AH182">IF(AH$174=-1,AI182,IF(AH$174=99,AG182,IF(AH$174=0,INDEX($F55:$N55,0,AH$172),(INDEX($F55:$N55,0,AH$174+1)-INDEX($F55:$N55,0,AH$174))/(INDEX($F$4:$N$4,0,AH$174+1)-INDEX($F$4:$N$4,0,AH$174))+AG182)))</f>
        <v>138.08475790357721</v>
      </c>
      <c r="AI182" s="186" cm="1">
        <f t="array" ref="AI182">IF(AI$174=-1,AJ182,IF(AI$174=99,AH182,IF(AI$174=0,INDEX($F55:$N55,0,AI$172),(INDEX($F55:$N55,0,AI$174+1)-INDEX($F55:$N55,0,AI$174))/(INDEX($F$4:$N$4,0,AI$174+1)-INDEX($F$4:$N$4,0,AI$174))+AH182)))</f>
        <v>140.76732875792027</v>
      </c>
      <c r="AJ182" s="186" cm="1">
        <f t="array" ref="AJ182">IF(AJ$174=-1,AK182,IF(AJ$174=99,AI182,IF(AJ$174=0,INDEX($F55:$N55,0,AJ$172),(INDEX($F55:$N55,0,AJ$174+1)-INDEX($F55:$N55,0,AJ$174))/(INDEX($F$4:$N$4,0,AJ$174+1)-INDEX($F$4:$N$4,0,AJ$174))+AI182)))</f>
        <v>143.44989961226332</v>
      </c>
      <c r="AK182" s="186" cm="1">
        <f t="array" ref="AK182">IF(AK$174=-1,AL182,IF(AK$174=99,AJ182,IF(AK$174=0,INDEX($F55:$N55,0,AK$172),(INDEX($F55:$N55,0,AK$174+1)-INDEX($F55:$N55,0,AK$174))/(INDEX($F$4:$N$4,0,AK$174+1)-INDEX($F$4:$N$4,0,AK$174))+AJ182)))</f>
        <v>146.13247046660638</v>
      </c>
      <c r="AL182" s="186" cm="1">
        <f t="array" ref="AL182">IF(AL$174=-1,AM182,IF(AL$174=99,AK182,IF(AL$174=0,INDEX($F55:$N55,0,AL$172),(INDEX($F55:$N55,0,AL$174+1)-INDEX($F55:$N55,0,AL$174))/(INDEX($F$4:$N$4,0,AL$174+1)-INDEX($F$4:$N$4,0,AL$174))+AK182)))</f>
        <v>148.81504132094943</v>
      </c>
      <c r="AM182" s="186" cm="1">
        <f t="array" ref="AM182">IF(AM$174=-1,AN182,IF(AM$174=99,AL182,IF(AM$174=0,INDEX($F55:$N55,0,AM$172),(INDEX($F55:$N55,0,AM$174+1)-INDEX($F55:$N55,0,AM$174))/(INDEX($F$4:$N$4,0,AM$174+1)-INDEX($F$4:$N$4,0,AM$174))+AL182)))</f>
        <v>151.49761217529243</v>
      </c>
      <c r="AN182" s="186" cm="1">
        <f t="array" ref="AN182">IF(AN$174=-1,AO182,IF(AN$174=99,AM182,IF(AN$174=0,INDEX($F55:$N55,0,AN$172),(INDEX($F55:$N55,0,AN$174+1)-INDEX($F55:$N55,0,AN$174))/(INDEX($F$4:$N$4,0,AN$174+1)-INDEX($F$4:$N$4,0,AN$174))+AM182)))</f>
        <v>155.05008076245093</v>
      </c>
      <c r="AO182" s="186" cm="1">
        <f t="array" ref="AO182">IF(AO$174=-1,AP182,IF(AO$174=99,AN182,IF(AO$174=0,INDEX($F55:$N55,0,AO$172),(INDEX($F55:$N55,0,AO$174+1)-INDEX($F55:$N55,0,AO$174))/(INDEX($F$4:$N$4,0,AO$174+1)-INDEX($F$4:$N$4,0,AO$174))+AN182)))</f>
        <v>187.02229804687755</v>
      </c>
      <c r="AP182" s="186" cm="1">
        <f t="array" ref="AP182">IF(AP$174=-1,AQ182,IF(AP$174=99,AO182,IF(AP$174=0,INDEX($F55:$N55,0,AP$172),(INDEX($F55:$N55,0,AP$174+1)-INDEX($F55:$N55,0,AP$174))/(INDEX($F$4:$N$4,0,AP$174+1)-INDEX($F$4:$N$4,0,AP$174))+AO182)))</f>
        <v>187.02229804687755</v>
      </c>
      <c r="AQ182" s="186" cm="1">
        <f t="array" ref="AQ182">IF(AQ$174=-1,AR182,IF(AQ$174=99,AP182,IF(AQ$174=0,INDEX($F55:$N55,0,AQ$172),(INDEX($F55:$N55,0,AQ$174+1)-INDEX($F55:$N55,0,AQ$174))/(INDEX($F$4:$N$4,0,AQ$174+1)-INDEX($F$4:$N$4,0,AQ$174))+AP182)))</f>
        <v>187.02229804687755</v>
      </c>
      <c r="AZ182" s="186"/>
      <c r="BA182" s="186"/>
      <c r="BB182" s="186"/>
      <c r="BC182" s="186"/>
      <c r="BD182" s="186"/>
      <c r="BE182" s="186"/>
    </row>
    <row r="183" spans="1:57">
      <c r="A183" s="185" t="s">
        <v>16</v>
      </c>
      <c r="B183" s="22" t="str">
        <f t="shared" si="245"/>
        <v/>
      </c>
      <c r="C183" s="23" t="str">
        <f t="shared" si="246"/>
        <v/>
      </c>
      <c r="D183" s="57"/>
      <c r="E183" s="23" t="str">
        <f t="shared" si="247"/>
        <v/>
      </c>
      <c r="F183" s="23" t="str">
        <f t="shared" si="247"/>
        <v/>
      </c>
      <c r="G183" s="23" t="str">
        <f t="shared" si="247"/>
        <v/>
      </c>
      <c r="H183" s="23"/>
      <c r="I183" s="23" t="str">
        <f t="shared" si="247"/>
        <v/>
      </c>
      <c r="J183" s="133" t="str">
        <f t="shared" si="249"/>
        <v>TFHCV7</v>
      </c>
      <c r="K183" s="186">
        <f t="shared" si="250"/>
        <v>35.353370344628992</v>
      </c>
      <c r="L183" s="186" cm="1">
        <f t="array" ref="L183">IF(L$174=-1,M183,IF(L$174=99,K183,IF(L$174=0,INDEX($F56:$N56,0,L$172),(INDEX($F56:$N56,0,L$174+1)-INDEX($F56:$N56,0,L$174))/(INDEX($F$4:$N$4,0,L$174+1)-INDEX($F$4:$N$4,0,L$174))+K183)))</f>
        <v>35.987274200343343</v>
      </c>
      <c r="M183" s="186" cm="1">
        <f t="array" ref="M183">IF(M$174=-1,N183,IF(M$174=99,L183,IF(M$174=0,INDEX($F56:$N56,0,M$172),(INDEX($F56:$N56,0,M$174+1)-INDEX($F56:$N56,0,M$174))/(INDEX($F$4:$N$4,0,M$174+1)-INDEX($F$4:$N$4,0,M$174))+L183)))</f>
        <v>36.621178056057694</v>
      </c>
      <c r="N183" s="186" cm="1">
        <f t="array" ref="N183">IF(N$174=-1,O183,IF(N$174=99,M183,IF(N$174=0,INDEX($F56:$N56,0,N$172),(INDEX($F56:$N56,0,N$174+1)-INDEX($F56:$N56,0,N$174))/(INDEX($F$4:$N$4,0,N$174+1)-INDEX($F$4:$N$4,0,N$174))+M183)))</f>
        <v>37.255081911772038</v>
      </c>
      <c r="O183" s="186" cm="1">
        <f t="array" ref="O183">IF(O$174=-1,P183,IF(O$174=99,N183,IF(O$174=0,INDEX($F56:$N56,0,O$172),(INDEX($F56:$N56,0,O$174+1)-INDEX($F56:$N56,0,O$174))/(INDEX($F$4:$N$4,0,O$174+1)-INDEX($F$4:$N$4,0,O$174))+N183)))</f>
        <v>37.597628393154594</v>
      </c>
      <c r="P183" s="186" cm="1">
        <f t="array" ref="P183">IF(P$174=-1,Q183,IF(P$174=99,O183,IF(P$174=0,INDEX($F56:$N56,0,P$172),(INDEX($F56:$N56,0,P$174+1)-INDEX($F56:$N56,0,P$174))/(INDEX($F$4:$N$4,0,P$174+1)-INDEX($F$4:$N$4,0,P$174))+O183)))</f>
        <v>37.940174874537156</v>
      </c>
      <c r="Q183" s="186" cm="1">
        <f t="array" ref="Q183">IF(Q$174=-1,R183,IF(Q$174=99,P183,IF(Q$174=0,INDEX($F56:$N56,0,Q$172),(INDEX($F56:$N56,0,Q$174+1)-INDEX($F56:$N56,0,Q$174))/(INDEX($F$4:$N$4,0,Q$174+1)-INDEX($F$4:$N$4,0,Q$174))+P183)))</f>
        <v>38.176305497866991</v>
      </c>
      <c r="R183" s="186" cm="1">
        <f t="array" ref="R183">IF(R$174=-1,S183,IF(R$174=99,Q183,IF(R$174=0,INDEX($F56:$N56,0,R$172),(INDEX($F56:$N56,0,R$174+1)-INDEX($F56:$N56,0,R$174))/(INDEX($F$4:$N$4,0,R$174+1)-INDEX($F$4:$N$4,0,R$174))+Q183)))</f>
        <v>38.412436121196819</v>
      </c>
      <c r="S183" s="186" cm="1">
        <f t="array" ref="S183">IF(S$174=-1,T183,IF(S$174=99,R183,IF(S$174=0,INDEX($F56:$N56,0,S$172),(INDEX($F56:$N56,0,S$174+1)-INDEX($F56:$N56,0,S$174))/(INDEX($F$4:$N$4,0,S$174+1)-INDEX($F$4:$N$4,0,S$174))+R183)))</f>
        <v>36.198397293896896</v>
      </c>
      <c r="T183" s="186" cm="1">
        <f t="array" ref="T183">IF(T$174=-1,U183,IF(T$174=99,S183,IF(T$174=0,INDEX($F56:$N56,0,T$172),(INDEX($F56:$N56,0,T$174+1)-INDEX($F56:$N56,0,T$174))/(INDEX($F$4:$N$4,0,T$174+1)-INDEX($F$4:$N$4,0,T$174))+S183)))</f>
        <v>36.802543631170238</v>
      </c>
      <c r="U183" s="186" cm="1">
        <f t="array" ref="U183">IF(U$174=-1,V183,IF(U$174=99,T183,IF(U$174=0,INDEX($F56:$N56,0,U$172),(INDEX($F56:$N56,0,U$174+1)-INDEX($F56:$N56,0,U$174))/(INDEX($F$4:$N$4,0,U$174+1)-INDEX($F$4:$N$4,0,U$174))+T183)))</f>
        <v>37.580806284507553</v>
      </c>
      <c r="V183" s="186" cm="1">
        <f t="array" ref="V183">IF(V$174=-1,W183,IF(V$174=99,U183,IF(V$174=0,INDEX($F56:$N56,0,V$172),(INDEX($F56:$N56,0,V$174+1)-INDEX($F56:$N56,0,V$174))/(INDEX($F$4:$N$4,0,V$174+1)-INDEX($F$4:$N$4,0,V$174))+U183)))</f>
        <v>38.359068937844867</v>
      </c>
      <c r="W183" s="186" cm="1">
        <f t="array" ref="W183">IF(W$174=-1,X183,IF(W$174=99,V183,IF(W$174=0,INDEX($F56:$N56,0,W$172),(INDEX($F56:$N56,0,W$174+1)-INDEX($F56:$N56,0,W$174))/(INDEX($F$4:$N$4,0,W$174+1)-INDEX($F$4:$N$4,0,W$174))+V183)))</f>
        <v>39.137331591182182</v>
      </c>
      <c r="X183" s="186" cm="1">
        <f t="array" ref="X183">IF(X$174=-1,Y183,IF(X$174=99,W183,IF(X$174=0,INDEX($F56:$N56,0,X$172),(INDEX($F56:$N56,0,X$174+1)-INDEX($F56:$N56,0,X$174))/(INDEX($F$4:$N$4,0,X$174+1)-INDEX($F$4:$N$4,0,X$174))+W183)))</f>
        <v>39.915594244519497</v>
      </c>
      <c r="Y183" s="186" cm="1">
        <f t="array" ref="Y183">IF(Y$174=-1,Z183,IF(Y$174=99,X183,IF(Y$174=0,INDEX($F56:$N56,0,Y$172),(INDEX($F56:$N56,0,Y$174+1)-INDEX($F56:$N56,0,Y$174))/(INDEX($F$4:$N$4,0,Y$174+1)-INDEX($F$4:$N$4,0,Y$174))+X183)))</f>
        <v>40.693856897856811</v>
      </c>
      <c r="Z183" s="186" cm="1">
        <f t="array" ref="Z183">IF(Z$174=-1,AA183,IF(Z$174=99,Y183,IF(Z$174=0,INDEX($F56:$N56,0,Z$172),(INDEX($F56:$N56,0,Z$174+1)-INDEX($F56:$N56,0,Z$174))/(INDEX($F$4:$N$4,0,Z$174+1)-INDEX($F$4:$N$4,0,Z$174))+Y183)))</f>
        <v>41.472119551194126</v>
      </c>
      <c r="AA183" s="186" cm="1">
        <f t="array" ref="AA183">IF(AA$174=-1,AB183,IF(AA$174=99,Z183,IF(AA$174=0,INDEX($F56:$N56,0,AA$172),(INDEX($F56:$N56,0,AA$174+1)-INDEX($F56:$N56,0,AA$174))/(INDEX($F$4:$N$4,0,AA$174+1)-INDEX($F$4:$N$4,0,AA$174))+Z183)))</f>
        <v>42.250382204531441</v>
      </c>
      <c r="AB183" s="186" cm="1">
        <f t="array" ref="AB183">IF(AB$174=-1,AC183,IF(AB$174=99,AA183,IF(AB$174=0,INDEX($F56:$N56,0,AB$172),(INDEX($F56:$N56,0,AB$174+1)-INDEX($F56:$N56,0,AB$174))/(INDEX($F$4:$N$4,0,AB$174+1)-INDEX($F$4:$N$4,0,AB$174))+AA183)))</f>
        <v>43.028644857868755</v>
      </c>
      <c r="AC183" s="186" cm="1">
        <f t="array" ref="AC183">IF(AC$174=-1,AD183,IF(AC$174=99,AB183,IF(AC$174=0,INDEX($F56:$N56,0,AC$172),(INDEX($F56:$N56,0,AC$174+1)-INDEX($F56:$N56,0,AC$174))/(INDEX($F$4:$N$4,0,AC$174+1)-INDEX($F$4:$N$4,0,AC$174))+AB183)))</f>
        <v>43.806907511206049</v>
      </c>
      <c r="AD183" s="186" cm="1">
        <f t="array" ref="AD183">IF(AD$174=-1,AE183,IF(AD$174=99,AC183,IF(AD$174=0,INDEX($F56:$N56,0,AD$172),(INDEX($F56:$N56,0,AD$174+1)-INDEX($F56:$N56,0,AD$174))/(INDEX($F$4:$N$4,0,AD$174+1)-INDEX($F$4:$N$4,0,AD$174))+AC183)))</f>
        <v>44.749502674070236</v>
      </c>
      <c r="AE183" s="186" cm="1">
        <f t="array" ref="AE183">IF(AE$174=-1,AF183,IF(AE$174=99,AD183,IF(AE$174=0,INDEX($F56:$N56,0,AE$172),(INDEX($F56:$N56,0,AE$174+1)-INDEX($F56:$N56,0,AE$174))/(INDEX($F$4:$N$4,0,AE$174+1)-INDEX($F$4:$N$4,0,AE$174))+AD183)))</f>
        <v>45.692097836934423</v>
      </c>
      <c r="AF183" s="186" cm="1">
        <f t="array" ref="AF183">IF(AF$174=-1,AG183,IF(AF$174=99,AE183,IF(AF$174=0,INDEX($F56:$N56,0,AF$172),(INDEX($F56:$N56,0,AF$174+1)-INDEX($F56:$N56,0,AF$174))/(INDEX($F$4:$N$4,0,AF$174+1)-INDEX($F$4:$N$4,0,AF$174))+AE183)))</f>
        <v>46.634692999798609</v>
      </c>
      <c r="AG183" s="186" cm="1">
        <f t="array" ref="AG183">IF(AG$174=-1,AH183,IF(AG$174=99,AF183,IF(AG$174=0,INDEX($F56:$N56,0,AG$172),(INDEX($F56:$N56,0,AG$174+1)-INDEX($F56:$N56,0,AG$174))/(INDEX($F$4:$N$4,0,AG$174+1)-INDEX($F$4:$N$4,0,AG$174))+AF183)))</f>
        <v>47.577288162662796</v>
      </c>
      <c r="AH183" s="186" cm="1">
        <f t="array" ref="AH183">IF(AH$174=-1,AI183,IF(AH$174=99,AG183,IF(AH$174=0,INDEX($F56:$N56,0,AH$172),(INDEX($F56:$N56,0,AH$174+1)-INDEX($F56:$N56,0,AH$174))/(INDEX($F$4:$N$4,0,AH$174+1)-INDEX($F$4:$N$4,0,AH$174))+AG183)))</f>
        <v>48.519883325526983</v>
      </c>
      <c r="AI183" s="186" cm="1">
        <f t="array" ref="AI183">IF(AI$174=-1,AJ183,IF(AI$174=99,AH183,IF(AI$174=0,INDEX($F56:$N56,0,AI$172),(INDEX($F56:$N56,0,AI$174+1)-INDEX($F56:$N56,0,AI$174))/(INDEX($F$4:$N$4,0,AI$174+1)-INDEX($F$4:$N$4,0,AI$174))+AH183)))</f>
        <v>49.46247848839117</v>
      </c>
      <c r="AJ183" s="186" cm="1">
        <f t="array" ref="AJ183">IF(AJ$174=-1,AK183,IF(AJ$174=99,AI183,IF(AJ$174=0,INDEX($F56:$N56,0,AJ$172),(INDEX($F56:$N56,0,AJ$174+1)-INDEX($F56:$N56,0,AJ$174))/(INDEX($F$4:$N$4,0,AJ$174+1)-INDEX($F$4:$N$4,0,AJ$174))+AI183)))</f>
        <v>50.405073651255357</v>
      </c>
      <c r="AK183" s="186" cm="1">
        <f t="array" ref="AK183">IF(AK$174=-1,AL183,IF(AK$174=99,AJ183,IF(AK$174=0,INDEX($F56:$N56,0,AK$172),(INDEX($F56:$N56,0,AK$174+1)-INDEX($F56:$N56,0,AK$174))/(INDEX($F$4:$N$4,0,AK$174+1)-INDEX($F$4:$N$4,0,AK$174))+AJ183)))</f>
        <v>51.347668814119544</v>
      </c>
      <c r="AL183" s="186" cm="1">
        <f t="array" ref="AL183">IF(AL$174=-1,AM183,IF(AL$174=99,AK183,IF(AL$174=0,INDEX($F56:$N56,0,AL$172),(INDEX($F56:$N56,0,AL$174+1)-INDEX($F56:$N56,0,AL$174))/(INDEX($F$4:$N$4,0,AL$174+1)-INDEX($F$4:$N$4,0,AL$174))+AK183)))</f>
        <v>52.290263976983731</v>
      </c>
      <c r="AM183" s="186" cm="1">
        <f t="array" ref="AM183">IF(AM$174=-1,AN183,IF(AM$174=99,AL183,IF(AM$174=0,INDEX($F56:$N56,0,AM$172),(INDEX($F56:$N56,0,AM$174+1)-INDEX($F56:$N56,0,AM$174))/(INDEX($F$4:$N$4,0,AM$174+1)-INDEX($F$4:$N$4,0,AM$174))+AL183)))</f>
        <v>53.232859139847896</v>
      </c>
      <c r="AN183" s="186" cm="1">
        <f t="array" ref="AN183">IF(AN$174=-1,AO183,IF(AN$174=99,AM183,IF(AN$174=0,INDEX($F56:$N56,0,AN$172),(INDEX($F56:$N56,0,AN$174+1)-INDEX($F56:$N56,0,AN$174))/(INDEX($F$4:$N$4,0,AN$174+1)-INDEX($F$4:$N$4,0,AN$174))+AM183)))</f>
        <v>54.481116833045945</v>
      </c>
      <c r="AO183" s="186" cm="1">
        <f t="array" ref="AO183">IF(AO$174=-1,AP183,IF(AO$174=99,AN183,IF(AO$174=0,INDEX($F56:$N56,0,AO$172),(INDEX($F56:$N56,0,AO$174+1)-INDEX($F56:$N56,0,AO$174))/(INDEX($F$4:$N$4,0,AO$174+1)-INDEX($F$4:$N$4,0,AO$174))+AN183)))</f>
        <v>65.715436071828407</v>
      </c>
      <c r="AP183" s="186" cm="1">
        <f t="array" ref="AP183">IF(AP$174=-1,AQ183,IF(AP$174=99,AO183,IF(AP$174=0,INDEX($F56:$N56,0,AP$172),(INDEX($F56:$N56,0,AP$174+1)-INDEX($F56:$N56,0,AP$174))/(INDEX($F$4:$N$4,0,AP$174+1)-INDEX($F$4:$N$4,0,AP$174))+AO183)))</f>
        <v>65.715436071828407</v>
      </c>
      <c r="AQ183" s="186" cm="1">
        <f t="array" ref="AQ183">IF(AQ$174=-1,AR183,IF(AQ$174=99,AP183,IF(AQ$174=0,INDEX($F56:$N56,0,AQ$172),(INDEX($F56:$N56,0,AQ$174+1)-INDEX($F56:$N56,0,AQ$174))/(INDEX($F$4:$N$4,0,AQ$174+1)-INDEX($F$4:$N$4,0,AQ$174))+AP183)))</f>
        <v>65.715436071828407</v>
      </c>
      <c r="AZ183" s="186"/>
      <c r="BA183" s="186"/>
      <c r="BB183" s="186"/>
      <c r="BC183" s="186"/>
      <c r="BD183" s="186"/>
      <c r="BE183" s="186"/>
    </row>
    <row r="184" spans="1:57">
      <c r="A184" s="185" t="s">
        <v>16</v>
      </c>
      <c r="B184" s="22" t="str">
        <f t="shared" si="245"/>
        <v/>
      </c>
      <c r="C184" s="23" t="str">
        <f t="shared" si="246"/>
        <v/>
      </c>
      <c r="D184" s="57"/>
      <c r="E184" s="23" t="str">
        <f t="shared" si="247"/>
        <v/>
      </c>
      <c r="F184" s="23" t="str">
        <f t="shared" si="247"/>
        <v/>
      </c>
      <c r="G184" s="23" t="str">
        <f t="shared" si="247"/>
        <v/>
      </c>
      <c r="H184" s="23"/>
      <c r="I184" s="23" t="str">
        <f t="shared" si="247"/>
        <v/>
      </c>
      <c r="J184" s="133" t="str">
        <f t="shared" si="249"/>
        <v>TFHCV8</v>
      </c>
      <c r="K184" s="186">
        <f t="shared" si="250"/>
        <v>1.3011202447704153</v>
      </c>
      <c r="L184" s="186" cm="1">
        <f t="array" ref="L184">IF(L$174=-1,M184,IF(L$174=99,K184,IF(L$174=0,INDEX($F57:$N57,0,L$172),(INDEX($F57:$N57,0,L$174+1)-INDEX($F57:$N57,0,L$174))/(INDEX($F$4:$N$4,0,L$174+1)-INDEX($F$4:$N$4,0,L$174))+K184)))</f>
        <v>1.3244499904740881</v>
      </c>
      <c r="M184" s="186" cm="1">
        <f t="array" ref="M184">IF(M$174=-1,N184,IF(M$174=99,L184,IF(M$174=0,INDEX($F57:$N57,0,M$172),(INDEX($F57:$N57,0,M$174+1)-INDEX($F57:$N57,0,M$174))/(INDEX($F$4:$N$4,0,M$174+1)-INDEX($F$4:$N$4,0,M$174))+L184)))</f>
        <v>1.3477797361777608</v>
      </c>
      <c r="N184" s="186" cm="1">
        <f t="array" ref="N184">IF(N$174=-1,O184,IF(N$174=99,M184,IF(N$174=0,INDEX($F57:$N57,0,N$172),(INDEX($F57:$N57,0,N$174+1)-INDEX($F57:$N57,0,N$174))/(INDEX($F$4:$N$4,0,N$174+1)-INDEX($F$4:$N$4,0,N$174))+M184)))</f>
        <v>1.3711094818814338</v>
      </c>
      <c r="O184" s="186" cm="1">
        <f t="array" ref="O184">IF(O$174=-1,P184,IF(O$174=99,N184,IF(O$174=0,INDEX($F57:$N57,0,O$172),(INDEX($F57:$N57,0,O$174+1)-INDEX($F57:$N57,0,O$174))/(INDEX($F$4:$N$4,0,O$174+1)-INDEX($F$4:$N$4,0,O$174))+N184)))</f>
        <v>1.3837163184392227</v>
      </c>
      <c r="P184" s="186" cm="1">
        <f t="array" ref="P184">IF(P$174=-1,Q184,IF(P$174=99,O184,IF(P$174=0,INDEX($F57:$N57,0,P$172),(INDEX($F57:$N57,0,P$174+1)-INDEX($F57:$N57,0,P$174))/(INDEX($F$4:$N$4,0,P$174+1)-INDEX($F$4:$N$4,0,P$174))+O184)))</f>
        <v>1.3963231549970117</v>
      </c>
      <c r="Q184" s="186" cm="1">
        <f t="array" ref="Q184">IF(Q$174=-1,R184,IF(Q$174=99,P184,IF(Q$174=0,INDEX($F57:$N57,0,Q$172),(INDEX($F57:$N57,0,Q$174+1)-INDEX($F57:$N57,0,Q$174))/(INDEX($F$4:$N$4,0,Q$174+1)-INDEX($F$4:$N$4,0,Q$174))+P184)))</f>
        <v>1.4050135381607594</v>
      </c>
      <c r="R184" s="186" cm="1">
        <f t="array" ref="R184">IF(R$174=-1,S184,IF(R$174=99,Q184,IF(R$174=0,INDEX($F57:$N57,0,R$172),(INDEX($F57:$N57,0,R$174+1)-INDEX($F57:$N57,0,R$174))/(INDEX($F$4:$N$4,0,R$174+1)-INDEX($F$4:$N$4,0,R$174))+Q184)))</f>
        <v>1.4137039213245071</v>
      </c>
      <c r="S184" s="186" cm="1">
        <f t="array" ref="S184">IF(S$174=-1,T184,IF(S$174=99,R184,IF(S$174=0,INDEX($F57:$N57,0,S$172),(INDEX($F57:$N57,0,S$174+1)-INDEX($F57:$N57,0,S$174))/(INDEX($F$4:$N$4,0,S$174+1)-INDEX($F$4:$N$4,0,S$174))+R184)))</f>
        <v>1.3322200143355563</v>
      </c>
      <c r="T184" s="186" cm="1">
        <f t="array" ref="T184">IF(T$174=-1,U184,IF(T$174=99,S184,IF(T$174=0,INDEX($F57:$N57,0,T$172),(INDEX($F57:$N57,0,T$174+1)-INDEX($F57:$N57,0,T$174))/(INDEX($F$4:$N$4,0,T$174+1)-INDEX($F$4:$N$4,0,T$174))+S184)))</f>
        <v>1.3544545855395904</v>
      </c>
      <c r="U184" s="186" cm="1">
        <f t="array" ref="U184">IF(U$174=-1,V184,IF(U$174=99,T184,IF(U$174=0,INDEX($F57:$N57,0,U$172),(INDEX($F57:$N57,0,U$174+1)-INDEX($F57:$N57,0,U$174))/(INDEX($F$4:$N$4,0,U$174+1)-INDEX($F$4:$N$4,0,U$174))+T184)))</f>
        <v>1.3830972095421916</v>
      </c>
      <c r="V184" s="186" cm="1">
        <f t="array" ref="V184">IF(V$174=-1,W184,IF(V$174=99,U184,IF(V$174=0,INDEX($F57:$N57,0,V$172),(INDEX($F57:$N57,0,V$174+1)-INDEX($F57:$N57,0,V$174))/(INDEX($F$4:$N$4,0,V$174+1)-INDEX($F$4:$N$4,0,V$174))+U184)))</f>
        <v>1.4117398335447928</v>
      </c>
      <c r="W184" s="186" cm="1">
        <f t="array" ref="W184">IF(W$174=-1,X184,IF(W$174=99,V184,IF(W$174=0,INDEX($F57:$N57,0,W$172),(INDEX($F57:$N57,0,W$174+1)-INDEX($F57:$N57,0,W$174))/(INDEX($F$4:$N$4,0,W$174+1)-INDEX($F$4:$N$4,0,W$174))+V184)))</f>
        <v>1.440382457547394</v>
      </c>
      <c r="X184" s="186" cm="1">
        <f t="array" ref="X184">IF(X$174=-1,Y184,IF(X$174=99,W184,IF(X$174=0,INDEX($F57:$N57,0,X$172),(INDEX($F57:$N57,0,X$174+1)-INDEX($F57:$N57,0,X$174))/(INDEX($F$4:$N$4,0,X$174+1)-INDEX($F$4:$N$4,0,X$174))+W184)))</f>
        <v>1.4690250815499952</v>
      </c>
      <c r="Y184" s="186" cm="1">
        <f t="array" ref="Y184">IF(Y$174=-1,Z184,IF(Y$174=99,X184,IF(Y$174=0,INDEX($F57:$N57,0,Y$172),(INDEX($F57:$N57,0,Y$174+1)-INDEX($F57:$N57,0,Y$174))/(INDEX($F$4:$N$4,0,Y$174+1)-INDEX($F$4:$N$4,0,Y$174))+X184)))</f>
        <v>1.4976677055525964</v>
      </c>
      <c r="Z184" s="186" cm="1">
        <f t="array" ref="Z184">IF(Z$174=-1,AA184,IF(Z$174=99,Y184,IF(Z$174=0,INDEX($F57:$N57,0,Z$172),(INDEX($F57:$N57,0,Z$174+1)-INDEX($F57:$N57,0,Z$174))/(INDEX($F$4:$N$4,0,Z$174+1)-INDEX($F$4:$N$4,0,Z$174))+Y184)))</f>
        <v>1.5263103295551976</v>
      </c>
      <c r="AA184" s="186" cm="1">
        <f t="array" ref="AA184">IF(AA$174=-1,AB184,IF(AA$174=99,Z184,IF(AA$174=0,INDEX($F57:$N57,0,AA$172),(INDEX($F57:$N57,0,AA$174+1)-INDEX($F57:$N57,0,AA$174))/(INDEX($F$4:$N$4,0,AA$174+1)-INDEX($F$4:$N$4,0,AA$174))+Z184)))</f>
        <v>1.5549529535577988</v>
      </c>
      <c r="AB184" s="186" cm="1">
        <f t="array" ref="AB184">IF(AB$174=-1,AC184,IF(AB$174=99,AA184,IF(AB$174=0,INDEX($F57:$N57,0,AB$172),(INDEX($F57:$N57,0,AB$174+1)-INDEX($F57:$N57,0,AB$174))/(INDEX($F$4:$N$4,0,AB$174+1)-INDEX($F$4:$N$4,0,AB$174))+AA184)))</f>
        <v>1.5835955775604</v>
      </c>
      <c r="AC184" s="186" cm="1">
        <f t="array" ref="AC184">IF(AC$174=-1,AD184,IF(AC$174=99,AB184,IF(AC$174=0,INDEX($F57:$N57,0,AC$172),(INDEX($F57:$N57,0,AC$174+1)-INDEX($F57:$N57,0,AC$174))/(INDEX($F$4:$N$4,0,AC$174+1)-INDEX($F$4:$N$4,0,AC$174))+AB184)))</f>
        <v>1.6122382015630004</v>
      </c>
      <c r="AD184" s="186" cm="1">
        <f t="array" ref="AD184">IF(AD$174=-1,AE184,IF(AD$174=99,AC184,IF(AD$174=0,INDEX($F57:$N57,0,AD$172),(INDEX($F57:$N57,0,AD$174+1)-INDEX($F57:$N57,0,AD$174))/(INDEX($F$4:$N$4,0,AD$174+1)-INDEX($F$4:$N$4,0,AD$174))+AC184)))</f>
        <v>1.6469288021215855</v>
      </c>
      <c r="AE184" s="186" cm="1">
        <f t="array" ref="AE184">IF(AE$174=-1,AF184,IF(AE$174=99,AD184,IF(AE$174=0,INDEX($F57:$N57,0,AE$172),(INDEX($F57:$N57,0,AE$174+1)-INDEX($F57:$N57,0,AE$174))/(INDEX($F$4:$N$4,0,AE$174+1)-INDEX($F$4:$N$4,0,AE$174))+AD184)))</f>
        <v>1.6816194026801707</v>
      </c>
      <c r="AF184" s="186" cm="1">
        <f t="array" ref="AF184">IF(AF$174=-1,AG184,IF(AF$174=99,AE184,IF(AF$174=0,INDEX($F57:$N57,0,AF$172),(INDEX($F57:$N57,0,AF$174+1)-INDEX($F57:$N57,0,AF$174))/(INDEX($F$4:$N$4,0,AF$174+1)-INDEX($F$4:$N$4,0,AF$174))+AE184)))</f>
        <v>1.7163100032387559</v>
      </c>
      <c r="AG184" s="186" cm="1">
        <f t="array" ref="AG184">IF(AG$174=-1,AH184,IF(AG$174=99,AF184,IF(AG$174=0,INDEX($F57:$N57,0,AG$172),(INDEX($F57:$N57,0,AG$174+1)-INDEX($F57:$N57,0,AG$174))/(INDEX($F$4:$N$4,0,AG$174+1)-INDEX($F$4:$N$4,0,AG$174))+AF184)))</f>
        <v>1.7510006037973411</v>
      </c>
      <c r="AH184" s="186" cm="1">
        <f t="array" ref="AH184">IF(AH$174=-1,AI184,IF(AH$174=99,AG184,IF(AH$174=0,INDEX($F57:$N57,0,AH$172),(INDEX($F57:$N57,0,AH$174+1)-INDEX($F57:$N57,0,AH$174))/(INDEX($F$4:$N$4,0,AH$174+1)-INDEX($F$4:$N$4,0,AH$174))+AG184)))</f>
        <v>1.7856912043559263</v>
      </c>
      <c r="AI184" s="186" cm="1">
        <f t="array" ref="AI184">IF(AI$174=-1,AJ184,IF(AI$174=99,AH184,IF(AI$174=0,INDEX($F57:$N57,0,AI$172),(INDEX($F57:$N57,0,AI$174+1)-INDEX($F57:$N57,0,AI$174))/(INDEX($F$4:$N$4,0,AI$174+1)-INDEX($F$4:$N$4,0,AI$174))+AH184)))</f>
        <v>1.8203818049145115</v>
      </c>
      <c r="AJ184" s="186" cm="1">
        <f t="array" ref="AJ184">IF(AJ$174=-1,AK184,IF(AJ$174=99,AI184,IF(AJ$174=0,INDEX($F57:$N57,0,AJ$172),(INDEX($F57:$N57,0,AJ$174+1)-INDEX($F57:$N57,0,AJ$174))/(INDEX($F$4:$N$4,0,AJ$174+1)-INDEX($F$4:$N$4,0,AJ$174))+AI184)))</f>
        <v>1.8550724054730967</v>
      </c>
      <c r="AK184" s="186" cm="1">
        <f t="array" ref="AK184">IF(AK$174=-1,AL184,IF(AK$174=99,AJ184,IF(AK$174=0,INDEX($F57:$N57,0,AK$172),(INDEX($F57:$N57,0,AK$174+1)-INDEX($F57:$N57,0,AK$174))/(INDEX($F$4:$N$4,0,AK$174+1)-INDEX($F$4:$N$4,0,AK$174))+AJ184)))</f>
        <v>1.8897630060316819</v>
      </c>
      <c r="AL184" s="186" cm="1">
        <f t="array" ref="AL184">IF(AL$174=-1,AM184,IF(AL$174=99,AK184,IF(AL$174=0,INDEX($F57:$N57,0,AL$172),(INDEX($F57:$N57,0,AL$174+1)-INDEX($F57:$N57,0,AL$174))/(INDEX($F$4:$N$4,0,AL$174+1)-INDEX($F$4:$N$4,0,AL$174))+AK184)))</f>
        <v>1.9244536065902671</v>
      </c>
      <c r="AM184" s="186" cm="1">
        <f t="array" ref="AM184">IF(AM$174=-1,AN184,IF(AM$174=99,AL184,IF(AM$174=0,INDEX($F57:$N57,0,AM$172),(INDEX($F57:$N57,0,AM$174+1)-INDEX($F57:$N57,0,AM$174))/(INDEX($F$4:$N$4,0,AM$174+1)-INDEX($F$4:$N$4,0,AM$174))+AL184)))</f>
        <v>1.959144207148853</v>
      </c>
      <c r="AN184" s="186" cm="1">
        <f t="array" ref="AN184">IF(AN$174=-1,AO184,IF(AN$174=99,AM184,IF(AN$174=0,INDEX($F57:$N57,0,AN$172),(INDEX($F57:$N57,0,AN$174+1)-INDEX($F57:$N57,0,AN$174))/(INDEX($F$4:$N$4,0,AN$174+1)-INDEX($F$4:$N$4,0,AN$174))+AM184)))</f>
        <v>2.0050841936191146</v>
      </c>
      <c r="AO184" s="186" cm="1">
        <f t="array" ref="AO184">IF(AO$174=-1,AP184,IF(AO$174=99,AN184,IF(AO$174=0,INDEX($F57:$N57,0,AO$172),(INDEX($F57:$N57,0,AO$174+1)-INDEX($F57:$N57,0,AO$174))/(INDEX($F$4:$N$4,0,AO$174+1)-INDEX($F$4:$N$4,0,AO$174))+AN184)))</f>
        <v>2.4185440718514686</v>
      </c>
      <c r="AP184" s="186" cm="1">
        <f t="array" ref="AP184">IF(AP$174=-1,AQ184,IF(AP$174=99,AO184,IF(AP$174=0,INDEX($F57:$N57,0,AP$172),(INDEX($F57:$N57,0,AP$174+1)-INDEX($F57:$N57,0,AP$174))/(INDEX($F$4:$N$4,0,AP$174+1)-INDEX($F$4:$N$4,0,AP$174))+AO184)))</f>
        <v>2.4185440718514686</v>
      </c>
      <c r="AQ184" s="186" cm="1">
        <f t="array" ref="AQ184">IF(AQ$174=-1,AR184,IF(AQ$174=99,AP184,IF(AQ$174=0,INDEX($F57:$N57,0,AQ$172),(INDEX($F57:$N57,0,AQ$174+1)-INDEX($F57:$N57,0,AQ$174))/(INDEX($F$4:$N$4,0,AQ$174+1)-INDEX($F$4:$N$4,0,AQ$174))+AP184)))</f>
        <v>2.4185440718514686</v>
      </c>
      <c r="AZ184" s="186"/>
      <c r="BA184" s="186"/>
      <c r="BB184" s="186"/>
      <c r="BC184" s="186"/>
      <c r="BD184" s="186"/>
      <c r="BE184" s="186"/>
    </row>
    <row r="185" spans="1:57">
      <c r="A185" s="185" t="s">
        <v>16</v>
      </c>
      <c r="B185" s="22"/>
      <c r="C185" s="23"/>
      <c r="D185" s="57"/>
      <c r="E185" s="23"/>
      <c r="F185" s="23"/>
      <c r="G185" s="23"/>
      <c r="H185" s="23"/>
      <c r="I185" s="23"/>
      <c r="J185" s="133" t="str">
        <f t="shared" si="249"/>
        <v>TFHCV9</v>
      </c>
      <c r="K185" s="186">
        <f t="shared" si="250"/>
        <v>1.1571058027236365</v>
      </c>
      <c r="L185" s="186" cm="1">
        <f t="array" ref="L185">IF(L$174=-1,M185,IF(L$174=99,K185,IF(L$174=0,INDEX($F58:$N58,0,L$172),(INDEX($F58:$N58,0,L$174+1)-INDEX($F58:$N58,0,L$174))/(INDEX($F$4:$N$4,0,L$174+1)-INDEX($F$4:$N$4,0,L$174))+K185)))</f>
        <v>1.177853296460889</v>
      </c>
      <c r="M185" s="186" cm="1">
        <f t="array" ref="M185">IF(M$174=-1,N185,IF(M$174=99,L185,IF(M$174=0,INDEX($F58:$N58,0,M$172),(INDEX($F58:$N58,0,M$174+1)-INDEX($F58:$N58,0,M$174))/(INDEX($F$4:$N$4,0,M$174+1)-INDEX($F$4:$N$4,0,M$174))+L185)))</f>
        <v>1.1986007901981415</v>
      </c>
      <c r="N185" s="186" cm="1">
        <f t="array" ref="N185">IF(N$174=-1,O185,IF(N$174=99,M185,IF(N$174=0,INDEX($F58:$N58,0,N$172),(INDEX($F58:$N58,0,N$174+1)-INDEX($F58:$N58,0,N$174))/(INDEX($F$4:$N$4,0,N$174+1)-INDEX($F$4:$N$4,0,N$174))+M185)))</f>
        <v>1.219348283935394</v>
      </c>
      <c r="O185" s="186" cm="1">
        <f t="array" ref="O185">IF(O$174=-1,P185,IF(O$174=99,N185,IF(O$174=0,INDEX($F58:$N58,0,O$172),(INDEX($F58:$N58,0,O$174+1)-INDEX($F58:$N58,0,O$174))/(INDEX($F$4:$N$4,0,O$174+1)-INDEX($F$4:$N$4,0,O$174))+N185)))</f>
        <v>1.2305597332950033</v>
      </c>
      <c r="P185" s="186" cm="1">
        <f t="array" ref="P185">IF(P$174=-1,Q185,IF(P$174=99,O185,IF(P$174=0,INDEX($F58:$N58,0,P$172),(INDEX($F58:$N58,0,P$174+1)-INDEX($F58:$N58,0,P$174))/(INDEX($F$4:$N$4,0,P$174+1)-INDEX($F$4:$N$4,0,P$174))+O185)))</f>
        <v>1.2417711826546127</v>
      </c>
      <c r="Q185" s="186" cm="1">
        <f t="array" ref="Q185">IF(Q$174=-1,R185,IF(Q$174=99,P185,IF(Q$174=0,INDEX($F58:$N58,0,Q$172),(INDEX($F58:$N58,0,Q$174+1)-INDEX($F58:$N58,0,Q$174))/(INDEX($F$4:$N$4,0,Q$174+1)-INDEX($F$4:$N$4,0,Q$174))+P185)))</f>
        <v>1.2494996711068378</v>
      </c>
      <c r="R185" s="186" cm="1">
        <f t="array" ref="R185">IF(R$174=-1,S185,IF(R$174=99,Q185,IF(R$174=0,INDEX($F58:$N58,0,R$172),(INDEX($F58:$N58,0,R$174+1)-INDEX($F58:$N58,0,R$174))/(INDEX($F$4:$N$4,0,R$174+1)-INDEX($F$4:$N$4,0,R$174))+Q185)))</f>
        <v>1.2572281595590626</v>
      </c>
      <c r="S185" s="186" cm="1">
        <f t="array" ref="S185">IF(S$174=-1,T185,IF(S$174=99,R185,IF(S$174=0,INDEX($F58:$N58,0,S$172),(INDEX($F58:$N58,0,S$174+1)-INDEX($F58:$N58,0,S$174))/(INDEX($F$4:$N$4,0,S$174+1)-INDEX($F$4:$N$4,0,S$174))+R185)))</f>
        <v>1.1847632955432508</v>
      </c>
      <c r="T185" s="186" cm="1">
        <f t="array" ref="T185">IF(T$174=-1,U185,IF(T$174=99,S185,IF(T$174=0,INDEX($F58:$N58,0,T$172),(INDEX($F58:$N58,0,T$174+1)-INDEX($F58:$N58,0,T$174))/(INDEX($F$4:$N$4,0,T$174+1)-INDEX($F$4:$N$4,0,T$174))+S185)))</f>
        <v>1.2045368341263811</v>
      </c>
      <c r="U185" s="186" cm="1">
        <f t="array" ref="U185">IF(U$174=-1,V185,IF(U$174=99,T185,IF(U$174=0,INDEX($F58:$N58,0,U$172),(INDEX($F58:$N58,0,U$174+1)-INDEX($F58:$N58,0,U$174))/(INDEX($F$4:$N$4,0,U$174+1)-INDEX($F$4:$N$4,0,U$174))+T185)))</f>
        <v>1.2300091504413802</v>
      </c>
      <c r="V185" s="186" cm="1">
        <f t="array" ref="V185">IF(V$174=-1,W185,IF(V$174=99,U185,IF(V$174=0,INDEX($F58:$N58,0,V$172),(INDEX($F58:$N58,0,V$174+1)-INDEX($F58:$N58,0,V$174))/(INDEX($F$4:$N$4,0,V$174+1)-INDEX($F$4:$N$4,0,V$174))+U185)))</f>
        <v>1.2554814667563792</v>
      </c>
      <c r="W185" s="186" cm="1">
        <f t="array" ref="W185">IF(W$174=-1,X185,IF(W$174=99,V185,IF(W$174=0,INDEX($F58:$N58,0,W$172),(INDEX($F58:$N58,0,W$174+1)-INDEX($F58:$N58,0,W$174))/(INDEX($F$4:$N$4,0,W$174+1)-INDEX($F$4:$N$4,0,W$174))+V185)))</f>
        <v>1.2809537830713782</v>
      </c>
      <c r="X185" s="186" cm="1">
        <f t="array" ref="X185">IF(X$174=-1,Y185,IF(X$174=99,W185,IF(X$174=0,INDEX($F58:$N58,0,X$172),(INDEX($F58:$N58,0,X$174+1)-INDEX($F58:$N58,0,X$174))/(INDEX($F$4:$N$4,0,X$174+1)-INDEX($F$4:$N$4,0,X$174))+W185)))</f>
        <v>1.3064260993863772</v>
      </c>
      <c r="Y185" s="186" cm="1">
        <f t="array" ref="Y185">IF(Y$174=-1,Z185,IF(Y$174=99,X185,IF(Y$174=0,INDEX($F58:$N58,0,Y$172),(INDEX($F58:$N58,0,Y$174+1)-INDEX($F58:$N58,0,Y$174))/(INDEX($F$4:$N$4,0,Y$174+1)-INDEX($F$4:$N$4,0,Y$174))+X185)))</f>
        <v>1.3318984157013762</v>
      </c>
      <c r="Z185" s="186" cm="1">
        <f t="array" ref="Z185">IF(Z$174=-1,AA185,IF(Z$174=99,Y185,IF(Z$174=0,INDEX($F58:$N58,0,Z$172),(INDEX($F58:$N58,0,Z$174+1)-INDEX($F58:$N58,0,Z$174))/(INDEX($F$4:$N$4,0,Z$174+1)-INDEX($F$4:$N$4,0,Z$174))+Y185)))</f>
        <v>1.3573707320163753</v>
      </c>
      <c r="AA185" s="186" cm="1">
        <f t="array" ref="AA185">IF(AA$174=-1,AB185,IF(AA$174=99,Z185,IF(AA$174=0,INDEX($F58:$N58,0,AA$172),(INDEX($F58:$N58,0,AA$174+1)-INDEX($F58:$N58,0,AA$174))/(INDEX($F$4:$N$4,0,AA$174+1)-INDEX($F$4:$N$4,0,AA$174))+Z185)))</f>
        <v>1.3828430483313743</v>
      </c>
      <c r="AB185" s="186" cm="1">
        <f t="array" ref="AB185">IF(AB$174=-1,AC185,IF(AB$174=99,AA185,IF(AB$174=0,INDEX($F58:$N58,0,AB$172),(INDEX($F58:$N58,0,AB$174+1)-INDEX($F58:$N58,0,AB$174))/(INDEX($F$4:$N$4,0,AB$174+1)-INDEX($F$4:$N$4,0,AB$174))+AA185)))</f>
        <v>1.4083153646463733</v>
      </c>
      <c r="AC185" s="186" cm="1">
        <f t="array" ref="AC185">IF(AC$174=-1,AD185,IF(AC$174=99,AB185,IF(AC$174=0,INDEX($F58:$N58,0,AC$172),(INDEX($F58:$N58,0,AC$174+1)-INDEX($F58:$N58,0,AC$174))/(INDEX($F$4:$N$4,0,AC$174+1)-INDEX($F$4:$N$4,0,AC$174))+AB185)))</f>
        <v>1.4337876809613728</v>
      </c>
      <c r="AD185" s="186" cm="1">
        <f t="array" ref="AD185">IF(AD$174=-1,AE185,IF(AD$174=99,AC185,IF(AD$174=0,INDEX($F58:$N58,0,AD$172),(INDEX($F58:$N58,0,AD$174+1)-INDEX($F58:$N58,0,AD$174))/(INDEX($F$4:$N$4,0,AD$174+1)-INDEX($F$4:$N$4,0,AD$174))+AC185)))</f>
        <v>1.4646385537901094</v>
      </c>
      <c r="AE185" s="186" cm="1">
        <f t="array" ref="AE185">IF(AE$174=-1,AF185,IF(AE$174=99,AD185,IF(AE$174=0,INDEX($F58:$N58,0,AE$172),(INDEX($F58:$N58,0,AE$174+1)-INDEX($F58:$N58,0,AE$174))/(INDEX($F$4:$N$4,0,AE$174+1)-INDEX($F$4:$N$4,0,AE$174))+AD185)))</f>
        <v>1.4954894266188461</v>
      </c>
      <c r="AF185" s="186" cm="1">
        <f t="array" ref="AF185">IF(AF$174=-1,AG185,IF(AF$174=99,AE185,IF(AF$174=0,INDEX($F58:$N58,0,AF$172),(INDEX($F58:$N58,0,AF$174+1)-INDEX($F58:$N58,0,AF$174))/(INDEX($F$4:$N$4,0,AF$174+1)-INDEX($F$4:$N$4,0,AF$174))+AE185)))</f>
        <v>1.5263402994475828</v>
      </c>
      <c r="AG185" s="186" cm="1">
        <f t="array" ref="AG185">IF(AG$174=-1,AH185,IF(AG$174=99,AF185,IF(AG$174=0,INDEX($F58:$N58,0,AG$172),(INDEX($F58:$N58,0,AG$174+1)-INDEX($F58:$N58,0,AG$174))/(INDEX($F$4:$N$4,0,AG$174+1)-INDEX($F$4:$N$4,0,AG$174))+AF185)))</f>
        <v>1.5571911722763194</v>
      </c>
      <c r="AH185" s="186" cm="1">
        <f t="array" ref="AH185">IF(AH$174=-1,AI185,IF(AH$174=99,AG185,IF(AH$174=0,INDEX($F58:$N58,0,AH$172),(INDEX($F58:$N58,0,AH$174+1)-INDEX($F58:$N58,0,AH$174))/(INDEX($F$4:$N$4,0,AH$174+1)-INDEX($F$4:$N$4,0,AH$174))+AG185)))</f>
        <v>1.5880420451050561</v>
      </c>
      <c r="AI185" s="186" cm="1">
        <f t="array" ref="AI185">IF(AI$174=-1,AJ185,IF(AI$174=99,AH185,IF(AI$174=0,INDEX($F58:$N58,0,AI$172),(INDEX($F58:$N58,0,AI$174+1)-INDEX($F58:$N58,0,AI$174))/(INDEX($F$4:$N$4,0,AI$174+1)-INDEX($F$4:$N$4,0,AI$174))+AH185)))</f>
        <v>1.6188929179337928</v>
      </c>
      <c r="AJ185" s="186" cm="1">
        <f t="array" ref="AJ185">IF(AJ$174=-1,AK185,IF(AJ$174=99,AI185,IF(AJ$174=0,INDEX($F58:$N58,0,AJ$172),(INDEX($F58:$N58,0,AJ$174+1)-INDEX($F58:$N58,0,AJ$174))/(INDEX($F$4:$N$4,0,AJ$174+1)-INDEX($F$4:$N$4,0,AJ$174))+AI185)))</f>
        <v>1.6497437907625294</v>
      </c>
      <c r="AK185" s="186" cm="1">
        <f t="array" ref="AK185">IF(AK$174=-1,AL185,IF(AK$174=99,AJ185,IF(AK$174=0,INDEX($F58:$N58,0,AK$172),(INDEX($F58:$N58,0,AK$174+1)-INDEX($F58:$N58,0,AK$174))/(INDEX($F$4:$N$4,0,AK$174+1)-INDEX($F$4:$N$4,0,AK$174))+AJ185)))</f>
        <v>1.6805946635912661</v>
      </c>
      <c r="AL185" s="186" cm="1">
        <f t="array" ref="AL185">IF(AL$174=-1,AM185,IF(AL$174=99,AK185,IF(AL$174=0,INDEX($F58:$N58,0,AL$172),(INDEX($F58:$N58,0,AL$174+1)-INDEX($F58:$N58,0,AL$174))/(INDEX($F$4:$N$4,0,AL$174+1)-INDEX($F$4:$N$4,0,AL$174))+AK185)))</f>
        <v>1.7114455364200027</v>
      </c>
      <c r="AM185" s="186" cm="1">
        <f t="array" ref="AM185">IF(AM$174=-1,AN185,IF(AM$174=99,AL185,IF(AM$174=0,INDEX($F58:$N58,0,AM$172),(INDEX($F58:$N58,0,AM$174+1)-INDEX($F58:$N58,0,AM$174))/(INDEX($F$4:$N$4,0,AM$174+1)-INDEX($F$4:$N$4,0,AM$174))+AL185)))</f>
        <v>1.7422964092487396</v>
      </c>
      <c r="AN185" s="186" cm="1">
        <f t="array" ref="AN185">IF(AN$174=-1,AO185,IF(AN$174=99,AM185,IF(AN$174=0,INDEX($F58:$N58,0,AN$172),(INDEX($F58:$N58,0,AN$174+1)-INDEX($F58:$N58,0,AN$174))/(INDEX($F$4:$N$4,0,AN$174+1)-INDEX($F$4:$N$4,0,AN$174))+AM185)))</f>
        <v>1.7831515301612304</v>
      </c>
      <c r="AO185" s="186" cm="1">
        <f t="array" ref="AO185">IF(AO$174=-1,AP185,IF(AO$174=99,AN185,IF(AO$174=0,INDEX($F58:$N58,0,AO$172),(INDEX($F58:$N58,0,AO$174+1)-INDEX($F58:$N58,0,AO$174))/(INDEX($F$4:$N$4,0,AO$174+1)-INDEX($F$4:$N$4,0,AO$174))+AN185)))</f>
        <v>2.150847618373648</v>
      </c>
      <c r="AP185" s="186" cm="1">
        <f t="array" ref="AP185">IF(AP$174=-1,AQ185,IF(AP$174=99,AO185,IF(AP$174=0,INDEX($F58:$N58,0,AP$172),(INDEX($F58:$N58,0,AP$174+1)-INDEX($F58:$N58,0,AP$174))/(INDEX($F$4:$N$4,0,AP$174+1)-INDEX($F$4:$N$4,0,AP$174))+AO185)))</f>
        <v>2.150847618373648</v>
      </c>
      <c r="AQ185" s="186" cm="1">
        <f t="array" ref="AQ185">IF(AQ$174=-1,AR185,IF(AQ$174=99,AP185,IF(AQ$174=0,INDEX($F58:$N58,0,AQ$172),(INDEX($F58:$N58,0,AQ$174+1)-INDEX($F58:$N58,0,AQ$174))/(INDEX($F$4:$N$4,0,AQ$174+1)-INDEX($F$4:$N$4,0,AQ$174))+AP185)))</f>
        <v>2.150847618373648</v>
      </c>
      <c r="AZ185" s="186"/>
      <c r="BA185" s="186"/>
      <c r="BB185" s="186"/>
      <c r="BC185" s="186"/>
      <c r="BD185" s="186"/>
      <c r="BE185" s="186"/>
    </row>
    <row r="186" spans="1:57">
      <c r="A186" s="185" t="s">
        <v>16</v>
      </c>
      <c r="B186" s="22"/>
      <c r="C186" s="23"/>
      <c r="D186" s="57"/>
      <c r="E186" s="23"/>
      <c r="F186" s="23"/>
      <c r="G186" s="23"/>
      <c r="H186" s="23"/>
      <c r="I186" s="23"/>
      <c r="J186" s="133" t="str">
        <f t="shared" si="249"/>
        <v>TFRCO</v>
      </c>
      <c r="K186" s="186">
        <f t="shared" ref="K186:AQ186" si="251">J147</f>
        <v>22</v>
      </c>
      <c r="L186" s="186">
        <f t="shared" si="251"/>
        <v>22.394471154794282</v>
      </c>
      <c r="M186" s="186">
        <f t="shared" si="251"/>
        <v>22.788942309588563</v>
      </c>
      <c r="N186" s="186">
        <f t="shared" si="251"/>
        <v>23.183413464382845</v>
      </c>
      <c r="O186" s="186">
        <f t="shared" si="251"/>
        <v>23.396576241140881</v>
      </c>
      <c r="P186" s="186">
        <f t="shared" si="251"/>
        <v>23.609739017898917</v>
      </c>
      <c r="Q186" s="186">
        <f t="shared" si="251"/>
        <v>23.756680417335971</v>
      </c>
      <c r="R186" s="186">
        <f t="shared" si="251"/>
        <v>23.903621816773025</v>
      </c>
      <c r="S186" s="186">
        <f t="shared" si="251"/>
        <v>22.525850653068453</v>
      </c>
      <c r="T186" s="186">
        <f t="shared" si="251"/>
        <v>22.901804042814582</v>
      </c>
      <c r="U186" s="186">
        <f t="shared" si="251"/>
        <v>23.38610803438641</v>
      </c>
      <c r="V186" s="186">
        <f t="shared" si="251"/>
        <v>23.870412025958238</v>
      </c>
      <c r="W186" s="186">
        <f t="shared" si="251"/>
        <v>24.354716017530066</v>
      </c>
      <c r="X186" s="186">
        <f t="shared" si="251"/>
        <v>24.839020009101894</v>
      </c>
      <c r="Y186" s="186">
        <f t="shared" si="251"/>
        <v>25.323324000673722</v>
      </c>
      <c r="Z186" s="186">
        <f t="shared" si="251"/>
        <v>25.80762799224555</v>
      </c>
      <c r="AA186" s="186">
        <f t="shared" si="251"/>
        <v>26.291931983817378</v>
      </c>
      <c r="AB186" s="186">
        <f t="shared" si="251"/>
        <v>26.776235975389206</v>
      </c>
      <c r="AC186" s="186">
        <f t="shared" si="251"/>
        <v>27.260539966961023</v>
      </c>
      <c r="AD186" s="186">
        <f t="shared" si="251"/>
        <v>27.847106208902439</v>
      </c>
      <c r="AE186" s="186">
        <f t="shared" si="251"/>
        <v>28.433672450843854</v>
      </c>
      <c r="AF186" s="186">
        <f t="shared" si="251"/>
        <v>29.02023869278527</v>
      </c>
      <c r="AG186" s="186">
        <f t="shared" si="251"/>
        <v>29.606804934726686</v>
      </c>
      <c r="AH186" s="186">
        <f t="shared" si="251"/>
        <v>30.193371176668101</v>
      </c>
      <c r="AI186" s="186">
        <f t="shared" si="251"/>
        <v>30.779937418609517</v>
      </c>
      <c r="AJ186" s="186">
        <f t="shared" si="251"/>
        <v>31.366503660550933</v>
      </c>
      <c r="AK186" s="186">
        <f t="shared" si="251"/>
        <v>31.953069902492349</v>
      </c>
      <c r="AL186" s="186">
        <f t="shared" si="251"/>
        <v>32.539636144433764</v>
      </c>
      <c r="AM186" s="186">
        <f t="shared" si="251"/>
        <v>33.126202386375169</v>
      </c>
      <c r="AN186" s="186">
        <f t="shared" si="251"/>
        <v>37.010085165111299</v>
      </c>
      <c r="AO186" s="186">
        <f t="shared" si="251"/>
        <v>40.89396794384745</v>
      </c>
      <c r="AP186" s="186">
        <f t="shared" si="251"/>
        <v>40.89396794384745</v>
      </c>
      <c r="AQ186" s="186">
        <f t="shared" si="251"/>
        <v>40.89396794384745</v>
      </c>
      <c r="AZ186" s="186"/>
      <c r="BA186" s="186"/>
      <c r="BB186" s="186"/>
      <c r="BC186" s="186"/>
      <c r="BD186" s="186"/>
      <c r="BE186" s="186"/>
    </row>
    <row r="187" spans="1:57">
      <c r="A187" s="185" t="s">
        <v>16</v>
      </c>
      <c r="B187" s="22"/>
      <c r="C187" s="23"/>
      <c r="D187" s="57"/>
      <c r="E187" s="23"/>
      <c r="F187" s="23"/>
      <c r="G187" s="23"/>
      <c r="H187" s="23"/>
      <c r="I187" s="23"/>
      <c r="J187" s="133" t="str">
        <f t="shared" si="249"/>
        <v>TFROT</v>
      </c>
      <c r="K187" s="186">
        <f t="shared" ref="K187:AQ187" si="252">J148</f>
        <v>25.1</v>
      </c>
      <c r="L187" s="186">
        <f t="shared" si="252"/>
        <v>25.550055726606203</v>
      </c>
      <c r="M187" s="186">
        <f t="shared" si="252"/>
        <v>26.000111453212405</v>
      </c>
      <c r="N187" s="186">
        <f t="shared" si="252"/>
        <v>26.450167179818607</v>
      </c>
      <c r="O187" s="186">
        <f t="shared" si="252"/>
        <v>26.693366529665273</v>
      </c>
      <c r="P187" s="186">
        <f t="shared" si="252"/>
        <v>26.936565879511939</v>
      </c>
      <c r="Q187" s="186">
        <f t="shared" si="252"/>
        <v>27.104212657960581</v>
      </c>
      <c r="R187" s="186">
        <f t="shared" si="252"/>
        <v>27.271859436409219</v>
      </c>
      <c r="S187" s="186">
        <f t="shared" si="252"/>
        <v>25.699947790546279</v>
      </c>
      <c r="T187" s="186">
        <f t="shared" si="252"/>
        <v>26.12887643066572</v>
      </c>
      <c r="U187" s="186">
        <f t="shared" si="252"/>
        <v>26.681423257413577</v>
      </c>
      <c r="V187" s="186">
        <f t="shared" si="252"/>
        <v>27.233970084161434</v>
      </c>
      <c r="W187" s="186">
        <f t="shared" si="252"/>
        <v>27.786516910909292</v>
      </c>
      <c r="X187" s="186">
        <f t="shared" si="252"/>
        <v>28.339063737657149</v>
      </c>
      <c r="Y187" s="186">
        <f t="shared" si="252"/>
        <v>28.891610564405006</v>
      </c>
      <c r="Z187" s="186">
        <f t="shared" si="252"/>
        <v>29.444157391152864</v>
      </c>
      <c r="AA187" s="186">
        <f t="shared" si="252"/>
        <v>29.996704217900721</v>
      </c>
      <c r="AB187" s="186">
        <f t="shared" si="252"/>
        <v>30.549251044648578</v>
      </c>
      <c r="AC187" s="186">
        <f t="shared" si="252"/>
        <v>31.101797871396435</v>
      </c>
      <c r="AD187" s="186">
        <f t="shared" si="252"/>
        <v>31.771016629247775</v>
      </c>
      <c r="AE187" s="186">
        <f t="shared" si="252"/>
        <v>32.440235387099115</v>
      </c>
      <c r="AF187" s="186">
        <f t="shared" si="252"/>
        <v>33.109454144950455</v>
      </c>
      <c r="AG187" s="186">
        <f t="shared" si="252"/>
        <v>33.778672902801794</v>
      </c>
      <c r="AH187" s="186">
        <f t="shared" si="252"/>
        <v>34.447891660653134</v>
      </c>
      <c r="AI187" s="186">
        <f t="shared" si="252"/>
        <v>35.117110418504474</v>
      </c>
      <c r="AJ187" s="186">
        <f t="shared" si="252"/>
        <v>35.786329176355814</v>
      </c>
      <c r="AK187" s="186">
        <f t="shared" si="252"/>
        <v>36.455547934207154</v>
      </c>
      <c r="AL187" s="186">
        <f t="shared" si="252"/>
        <v>37.124766692058493</v>
      </c>
      <c r="AM187" s="186">
        <f t="shared" si="252"/>
        <v>37.79398544990984</v>
      </c>
      <c r="AN187" s="186">
        <f t="shared" si="252"/>
        <v>42.225142620195172</v>
      </c>
      <c r="AO187" s="186">
        <f t="shared" si="252"/>
        <v>46.656299790480489</v>
      </c>
      <c r="AP187" s="186">
        <f t="shared" si="252"/>
        <v>46.656299790480489</v>
      </c>
      <c r="AQ187" s="186">
        <f t="shared" si="252"/>
        <v>46.656299790480489</v>
      </c>
      <c r="AZ187" s="186"/>
      <c r="BA187" s="186"/>
      <c r="BB187" s="186"/>
      <c r="BC187" s="186"/>
      <c r="BD187" s="186"/>
      <c r="BE187" s="186"/>
    </row>
    <row r="188" spans="1:57">
      <c r="A188" s="185" t="s">
        <v>16</v>
      </c>
      <c r="J188" s="133" t="str">
        <f t="shared" si="249"/>
        <v>TFREX</v>
      </c>
      <c r="K188" s="186">
        <f t="shared" ref="K188:AQ188" si="253">J149</f>
        <v>82</v>
      </c>
      <c r="L188" s="186">
        <f t="shared" si="253"/>
        <v>82</v>
      </c>
      <c r="M188" s="186">
        <f t="shared" si="253"/>
        <v>82</v>
      </c>
      <c r="N188" s="186">
        <f t="shared" si="253"/>
        <v>82</v>
      </c>
      <c r="O188" s="186">
        <f t="shared" si="253"/>
        <v>82</v>
      </c>
      <c r="P188" s="186">
        <f t="shared" si="253"/>
        <v>82</v>
      </c>
      <c r="Q188" s="186">
        <f t="shared" si="253"/>
        <v>84.018400836522261</v>
      </c>
      <c r="R188" s="186">
        <f t="shared" si="253"/>
        <v>86.036801673044508</v>
      </c>
      <c r="S188" s="186">
        <f t="shared" si="253"/>
        <v>76.525600127976475</v>
      </c>
      <c r="T188" s="186">
        <f t="shared" si="253"/>
        <v>81.331040777374611</v>
      </c>
      <c r="U188" s="186">
        <f t="shared" si="253"/>
        <v>82.062170075963863</v>
      </c>
      <c r="V188" s="186">
        <f t="shared" si="253"/>
        <v>82.793299374553115</v>
      </c>
      <c r="W188" s="186">
        <f t="shared" si="253"/>
        <v>83.524428673142367</v>
      </c>
      <c r="X188" s="186">
        <f t="shared" si="253"/>
        <v>84.255557971731619</v>
      </c>
      <c r="Y188" s="186">
        <f t="shared" si="253"/>
        <v>84.986687270320871</v>
      </c>
      <c r="Z188" s="186">
        <f t="shared" si="253"/>
        <v>85.717816568910123</v>
      </c>
      <c r="AA188" s="186">
        <f t="shared" si="253"/>
        <v>86.448945867499376</v>
      </c>
      <c r="AB188" s="186">
        <f t="shared" si="253"/>
        <v>87.180075166088628</v>
      </c>
      <c r="AC188" s="186">
        <f t="shared" si="253"/>
        <v>87.911204464677908</v>
      </c>
      <c r="AD188" s="186">
        <f t="shared" si="253"/>
        <v>89.965956911277232</v>
      </c>
      <c r="AE188" s="186">
        <f t="shared" si="253"/>
        <v>92.020709357876555</v>
      </c>
      <c r="AF188" s="186">
        <f t="shared" si="253"/>
        <v>94.075461804475879</v>
      </c>
      <c r="AG188" s="186">
        <f t="shared" si="253"/>
        <v>96.130214251075202</v>
      </c>
      <c r="AH188" s="186">
        <f t="shared" si="253"/>
        <v>98.184966697674525</v>
      </c>
      <c r="AI188" s="186">
        <f t="shared" si="253"/>
        <v>100.23971914427385</v>
      </c>
      <c r="AJ188" s="186">
        <f t="shared" si="253"/>
        <v>102.29447159087317</v>
      </c>
      <c r="AK188" s="186">
        <f t="shared" si="253"/>
        <v>104.3492240374725</v>
      </c>
      <c r="AL188" s="186">
        <f t="shared" si="253"/>
        <v>106.40397648407182</v>
      </c>
      <c r="AM188" s="186">
        <f t="shared" si="253"/>
        <v>108.4587289306711</v>
      </c>
      <c r="AN188" s="186">
        <f t="shared" si="253"/>
        <v>120.07603703362946</v>
      </c>
      <c r="AO188" s="186">
        <f t="shared" si="253"/>
        <v>131.69334513658779</v>
      </c>
      <c r="AP188" s="186">
        <f t="shared" si="253"/>
        <v>131.69334513658779</v>
      </c>
      <c r="AQ188" s="186">
        <f t="shared" si="253"/>
        <v>131.69334513658779</v>
      </c>
      <c r="AZ188" s="186"/>
      <c r="BA188" s="186"/>
      <c r="BB188" s="186"/>
      <c r="BC188" s="186"/>
      <c r="BD188" s="186"/>
      <c r="BE188" s="186"/>
    </row>
    <row r="189" spans="1:57">
      <c r="A189" s="185" t="s">
        <v>16</v>
      </c>
    </row>
    <row r="221" spans="1:37">
      <c r="A221" s="185" t="s">
        <v>16</v>
      </c>
      <c r="J221" s="185" t="s">
        <v>690</v>
      </c>
    </row>
    <row r="222" spans="1:37">
      <c r="A222" s="348" t="s">
        <v>16</v>
      </c>
      <c r="J222" s="75" t="s">
        <v>664</v>
      </c>
      <c r="K222" s="75">
        <v>2000</v>
      </c>
      <c r="L222" s="75">
        <v>2001</v>
      </c>
      <c r="M222" s="75">
        <v>2002</v>
      </c>
      <c r="N222" s="75">
        <v>2003</v>
      </c>
      <c r="O222" s="75">
        <v>2004</v>
      </c>
      <c r="P222" s="75">
        <v>2005</v>
      </c>
      <c r="Q222" s="75">
        <v>2006</v>
      </c>
      <c r="R222" s="75">
        <v>2007</v>
      </c>
      <c r="S222" s="75">
        <v>2008</v>
      </c>
      <c r="T222" s="75">
        <v>2009</v>
      </c>
      <c r="U222" s="75">
        <v>2010</v>
      </c>
      <c r="V222" s="75">
        <v>2011</v>
      </c>
      <c r="W222" s="75">
        <v>2012</v>
      </c>
      <c r="X222" s="75">
        <v>2013</v>
      </c>
      <c r="Y222" s="75">
        <v>2014</v>
      </c>
      <c r="Z222" s="75">
        <v>2015</v>
      </c>
      <c r="AA222" s="75">
        <v>2016</v>
      </c>
      <c r="AB222" s="75">
        <v>2017</v>
      </c>
      <c r="AC222" s="75">
        <v>2018</v>
      </c>
      <c r="AD222" s="75">
        <v>2019</v>
      </c>
      <c r="AE222" s="75">
        <v>2020</v>
      </c>
      <c r="AF222" s="75">
        <v>2025</v>
      </c>
      <c r="AG222" s="75">
        <v>2030</v>
      </c>
      <c r="AH222" s="75">
        <v>2035</v>
      </c>
      <c r="AI222" s="75">
        <v>2040</v>
      </c>
      <c r="AJ222" s="75">
        <v>2045</v>
      </c>
      <c r="AK222" s="75">
        <v>2050</v>
      </c>
    </row>
    <row r="223" spans="1:37">
      <c r="A223" s="348" t="s">
        <v>16</v>
      </c>
      <c r="J223" s="75" t="s">
        <v>665</v>
      </c>
      <c r="K223" s="75">
        <v>317552693.80071998</v>
      </c>
      <c r="L223" s="75">
        <v>331034364.99427903</v>
      </c>
      <c r="M223" s="75">
        <v>357531511.96026403</v>
      </c>
      <c r="N223" s="75">
        <v>366631343.94960803</v>
      </c>
      <c r="O223" s="75">
        <v>382666270.56249398</v>
      </c>
      <c r="P223" s="75">
        <v>401468073.54536003</v>
      </c>
      <c r="Q223" s="75">
        <v>432815822.62658799</v>
      </c>
      <c r="R223" s="75">
        <v>461629447.53794497</v>
      </c>
      <c r="S223" s="75">
        <v>501176293.61133599</v>
      </c>
      <c r="T223" s="75">
        <v>534016658.342893</v>
      </c>
      <c r="U223" s="75">
        <v>569418265.384094</v>
      </c>
      <c r="V223" s="75">
        <v>567235922.03884804</v>
      </c>
      <c r="W223" s="75">
        <v>574118262.56618905</v>
      </c>
      <c r="X223" s="75">
        <v>590103700.85600996</v>
      </c>
      <c r="Y223" s="75">
        <v>613665487.47985399</v>
      </c>
      <c r="Z223" s="75">
        <v>629978538.05678999</v>
      </c>
      <c r="AA223" s="75">
        <v>642224591.915061</v>
      </c>
      <c r="AB223" s="75">
        <v>642966971.78877997</v>
      </c>
      <c r="AC223" s="75">
        <v>578545641.25667799</v>
      </c>
      <c r="AD223" s="75">
        <v>520026326.80235398</v>
      </c>
      <c r="AE223" s="75">
        <v>466846710.41662502</v>
      </c>
      <c r="AF223" s="75">
        <v>265271901.67313701</v>
      </c>
      <c r="AG223" s="75">
        <v>141241124.682284</v>
      </c>
      <c r="AH223" s="75">
        <v>68113088.900146201</v>
      </c>
      <c r="AI223" s="75">
        <v>28639059.336607002</v>
      </c>
      <c r="AJ223" s="75">
        <v>10063155.440592799</v>
      </c>
      <c r="AK223" s="75">
        <v>2817424.9578848798</v>
      </c>
    </row>
    <row r="224" spans="1:37">
      <c r="A224" s="348" t="s">
        <v>16</v>
      </c>
      <c r="J224" s="75" t="s">
        <v>666</v>
      </c>
      <c r="K224" s="75">
        <v>368875074.37701702</v>
      </c>
      <c r="L224" s="75">
        <v>595201448.63217103</v>
      </c>
      <c r="M224" s="75">
        <v>886565742.16875803</v>
      </c>
      <c r="N224" s="75">
        <v>1292096984.87994</v>
      </c>
      <c r="O224" s="75">
        <v>1762451113.5284901</v>
      </c>
      <c r="P224" s="75">
        <v>2348253314.5770502</v>
      </c>
      <c r="Q224" s="75">
        <v>3015504560.7311902</v>
      </c>
      <c r="R224" s="75">
        <v>3562702713.3454299</v>
      </c>
      <c r="S224" s="75">
        <v>3905086596.0109701</v>
      </c>
      <c r="T224" s="75">
        <v>4097620975.86167</v>
      </c>
      <c r="U224" s="75">
        <v>4331564967.5967102</v>
      </c>
      <c r="V224" s="75">
        <v>4704587032.0194902</v>
      </c>
      <c r="W224" s="75">
        <v>5161210206.80305</v>
      </c>
      <c r="X224" s="75">
        <v>5624263666.3826103</v>
      </c>
      <c r="Y224" s="75">
        <v>6042358980.29953</v>
      </c>
      <c r="Z224" s="75">
        <v>6333991101.4516602</v>
      </c>
      <c r="AA224" s="75">
        <v>6449198384.4227695</v>
      </c>
      <c r="AB224" s="75">
        <v>6484144686.50035</v>
      </c>
      <c r="AC224" s="75">
        <v>6165921835.6197395</v>
      </c>
      <c r="AD224" s="75">
        <v>5850228195.7241602</v>
      </c>
      <c r="AE224" s="75">
        <v>5536479889.9511805</v>
      </c>
      <c r="AF224" s="75">
        <v>3994791939.5750699</v>
      </c>
      <c r="AG224" s="75">
        <v>2560716101.8260298</v>
      </c>
      <c r="AH224" s="75">
        <v>1389703709.12427</v>
      </c>
      <c r="AI224" s="75">
        <v>605457134.94076097</v>
      </c>
      <c r="AJ224" s="75">
        <v>198718131.88059101</v>
      </c>
      <c r="AK224" s="75">
        <v>45445474.162640199</v>
      </c>
    </row>
    <row r="225" spans="1:37">
      <c r="A225" s="348" t="s">
        <v>16</v>
      </c>
      <c r="J225" s="75" t="s">
        <v>667</v>
      </c>
      <c r="K225" s="75">
        <v>54815156057.894997</v>
      </c>
      <c r="L225" s="75">
        <v>55888968086.582001</v>
      </c>
      <c r="M225" s="75">
        <v>56575659247.184898</v>
      </c>
      <c r="N225" s="75">
        <v>57343197973.798401</v>
      </c>
      <c r="O225" s="75">
        <v>58903324317.6744</v>
      </c>
      <c r="P225" s="75">
        <v>61550471923.691902</v>
      </c>
      <c r="Q225" s="75">
        <v>65467391626.531898</v>
      </c>
      <c r="R225" s="75">
        <v>68353733510.992897</v>
      </c>
      <c r="S225" s="75">
        <v>69278924883.026505</v>
      </c>
      <c r="T225" s="75">
        <v>68944784133.245697</v>
      </c>
      <c r="U225" s="75">
        <v>69834086832.173599</v>
      </c>
      <c r="V225" s="75">
        <v>71581638589.099899</v>
      </c>
      <c r="W225" s="75">
        <v>73739723710.9189</v>
      </c>
      <c r="X225" s="75">
        <v>75644812210.673401</v>
      </c>
      <c r="Y225" s="75">
        <v>77119888440.896393</v>
      </c>
      <c r="Z225" s="75">
        <v>78135773539.835495</v>
      </c>
      <c r="AA225" s="75">
        <v>78149981513.331604</v>
      </c>
      <c r="AB225" s="75">
        <v>78099885227.2005</v>
      </c>
      <c r="AC225" s="75">
        <v>73209364327.690796</v>
      </c>
      <c r="AD225" s="75">
        <v>68475829188.976402</v>
      </c>
      <c r="AE225" s="75">
        <v>63896112963.623001</v>
      </c>
      <c r="AF225" s="75">
        <v>43304091384.803703</v>
      </c>
      <c r="AG225" s="75">
        <v>26792853001.7995</v>
      </c>
      <c r="AH225" s="75">
        <v>14715436163.9538</v>
      </c>
      <c r="AI225" s="75">
        <v>6967066643.1058598</v>
      </c>
      <c r="AJ225" s="75">
        <v>2758337869.1621199</v>
      </c>
      <c r="AK225" s="75">
        <v>885009317.131037</v>
      </c>
    </row>
    <row r="226" spans="1:37">
      <c r="A226" s="348" t="s">
        <v>16</v>
      </c>
      <c r="J226" s="75" t="s">
        <v>668</v>
      </c>
      <c r="K226" s="75">
        <v>0</v>
      </c>
      <c r="L226" s="75">
        <v>0</v>
      </c>
      <c r="M226" s="75">
        <v>0</v>
      </c>
      <c r="N226" s="75">
        <v>0</v>
      </c>
      <c r="O226" s="75">
        <v>0</v>
      </c>
      <c r="P226" s="75">
        <v>0</v>
      </c>
      <c r="Q226" s="75">
        <v>0</v>
      </c>
      <c r="R226" s="75">
        <v>0</v>
      </c>
      <c r="S226" s="75">
        <v>0</v>
      </c>
      <c r="T226" s="75">
        <v>0</v>
      </c>
      <c r="U226" s="75">
        <v>0</v>
      </c>
      <c r="V226" s="75">
        <v>0</v>
      </c>
      <c r="W226" s="75">
        <v>0</v>
      </c>
      <c r="X226" s="75">
        <v>0</v>
      </c>
      <c r="Y226" s="75">
        <v>0</v>
      </c>
      <c r="Z226" s="75">
        <v>0</v>
      </c>
      <c r="AA226" s="75">
        <v>0</v>
      </c>
      <c r="AB226" s="75">
        <v>0</v>
      </c>
      <c r="AC226" s="75">
        <v>0</v>
      </c>
      <c r="AD226" s="75">
        <v>0</v>
      </c>
      <c r="AE226" s="75">
        <v>0</v>
      </c>
      <c r="AF226" s="75">
        <v>0</v>
      </c>
      <c r="AG226" s="75">
        <v>0</v>
      </c>
      <c r="AH226" s="75">
        <v>0</v>
      </c>
      <c r="AI226" s="75">
        <v>0</v>
      </c>
      <c r="AJ226" s="75">
        <v>0</v>
      </c>
      <c r="AK226" s="75">
        <v>0</v>
      </c>
    </row>
    <row r="227" spans="1:37">
      <c r="A227" s="348" t="s">
        <v>16</v>
      </c>
      <c r="J227" s="75" t="s">
        <v>669</v>
      </c>
      <c r="K227" s="75">
        <v>0</v>
      </c>
      <c r="L227" s="75">
        <v>0</v>
      </c>
      <c r="M227" s="75">
        <v>0</v>
      </c>
      <c r="N227" s="75">
        <v>0</v>
      </c>
      <c r="O227" s="75">
        <v>0</v>
      </c>
      <c r="P227" s="75">
        <v>2120000</v>
      </c>
      <c r="Q227" s="75">
        <v>6116850.8833315698</v>
      </c>
      <c r="R227" s="75">
        <v>9876736.7883789893</v>
      </c>
      <c r="S227" s="75">
        <v>12968244.5619963</v>
      </c>
      <c r="T227" s="75">
        <v>15976223.3111197</v>
      </c>
      <c r="U227" s="75">
        <v>20461900.292630099</v>
      </c>
      <c r="V227" s="75">
        <v>30204584.0813611</v>
      </c>
      <c r="W227" s="75">
        <v>42354535.627855599</v>
      </c>
      <c r="X227" s="75">
        <v>50232402.827363104</v>
      </c>
      <c r="Y227" s="75">
        <v>60178883.863439299</v>
      </c>
      <c r="Z227" s="75">
        <v>64964191.848066099</v>
      </c>
      <c r="AA227" s="75">
        <v>67380232.856707603</v>
      </c>
      <c r="AB227" s="75">
        <v>69068056.373444706</v>
      </c>
      <c r="AC227" s="75">
        <v>66103608.5467766</v>
      </c>
      <c r="AD227" s="75">
        <v>63176540.824660003</v>
      </c>
      <c r="AE227" s="75">
        <v>60273253.7637427</v>
      </c>
      <c r="AF227" s="75">
        <v>45790432.705628604</v>
      </c>
      <c r="AG227" s="75">
        <v>31304471.001213901</v>
      </c>
      <c r="AH227" s="75">
        <v>18130842.140202802</v>
      </c>
      <c r="AI227" s="75">
        <v>8321844.3257685201</v>
      </c>
      <c r="AJ227" s="75">
        <v>2814629.3031992801</v>
      </c>
      <c r="AK227" s="75">
        <v>648131.82861972996</v>
      </c>
    </row>
    <row r="228" spans="1:37">
      <c r="A228" s="348" t="s">
        <v>16</v>
      </c>
      <c r="J228" s="75" t="s">
        <v>670</v>
      </c>
      <c r="K228" s="75">
        <v>0</v>
      </c>
      <c r="L228" s="75">
        <v>0</v>
      </c>
      <c r="M228" s="75">
        <v>0</v>
      </c>
      <c r="N228" s="75">
        <v>0</v>
      </c>
      <c r="O228" s="75">
        <v>0</v>
      </c>
      <c r="P228" s="75">
        <v>0</v>
      </c>
      <c r="Q228" s="75">
        <v>0</v>
      </c>
      <c r="R228" s="75">
        <v>0</v>
      </c>
      <c r="S228" s="75">
        <v>0</v>
      </c>
      <c r="T228" s="75">
        <v>0</v>
      </c>
      <c r="U228" s="75">
        <v>0</v>
      </c>
      <c r="V228" s="75">
        <v>0</v>
      </c>
      <c r="W228" s="75">
        <v>0</v>
      </c>
      <c r="X228" s="75">
        <v>765000</v>
      </c>
      <c r="Y228" s="75">
        <v>1049995.7196927599</v>
      </c>
      <c r="Z228" s="75">
        <v>3641240.1580249602</v>
      </c>
      <c r="AA228" s="75">
        <v>5748135.0967566101</v>
      </c>
      <c r="AB228" s="75">
        <v>7029242.9346893802</v>
      </c>
      <c r="AC228" s="75">
        <v>6751144.3929200303</v>
      </c>
      <c r="AD228" s="75">
        <v>6481344.2520075897</v>
      </c>
      <c r="AE228" s="75">
        <v>6218198.0690088999</v>
      </c>
      <c r="AF228" s="75">
        <v>4948395.1952702003</v>
      </c>
      <c r="AG228" s="75">
        <v>3662701.8823531601</v>
      </c>
      <c r="AH228" s="75">
        <v>2370476.9073227001</v>
      </c>
      <c r="AI228" s="75">
        <v>1246905.94997046</v>
      </c>
      <c r="AJ228" s="75">
        <v>490939.64765082498</v>
      </c>
      <c r="AK228" s="75">
        <v>132176.39531177099</v>
      </c>
    </row>
    <row r="229" spans="1:37">
      <c r="A229" s="348" t="s">
        <v>16</v>
      </c>
      <c r="I229" s="186" t="s">
        <v>412</v>
      </c>
      <c r="J229" s="75" t="s">
        <v>671</v>
      </c>
      <c r="K229" s="75">
        <v>1919611439.51422</v>
      </c>
      <c r="L229" s="75">
        <v>1975165897.6670401</v>
      </c>
      <c r="M229" s="75">
        <v>2041015236.18694</v>
      </c>
      <c r="N229" s="75">
        <v>2112280726.2537899</v>
      </c>
      <c r="O229" s="75">
        <v>2273513285.1859899</v>
      </c>
      <c r="P229" s="75">
        <v>2576167520.5720301</v>
      </c>
      <c r="Q229" s="75">
        <v>2950953302.3854198</v>
      </c>
      <c r="R229" s="75">
        <v>3348255850.10356</v>
      </c>
      <c r="S229" s="75">
        <v>3569190665.9342399</v>
      </c>
      <c r="T229" s="75">
        <v>3540048657.0248299</v>
      </c>
      <c r="U229" s="75">
        <v>3503793535.95263</v>
      </c>
      <c r="V229" s="75">
        <v>3531071629.7719798</v>
      </c>
      <c r="W229" s="75">
        <v>3591616240.7154698</v>
      </c>
      <c r="X229" s="75">
        <v>3713580519.1079102</v>
      </c>
      <c r="Y229" s="75">
        <v>3780353118.30165</v>
      </c>
      <c r="Z229" s="75">
        <v>3810502133.92869</v>
      </c>
      <c r="AA229" s="75">
        <v>3734340606.0689998</v>
      </c>
      <c r="AB229" s="75">
        <v>3619315046.72683</v>
      </c>
      <c r="AC229" s="75">
        <v>3556773370.2487702</v>
      </c>
      <c r="AD229" s="75">
        <v>3186895764.4331598</v>
      </c>
      <c r="AE229" s="75">
        <v>2846186437.12078</v>
      </c>
      <c r="AF229" s="75">
        <v>1520698068.5113201</v>
      </c>
      <c r="AG229" s="75">
        <v>709838041.99741995</v>
      </c>
      <c r="AH229" s="75">
        <v>276703627.85648698</v>
      </c>
      <c r="AI229" s="75">
        <v>85888621.301146507</v>
      </c>
      <c r="AJ229" s="75">
        <v>20163582.712067299</v>
      </c>
      <c r="AK229" s="75">
        <v>3386973.2758648298</v>
      </c>
    </row>
    <row r="230" spans="1:37">
      <c r="A230" s="348" t="s">
        <v>16</v>
      </c>
      <c r="I230" s="186" t="s">
        <v>412</v>
      </c>
      <c r="J230" s="75" t="s">
        <v>672</v>
      </c>
      <c r="K230" s="75">
        <v>257635838.743689</v>
      </c>
      <c r="L230" s="75">
        <v>236501526.83289</v>
      </c>
      <c r="M230" s="75">
        <v>214201719.19669199</v>
      </c>
      <c r="N230" s="75">
        <v>192609799.45568901</v>
      </c>
      <c r="O230" s="75">
        <v>171120763.66123199</v>
      </c>
      <c r="P230" s="75">
        <v>150721371.38412499</v>
      </c>
      <c r="Q230" s="75">
        <v>133975286.737023</v>
      </c>
      <c r="R230" s="75">
        <v>125104602.74516501</v>
      </c>
      <c r="S230" s="75">
        <v>115856986.10596</v>
      </c>
      <c r="T230" s="75">
        <v>103565577.34103499</v>
      </c>
      <c r="U230" s="75">
        <v>92732055.881640807</v>
      </c>
      <c r="V230" s="75">
        <v>80637465.167977005</v>
      </c>
      <c r="W230" s="75">
        <v>69531454.933817998</v>
      </c>
      <c r="X230" s="75">
        <v>59749660.227552101</v>
      </c>
      <c r="Y230" s="75">
        <v>51255667.931377701</v>
      </c>
      <c r="Z230" s="75">
        <v>43911853.238022499</v>
      </c>
      <c r="AA230" s="75">
        <v>37587708.033969</v>
      </c>
      <c r="AB230" s="75">
        <v>32163324.0184527</v>
      </c>
      <c r="AC230" s="75">
        <v>33586090.116375297</v>
      </c>
      <c r="AD230" s="75">
        <v>28470483.446759</v>
      </c>
      <c r="AE230" s="75">
        <v>24047935.451316401</v>
      </c>
      <c r="AF230" s="75">
        <v>9830390.8308177199</v>
      </c>
      <c r="AG230" s="75">
        <v>3639299.80557351</v>
      </c>
      <c r="AH230" s="75">
        <v>1143872.8332901699</v>
      </c>
      <c r="AI230" s="75">
        <v>278259.09377569403</v>
      </c>
      <c r="AJ230" s="75">
        <v>47984.643657061097</v>
      </c>
      <c r="AK230" s="75">
        <v>5448.6727880613398</v>
      </c>
    </row>
    <row r="231" spans="1:37">
      <c r="A231" s="348" t="s">
        <v>16</v>
      </c>
      <c r="I231" s="186" t="s">
        <v>413</v>
      </c>
      <c r="J231" s="75" t="s">
        <v>673</v>
      </c>
      <c r="K231" s="75">
        <v>534961780.22950602</v>
      </c>
      <c r="L231" s="75">
        <v>535108110.61733198</v>
      </c>
      <c r="M231" s="75">
        <v>535820838.52516699</v>
      </c>
      <c r="N231" s="75">
        <v>557663068.64873695</v>
      </c>
      <c r="O231" s="75">
        <v>603046322.15292704</v>
      </c>
      <c r="P231" s="75">
        <v>677757651.26379895</v>
      </c>
      <c r="Q231" s="75">
        <v>775254988.73529804</v>
      </c>
      <c r="R231" s="75">
        <v>863587098.73132396</v>
      </c>
      <c r="S231" s="75">
        <v>902632168.90166402</v>
      </c>
      <c r="T231" s="75">
        <v>884247031.97837198</v>
      </c>
      <c r="U231" s="75">
        <v>888505572.62997305</v>
      </c>
      <c r="V231" s="75">
        <v>899561004.33986402</v>
      </c>
      <c r="W231" s="75">
        <v>910162880.33514702</v>
      </c>
      <c r="X231" s="75">
        <v>930465848.28506505</v>
      </c>
      <c r="Y231" s="75">
        <v>946190073.36733699</v>
      </c>
      <c r="Z231" s="75">
        <v>970450352.948578</v>
      </c>
      <c r="AA231" s="75">
        <v>985642275.09410203</v>
      </c>
      <c r="AB231" s="75">
        <v>1003019214.49747</v>
      </c>
      <c r="AC231" s="75">
        <v>1010567434.6448801</v>
      </c>
      <c r="AD231" s="75">
        <v>924837475.86532903</v>
      </c>
      <c r="AE231" s="75">
        <v>843752590.99606502</v>
      </c>
      <c r="AF231" s="75">
        <v>502819065.33477402</v>
      </c>
      <c r="AG231" s="75">
        <v>263137774.23639399</v>
      </c>
      <c r="AH231" s="75">
        <v>115688929.017074</v>
      </c>
      <c r="AI231" s="75">
        <v>40758674.911494002</v>
      </c>
      <c r="AJ231" s="75">
        <v>10924068.6750363</v>
      </c>
      <c r="AK231" s="75">
        <v>2104110.57840455</v>
      </c>
    </row>
    <row r="232" spans="1:37">
      <c r="A232" s="348" t="s">
        <v>16</v>
      </c>
      <c r="I232" s="186" t="s">
        <v>414</v>
      </c>
      <c r="J232" s="75" t="s">
        <v>674</v>
      </c>
      <c r="K232" s="75">
        <v>1751277144.6252699</v>
      </c>
      <c r="L232" s="75">
        <v>1753502480.1646299</v>
      </c>
      <c r="M232" s="75">
        <v>1736568377.57322</v>
      </c>
      <c r="N232" s="75">
        <v>1745502825.82658</v>
      </c>
      <c r="O232" s="75">
        <v>1821995903.5110099</v>
      </c>
      <c r="P232" s="75">
        <v>2006775610.3306999</v>
      </c>
      <c r="Q232" s="75">
        <v>2283729281.2916498</v>
      </c>
      <c r="R232" s="75">
        <v>2562805220.8906598</v>
      </c>
      <c r="S232" s="75">
        <v>2809805306.9908299</v>
      </c>
      <c r="T232" s="75">
        <v>2821843812.57868</v>
      </c>
      <c r="U232" s="75">
        <v>2877773893.5501099</v>
      </c>
      <c r="V232" s="75">
        <v>2956540869.5359998</v>
      </c>
      <c r="W232" s="75">
        <v>3042387300.8641601</v>
      </c>
      <c r="X232" s="75">
        <v>3142066395.3421302</v>
      </c>
      <c r="Y232" s="75">
        <v>3215052019.5725002</v>
      </c>
      <c r="Z232" s="75">
        <v>3267499601.1072998</v>
      </c>
      <c r="AA232" s="75">
        <v>3289593985.7562299</v>
      </c>
      <c r="AB232" s="75">
        <v>3299354378.4220901</v>
      </c>
      <c r="AC232" s="75">
        <v>3319551076.217</v>
      </c>
      <c r="AD232" s="75">
        <v>3039713784.3246698</v>
      </c>
      <c r="AE232" s="75">
        <v>2774770767.8393102</v>
      </c>
      <c r="AF232" s="75">
        <v>1657034788.76314</v>
      </c>
      <c r="AG232" s="75">
        <v>866814686.85412097</v>
      </c>
      <c r="AH232" s="75">
        <v>379407513.94493401</v>
      </c>
      <c r="AI232" s="75">
        <v>132476093.061588</v>
      </c>
      <c r="AJ232" s="75">
        <v>35061961.720911101</v>
      </c>
      <c r="AK232" s="75">
        <v>6656950.0294743301</v>
      </c>
    </row>
    <row r="233" spans="1:37">
      <c r="A233" s="348" t="s">
        <v>16</v>
      </c>
      <c r="I233" s="186" t="s">
        <v>415</v>
      </c>
      <c r="J233" s="75" t="s">
        <v>675</v>
      </c>
      <c r="K233" s="75">
        <v>331216941.33739001</v>
      </c>
      <c r="L233" s="75">
        <v>331091630.84965998</v>
      </c>
      <c r="M233" s="75">
        <v>351483027.66837001</v>
      </c>
      <c r="N233" s="75">
        <v>390407718.90243298</v>
      </c>
      <c r="O233" s="75">
        <v>439703222.94933999</v>
      </c>
      <c r="P233" s="75">
        <v>503585244.70995599</v>
      </c>
      <c r="Q233" s="75">
        <v>541995544.29185402</v>
      </c>
      <c r="R233" s="75">
        <v>590958356.55981302</v>
      </c>
      <c r="S233" s="75">
        <v>642762075.33210194</v>
      </c>
      <c r="T233" s="75">
        <v>640746608.08186805</v>
      </c>
      <c r="U233" s="75">
        <v>628899356.88888705</v>
      </c>
      <c r="V233" s="75">
        <v>632397117.76961195</v>
      </c>
      <c r="W233" s="75">
        <v>641562999.484339</v>
      </c>
      <c r="X233" s="75">
        <v>639415256.03753603</v>
      </c>
      <c r="Y233" s="75">
        <v>629498593.91954505</v>
      </c>
      <c r="Z233" s="75">
        <v>620405732.70097303</v>
      </c>
      <c r="AA233" s="75">
        <v>610142173.28967094</v>
      </c>
      <c r="AB233" s="75">
        <v>598406989.10616302</v>
      </c>
      <c r="AC233" s="75">
        <v>610370195.38468599</v>
      </c>
      <c r="AD233" s="75">
        <v>556741892.75998902</v>
      </c>
      <c r="AE233" s="75">
        <v>506058333.62443501</v>
      </c>
      <c r="AF233" s="75">
        <v>294460470.302077</v>
      </c>
      <c r="AG233" s="75">
        <v>149297328.463025</v>
      </c>
      <c r="AH233" s="75">
        <v>63287780.6503051</v>
      </c>
      <c r="AI233" s="75">
        <v>21478683.752556201</v>
      </c>
      <c r="AJ233" s="75">
        <v>5560575.3420188399</v>
      </c>
      <c r="AK233" s="75">
        <v>1039837.1700628001</v>
      </c>
    </row>
    <row r="234" spans="1:37">
      <c r="A234" s="348" t="s">
        <v>16</v>
      </c>
      <c r="I234" s="186" t="s">
        <v>416</v>
      </c>
      <c r="J234" s="75" t="s">
        <v>676</v>
      </c>
      <c r="K234" s="75">
        <v>150129223.21081501</v>
      </c>
      <c r="L234" s="75">
        <v>146321882.521981</v>
      </c>
      <c r="M234" s="75">
        <v>152103821.19303</v>
      </c>
      <c r="N234" s="75">
        <v>176072692.90421101</v>
      </c>
      <c r="O234" s="75">
        <v>215344780.61534399</v>
      </c>
      <c r="P234" s="75">
        <v>227352465.361626</v>
      </c>
      <c r="Q234" s="75">
        <v>246520548.381495</v>
      </c>
      <c r="R234" s="75">
        <v>271692480.202245</v>
      </c>
      <c r="S234" s="75">
        <v>294209767.79634303</v>
      </c>
      <c r="T234" s="75">
        <v>287173199.20626003</v>
      </c>
      <c r="U234" s="75">
        <v>281531131.46644902</v>
      </c>
      <c r="V234" s="75">
        <v>280646399.25191802</v>
      </c>
      <c r="W234" s="75">
        <v>281327856.30344898</v>
      </c>
      <c r="X234" s="75">
        <v>291456684.20224702</v>
      </c>
      <c r="Y234" s="75">
        <v>301247002.55769497</v>
      </c>
      <c r="Z234" s="75">
        <v>305447009.59014702</v>
      </c>
      <c r="AA234" s="75">
        <v>308314642.14785898</v>
      </c>
      <c r="AB234" s="75">
        <v>297988096.05332702</v>
      </c>
      <c r="AC234" s="75">
        <v>288434951.06673402</v>
      </c>
      <c r="AD234" s="75">
        <v>256406849.15903601</v>
      </c>
      <c r="AE234" s="75">
        <v>227228102.151279</v>
      </c>
      <c r="AF234" s="75">
        <v>117036727.364052</v>
      </c>
      <c r="AG234" s="75">
        <v>52812056.675588802</v>
      </c>
      <c r="AH234" s="75">
        <v>19938973.471000899</v>
      </c>
      <c r="AI234" s="75">
        <v>5998952.6219375199</v>
      </c>
      <c r="AJ234" s="75">
        <v>1364312.10404387</v>
      </c>
      <c r="AK234" s="75">
        <v>221594.28184127499</v>
      </c>
    </row>
    <row r="235" spans="1:37">
      <c r="A235" s="348" t="s">
        <v>16</v>
      </c>
      <c r="I235" s="186" t="s">
        <v>417</v>
      </c>
      <c r="J235" s="75" t="s">
        <v>677</v>
      </c>
      <c r="K235" s="75">
        <v>2037621910.04404</v>
      </c>
      <c r="L235" s="75">
        <v>2002486502.43154</v>
      </c>
      <c r="M235" s="75">
        <v>1974461518.1415999</v>
      </c>
      <c r="N235" s="75">
        <v>2076046377.8250401</v>
      </c>
      <c r="O235" s="75">
        <v>2331055533.3441601</v>
      </c>
      <c r="P235" s="75">
        <v>2666334230.7783799</v>
      </c>
      <c r="Q235" s="75">
        <v>3111835201.57482</v>
      </c>
      <c r="R235" s="75">
        <v>3709366472.4710202</v>
      </c>
      <c r="S235" s="75">
        <v>4321277103.3671904</v>
      </c>
      <c r="T235" s="75">
        <v>4279713359.60502</v>
      </c>
      <c r="U235" s="75">
        <v>4458056616.34869</v>
      </c>
      <c r="V235" s="75">
        <v>4835406298.3221998</v>
      </c>
      <c r="W235" s="75">
        <v>5154181758.4817801</v>
      </c>
      <c r="X235" s="75">
        <v>5547608302.2518997</v>
      </c>
      <c r="Y235" s="75">
        <v>5964690158.3445196</v>
      </c>
      <c r="Z235" s="75">
        <v>6322334447.7210999</v>
      </c>
      <c r="AA235" s="75">
        <v>6492060101.8670397</v>
      </c>
      <c r="AB235" s="75">
        <v>6662187764.6371298</v>
      </c>
      <c r="AC235" s="75">
        <v>6351349450.7534304</v>
      </c>
      <c r="AD235" s="75">
        <v>5676743923.5750198</v>
      </c>
      <c r="AE235" s="75">
        <v>5059483868.1432695</v>
      </c>
      <c r="AF235" s="75">
        <v>2689385454.5387001</v>
      </c>
      <c r="AG235" s="75">
        <v>1254927743.9649601</v>
      </c>
      <c r="AH235" s="75">
        <v>489201117.33436</v>
      </c>
      <c r="AI235" s="75">
        <v>151424015.068205</v>
      </c>
      <c r="AJ235" s="75">
        <v>35290813.161567897</v>
      </c>
      <c r="AK235" s="75">
        <v>5856942.68653196</v>
      </c>
    </row>
    <row r="236" spans="1:37">
      <c r="A236" s="348" t="s">
        <v>16</v>
      </c>
      <c r="I236" s="186" t="s">
        <v>418</v>
      </c>
      <c r="J236" s="75" t="s">
        <v>678</v>
      </c>
      <c r="K236" s="75">
        <v>568227914.74388504</v>
      </c>
      <c r="L236" s="75">
        <v>687448627.66947305</v>
      </c>
      <c r="M236" s="75">
        <v>841952137.38462102</v>
      </c>
      <c r="N236" s="75">
        <v>976675699.36098003</v>
      </c>
      <c r="O236" s="75">
        <v>1059148629.07541</v>
      </c>
      <c r="P236" s="75">
        <v>1192268532.03318</v>
      </c>
      <c r="Q236" s="75">
        <v>1419295059.6400599</v>
      </c>
      <c r="R236" s="75">
        <v>1645063977.3303001</v>
      </c>
      <c r="S236" s="75">
        <v>1820537522.9351699</v>
      </c>
      <c r="T236" s="75">
        <v>1792145579.6803801</v>
      </c>
      <c r="U236" s="75">
        <v>1789169056.0441501</v>
      </c>
      <c r="V236" s="75">
        <v>1897308376.2600999</v>
      </c>
      <c r="W236" s="75">
        <v>1976161621.4119699</v>
      </c>
      <c r="X236" s="75">
        <v>2080475230.8573301</v>
      </c>
      <c r="Y236" s="75">
        <v>2191650088.1494298</v>
      </c>
      <c r="Z236" s="75">
        <v>2209450130.06213</v>
      </c>
      <c r="AA236" s="75">
        <v>2221191160.6075301</v>
      </c>
      <c r="AB236" s="75">
        <v>2226156630.66398</v>
      </c>
      <c r="AC236" s="75">
        <v>2142810448.52757</v>
      </c>
      <c r="AD236" s="75">
        <v>1910688461.38959</v>
      </c>
      <c r="AE236" s="75">
        <v>1698460400.35413</v>
      </c>
      <c r="AF236" s="75">
        <v>888159511.24178898</v>
      </c>
      <c r="AG236" s="75">
        <v>406425109.300089</v>
      </c>
      <c r="AH236" s="75">
        <v>155356869.01458001</v>
      </c>
      <c r="AI236" s="75">
        <v>47249728.080166198</v>
      </c>
      <c r="AJ236" s="75">
        <v>10851352.0376922</v>
      </c>
      <c r="AK236" s="75">
        <v>1779753.32204699</v>
      </c>
    </row>
    <row r="237" spans="1:37">
      <c r="A237" s="348" t="s">
        <v>16</v>
      </c>
      <c r="I237" s="186" t="s">
        <v>419</v>
      </c>
      <c r="J237" s="75" t="s">
        <v>679</v>
      </c>
      <c r="K237" s="75">
        <v>5625437.4744506599</v>
      </c>
      <c r="L237" s="75">
        <v>5180740.7543489803</v>
      </c>
      <c r="M237" s="75">
        <v>4614964.3361642696</v>
      </c>
      <c r="N237" s="75">
        <v>4264840.5559785804</v>
      </c>
      <c r="O237" s="75">
        <v>4595141.0295843696</v>
      </c>
      <c r="P237" s="75">
        <v>8746237.0822762195</v>
      </c>
      <c r="Q237" s="75">
        <v>15882869.174430201</v>
      </c>
      <c r="R237" s="75">
        <v>28121657.608640999</v>
      </c>
      <c r="S237" s="75">
        <v>39051299.0056132</v>
      </c>
      <c r="T237" s="75">
        <v>42685161.501678102</v>
      </c>
      <c r="U237" s="75">
        <v>50387460.084369399</v>
      </c>
      <c r="V237" s="75">
        <v>60291347.1732179</v>
      </c>
      <c r="W237" s="75">
        <v>70701624.395945504</v>
      </c>
      <c r="X237" s="75">
        <v>74796038.312730998</v>
      </c>
      <c r="Y237" s="75">
        <v>89432441.856926695</v>
      </c>
      <c r="Z237" s="75">
        <v>95656653.727422997</v>
      </c>
      <c r="AA237" s="75">
        <v>111158222.12459099</v>
      </c>
      <c r="AB237" s="75">
        <v>122213678.84983701</v>
      </c>
      <c r="AC237" s="75">
        <v>114586026.194571</v>
      </c>
      <c r="AD237" s="75">
        <v>102978869.439032</v>
      </c>
      <c r="AE237" s="75">
        <v>92314255.473987997</v>
      </c>
      <c r="AF237" s="75">
        <v>50672087.7278907</v>
      </c>
      <c r="AG237" s="75">
        <v>24478490.880847901</v>
      </c>
      <c r="AH237" s="75">
        <v>9877863.3737912793</v>
      </c>
      <c r="AI237" s="75">
        <v>3160336.1230644402</v>
      </c>
      <c r="AJ237" s="75">
        <v>759741.594858706</v>
      </c>
      <c r="AK237" s="75">
        <v>129765.955752429</v>
      </c>
    </row>
    <row r="238" spans="1:37">
      <c r="A238" s="348" t="s">
        <v>16</v>
      </c>
      <c r="I238" s="186" t="s">
        <v>420</v>
      </c>
      <c r="J238" s="75" t="s">
        <v>680</v>
      </c>
      <c r="K238" s="75">
        <v>7088050.2023903802</v>
      </c>
      <c r="L238" s="75">
        <v>6113898.67207943</v>
      </c>
      <c r="M238" s="75">
        <v>5227773.3091062196</v>
      </c>
      <c r="N238" s="75">
        <v>4428858.5599546898</v>
      </c>
      <c r="O238" s="75">
        <v>3715897.4576634001</v>
      </c>
      <c r="P238" s="75">
        <v>18026810.843204901</v>
      </c>
      <c r="Q238" s="75">
        <v>46137796.527859204</v>
      </c>
      <c r="R238" s="75">
        <v>59200648.905473098</v>
      </c>
      <c r="S238" s="75">
        <v>72978924.134818703</v>
      </c>
      <c r="T238" s="75">
        <v>66468581.647166103</v>
      </c>
      <c r="U238" s="75">
        <v>60409684.9668926</v>
      </c>
      <c r="V238" s="75">
        <v>55602724.847158298</v>
      </c>
      <c r="W238" s="75">
        <v>52818957.554105103</v>
      </c>
      <c r="X238" s="75">
        <v>50258542.281746902</v>
      </c>
      <c r="Y238" s="75">
        <v>45047126.121697202</v>
      </c>
      <c r="Z238" s="75">
        <v>39455002.9107337</v>
      </c>
      <c r="AA238" s="75">
        <v>34295516.5218499</v>
      </c>
      <c r="AB238" s="75">
        <v>29412068.148240201</v>
      </c>
      <c r="AC238" s="75">
        <v>30143213.422731798</v>
      </c>
      <c r="AD238" s="75">
        <v>26503062.9529108</v>
      </c>
      <c r="AE238" s="75">
        <v>23181383.8938087</v>
      </c>
      <c r="AF238" s="75">
        <v>10806092.2473778</v>
      </c>
      <c r="AG238" s="75">
        <v>4145425.6169874799</v>
      </c>
      <c r="AH238" s="75">
        <v>1246966.3638136</v>
      </c>
      <c r="AI238" s="75">
        <v>282059.36532572901</v>
      </c>
      <c r="AJ238" s="75">
        <v>46271.117981916097</v>
      </c>
      <c r="AK238" s="75">
        <v>5317.4613330054399</v>
      </c>
    </row>
    <row r="239" spans="1:37">
      <c r="A239" s="348" t="s">
        <v>16</v>
      </c>
      <c r="I239" s="186" t="s">
        <v>151</v>
      </c>
      <c r="J239" s="75" t="s">
        <v>681</v>
      </c>
      <c r="K239" s="75">
        <v>9457429036.6961193</v>
      </c>
      <c r="L239" s="75">
        <v>10170358349.743</v>
      </c>
      <c r="M239" s="75">
        <v>10819581384.903799</v>
      </c>
      <c r="N239" s="75">
        <v>11408753625.339399</v>
      </c>
      <c r="O239" s="75">
        <v>12155705943.241501</v>
      </c>
      <c r="P239" s="75">
        <v>13348688103.9839</v>
      </c>
      <c r="Q239" s="75">
        <v>15322493799.6001</v>
      </c>
      <c r="R239" s="75">
        <v>17176239536.754499</v>
      </c>
      <c r="S239" s="75">
        <v>18137222347.9846</v>
      </c>
      <c r="T239" s="75">
        <v>18398687333.710201</v>
      </c>
      <c r="U239" s="75">
        <v>18936333926.556999</v>
      </c>
      <c r="V239" s="75">
        <v>19812349461.709099</v>
      </c>
      <c r="W239" s="75">
        <v>20925523504.623001</v>
      </c>
      <c r="X239" s="75">
        <v>22448655192.464699</v>
      </c>
      <c r="Y239" s="75">
        <v>23971647936.052799</v>
      </c>
      <c r="Z239" s="75">
        <v>25654165273.253101</v>
      </c>
      <c r="AA239" s="75">
        <v>26815778262.550701</v>
      </c>
      <c r="AB239" s="75">
        <v>28130667901.066101</v>
      </c>
      <c r="AC239" s="75">
        <v>25344904124.1133</v>
      </c>
      <c r="AD239" s="75">
        <v>22754832476.2048</v>
      </c>
      <c r="AE239" s="75">
        <v>20370323870.9697</v>
      </c>
      <c r="AF239" s="75">
        <v>11304446348.3022</v>
      </c>
      <c r="AG239" s="75">
        <v>5977104944.1715097</v>
      </c>
      <c r="AH239" s="75">
        <v>3035502305.55405</v>
      </c>
      <c r="AI239" s="75">
        <v>1487909512.21121</v>
      </c>
      <c r="AJ239" s="75">
        <v>706314244.64048195</v>
      </c>
      <c r="AK239" s="75">
        <v>325537237.47551</v>
      </c>
    </row>
    <row r="240" spans="1:37">
      <c r="A240" s="348" t="s">
        <v>16</v>
      </c>
      <c r="I240" s="186" t="s">
        <v>151</v>
      </c>
      <c r="J240" s="75" t="s">
        <v>682</v>
      </c>
      <c r="K240" s="75">
        <v>21187060209.2001</v>
      </c>
      <c r="L240" s="75">
        <v>21302081582.240501</v>
      </c>
      <c r="M240" s="75">
        <v>20978196473.0681</v>
      </c>
      <c r="N240" s="75">
        <v>20770879860.299702</v>
      </c>
      <c r="O240" s="75">
        <v>21089804423.839699</v>
      </c>
      <c r="P240" s="75">
        <v>21898036237.3074</v>
      </c>
      <c r="Q240" s="75">
        <v>23062156726.733398</v>
      </c>
      <c r="R240" s="75">
        <v>23953134501.7173</v>
      </c>
      <c r="S240" s="75">
        <v>24126728024.1092</v>
      </c>
      <c r="T240" s="75">
        <v>23347948208.474499</v>
      </c>
      <c r="U240" s="75">
        <v>22829289072.8022</v>
      </c>
      <c r="V240" s="75">
        <v>22748437320.342098</v>
      </c>
      <c r="W240" s="75">
        <v>22585367251.479198</v>
      </c>
      <c r="X240" s="75">
        <v>22200094295.7719</v>
      </c>
      <c r="Y240" s="75">
        <v>21689624179.908199</v>
      </c>
      <c r="Z240" s="75">
        <v>21071997552.841801</v>
      </c>
      <c r="AA240" s="75">
        <v>20234046259.340199</v>
      </c>
      <c r="AB240" s="75">
        <v>19454152684.683899</v>
      </c>
      <c r="AC240" s="75">
        <v>17548004965.229</v>
      </c>
      <c r="AD240" s="75">
        <v>15799133230.3948</v>
      </c>
      <c r="AE240" s="75">
        <v>14202302088.4629</v>
      </c>
      <c r="AF240" s="75">
        <v>8176374791.5258398</v>
      </c>
      <c r="AG240" s="75">
        <v>4583258181.2513599</v>
      </c>
      <c r="AH240" s="75">
        <v>2512745557.7565598</v>
      </c>
      <c r="AI240" s="75">
        <v>1351113080.7437201</v>
      </c>
      <c r="AJ240" s="75">
        <v>713935933.66393399</v>
      </c>
      <c r="AK240" s="75">
        <v>371279111.099783</v>
      </c>
    </row>
    <row r="241" spans="1:37">
      <c r="A241" s="348" t="s">
        <v>16</v>
      </c>
      <c r="J241" s="75" t="s">
        <v>683</v>
      </c>
      <c r="K241" s="75">
        <v>55935417.517135203</v>
      </c>
      <c r="L241" s="75">
        <v>53100046.113764197</v>
      </c>
      <c r="M241" s="75">
        <v>50266236.360226199</v>
      </c>
      <c r="N241" s="75">
        <v>47452503.888255097</v>
      </c>
      <c r="O241" s="75">
        <v>44675023.155415699</v>
      </c>
      <c r="P241" s="75">
        <v>71452985.185886398</v>
      </c>
      <c r="Q241" s="75">
        <v>131487851.91297001</v>
      </c>
      <c r="R241" s="75">
        <v>229743502.918933</v>
      </c>
      <c r="S241" s="75">
        <v>319404303.91944599</v>
      </c>
      <c r="T241" s="75">
        <v>360064028.28808999</v>
      </c>
      <c r="U241" s="75">
        <v>424363923.39592701</v>
      </c>
      <c r="V241" s="75">
        <v>535405877.43765599</v>
      </c>
      <c r="W241" s="75">
        <v>689475378.18147504</v>
      </c>
      <c r="X241" s="75">
        <v>945495614.11812401</v>
      </c>
      <c r="Y241" s="75">
        <v>1215003552.55497</v>
      </c>
      <c r="Z241" s="75">
        <v>1477014785.9695699</v>
      </c>
      <c r="AA241" s="75">
        <v>1802117908.08342</v>
      </c>
      <c r="AB241" s="75">
        <v>2132469266.97544</v>
      </c>
      <c r="AC241" s="75">
        <v>2025809328.2140801</v>
      </c>
      <c r="AD241" s="75">
        <v>1919010219.24331</v>
      </c>
      <c r="AE241" s="75">
        <v>1812852758.4143</v>
      </c>
      <c r="AF241" s="75">
        <v>1311148821.2594199</v>
      </c>
      <c r="AG241" s="75">
        <v>890350007.88851094</v>
      </c>
      <c r="AH241" s="75">
        <v>568997034.666237</v>
      </c>
      <c r="AI241" s="75">
        <v>342755942.48194999</v>
      </c>
      <c r="AJ241" s="75">
        <v>194850568.60389701</v>
      </c>
      <c r="AK241" s="75">
        <v>104634073.90256999</v>
      </c>
    </row>
    <row r="242" spans="1:37">
      <c r="A242" s="348" t="s">
        <v>16</v>
      </c>
      <c r="J242" s="75" t="s">
        <v>684</v>
      </c>
      <c r="K242" s="75">
        <v>6013479780.64468</v>
      </c>
      <c r="L242" s="75">
        <v>5802386090.9882097</v>
      </c>
      <c r="M242" s="75">
        <v>5637369306.3173199</v>
      </c>
      <c r="N242" s="75">
        <v>5417583449.2073898</v>
      </c>
      <c r="O242" s="75">
        <v>5293915986.20047</v>
      </c>
      <c r="P242" s="75">
        <v>5284977941.5605297</v>
      </c>
      <c r="Q242" s="75">
        <v>5333223870.38797</v>
      </c>
      <c r="R242" s="75">
        <v>5493535353.2996101</v>
      </c>
      <c r="S242" s="75">
        <v>5706417036.9822397</v>
      </c>
      <c r="T242" s="75">
        <v>5656762561.7613001</v>
      </c>
      <c r="U242" s="75">
        <v>5601280809.6035299</v>
      </c>
      <c r="V242" s="75">
        <v>5534136104.5333595</v>
      </c>
      <c r="W242" s="75">
        <v>5483743293.4380798</v>
      </c>
      <c r="X242" s="75">
        <v>5367971727.6703901</v>
      </c>
      <c r="Y242" s="75">
        <v>5297289371.6096802</v>
      </c>
      <c r="Z242" s="75">
        <v>5190127326.0237303</v>
      </c>
      <c r="AA242" s="75">
        <v>5151391088.77528</v>
      </c>
      <c r="AB242" s="75">
        <v>5080581278.5700502</v>
      </c>
      <c r="AC242" s="75">
        <v>4716696503.6307802</v>
      </c>
      <c r="AD242" s="75">
        <v>4370779005.9278603</v>
      </c>
      <c r="AE242" s="75">
        <v>4043651097.5019498</v>
      </c>
      <c r="AF242" s="75">
        <v>2683229484.8517299</v>
      </c>
      <c r="AG242" s="75">
        <v>1726778803.48528</v>
      </c>
      <c r="AH242" s="75">
        <v>1081888984.54531</v>
      </c>
      <c r="AI242" s="75">
        <v>661587058.87643397</v>
      </c>
      <c r="AJ242" s="75">
        <v>395598206.18648398</v>
      </c>
      <c r="AK242" s="75">
        <v>231641623.061728</v>
      </c>
    </row>
    <row r="243" spans="1:37">
      <c r="A243" s="348" t="s">
        <v>16</v>
      </c>
      <c r="J243" s="75" t="s">
        <v>685</v>
      </c>
      <c r="K243" s="75">
        <v>396729744.453435</v>
      </c>
      <c r="L243" s="75">
        <v>492194583.081119</v>
      </c>
      <c r="M243" s="75">
        <v>644891152.91232097</v>
      </c>
      <c r="N243" s="75">
        <v>802767235.88178504</v>
      </c>
      <c r="O243" s="75">
        <v>979763553.36641097</v>
      </c>
      <c r="P243" s="75">
        <v>1254185207.1200199</v>
      </c>
      <c r="Q243" s="75">
        <v>1635252930.88258</v>
      </c>
      <c r="R243" s="75">
        <v>2141222200.5527799</v>
      </c>
      <c r="S243" s="75">
        <v>2555114692.2533798</v>
      </c>
      <c r="T243" s="75">
        <v>2929958075.14428</v>
      </c>
      <c r="U243" s="75">
        <v>3481651113.7887402</v>
      </c>
      <c r="V243" s="75">
        <v>4036040592.86274</v>
      </c>
      <c r="W243" s="75">
        <v>4728648181.8786602</v>
      </c>
      <c r="X243" s="75">
        <v>5601757979.2096596</v>
      </c>
      <c r="Y243" s="75">
        <v>6427425990.13416</v>
      </c>
      <c r="Z243" s="75">
        <v>7139061433.1280603</v>
      </c>
      <c r="AA243" s="75">
        <v>7802258245.5215197</v>
      </c>
      <c r="AB243" s="75">
        <v>8571575529.1626701</v>
      </c>
      <c r="AC243" s="75">
        <v>8172271319.9861603</v>
      </c>
      <c r="AD243" s="75">
        <v>7777353237.3978205</v>
      </c>
      <c r="AE243" s="75">
        <v>7385823612.2235003</v>
      </c>
      <c r="AF243" s="75">
        <v>5470001988.3322897</v>
      </c>
      <c r="AG243" s="75">
        <v>3679928754.1623201</v>
      </c>
      <c r="AH243" s="75">
        <v>2171209328.1210799</v>
      </c>
      <c r="AI243" s="75">
        <v>1084507692.73511</v>
      </c>
      <c r="AJ243" s="75">
        <v>442313535.78407699</v>
      </c>
      <c r="AK243" s="75">
        <v>141903609.654688</v>
      </c>
    </row>
    <row r="244" spans="1:37">
      <c r="A244" s="348" t="s">
        <v>16</v>
      </c>
      <c r="J244" s="75" t="s">
        <v>686</v>
      </c>
      <c r="K244" s="75">
        <v>0</v>
      </c>
      <c r="L244" s="75">
        <v>0</v>
      </c>
      <c r="M244" s="75">
        <v>0</v>
      </c>
      <c r="N244" s="75">
        <v>0</v>
      </c>
      <c r="O244" s="75">
        <v>0</v>
      </c>
      <c r="P244" s="75">
        <v>0</v>
      </c>
      <c r="Q244" s="75">
        <v>0</v>
      </c>
      <c r="R244" s="75">
        <v>0</v>
      </c>
      <c r="S244" s="75">
        <v>1632000</v>
      </c>
      <c r="T244" s="75">
        <v>4183990.8686778899</v>
      </c>
      <c r="U244" s="75">
        <v>7715732.8326528901</v>
      </c>
      <c r="V244" s="75">
        <v>9764304.7152997702</v>
      </c>
      <c r="W244" s="75">
        <v>11610846.16667</v>
      </c>
      <c r="X244" s="75">
        <v>11941735.9065434</v>
      </c>
      <c r="Y244" s="75">
        <v>12326399.5151351</v>
      </c>
      <c r="Z244" s="75">
        <v>12424407.9200815</v>
      </c>
      <c r="AA244" s="75">
        <v>14788495.9489499</v>
      </c>
      <c r="AB244" s="75">
        <v>15919201.2956309</v>
      </c>
      <c r="AC244" s="75">
        <v>15238112.532214601</v>
      </c>
      <c r="AD244" s="75">
        <v>14565372.302711399</v>
      </c>
      <c r="AE244" s="75">
        <v>13897848.3068798</v>
      </c>
      <c r="AF244" s="75">
        <v>10563414.104224499</v>
      </c>
      <c r="AG244" s="75">
        <v>7222057.8259937596</v>
      </c>
      <c r="AH244" s="75">
        <v>4185876.5790268802</v>
      </c>
      <c r="AI244" s="75">
        <v>1932213.2223985801</v>
      </c>
      <c r="AJ244" s="75">
        <v>666077.77877974603</v>
      </c>
      <c r="AK244" s="75">
        <v>159989.43666908299</v>
      </c>
    </row>
    <row r="245" spans="1:37">
      <c r="A245" s="348" t="s">
        <v>16</v>
      </c>
      <c r="J245" s="75" t="s">
        <v>687</v>
      </c>
      <c r="K245" s="75">
        <v>718281527.19992602</v>
      </c>
      <c r="L245" s="75">
        <v>845222679.22164798</v>
      </c>
      <c r="M245" s="75">
        <v>967058354.25427103</v>
      </c>
      <c r="N245" s="75">
        <v>1112622382.29217</v>
      </c>
      <c r="O245" s="75">
        <v>1346704955.9602699</v>
      </c>
      <c r="P245" s="75">
        <v>1679401976.4688499</v>
      </c>
      <c r="Q245" s="75">
        <v>2261289940.23563</v>
      </c>
      <c r="R245" s="75">
        <v>2875775308.5437899</v>
      </c>
      <c r="S245" s="75">
        <v>3310892371.3382502</v>
      </c>
      <c r="T245" s="75">
        <v>3649396122.4123302</v>
      </c>
      <c r="U245" s="75">
        <v>4138743877.5921302</v>
      </c>
      <c r="V245" s="75">
        <v>4740718140.83358</v>
      </c>
      <c r="W245" s="75">
        <v>5375513735.9766798</v>
      </c>
      <c r="X245" s="75">
        <v>6056930752.0140896</v>
      </c>
      <c r="Y245" s="75">
        <v>6783708792.4904299</v>
      </c>
      <c r="Z245" s="75">
        <v>7472082483.1575403</v>
      </c>
      <c r="AA245" s="75">
        <v>8244483943.8615904</v>
      </c>
      <c r="AB245" s="75">
        <v>9166697071.6096191</v>
      </c>
      <c r="AC245" s="75">
        <v>8726067270.4225292</v>
      </c>
      <c r="AD245" s="75">
        <v>8290636601.9742699</v>
      </c>
      <c r="AE245" s="75">
        <v>7859544987.8648901</v>
      </c>
      <c r="AF245" s="75">
        <v>5767316755.8013897</v>
      </c>
      <c r="AG245" s="75">
        <v>3851700079.2403302</v>
      </c>
      <c r="AH245" s="75">
        <v>2270785158.4244499</v>
      </c>
      <c r="AI245" s="75">
        <v>1146838157.2948699</v>
      </c>
      <c r="AJ245" s="75">
        <v>481368585.51249599</v>
      </c>
      <c r="AK245" s="75">
        <v>162808775.596387</v>
      </c>
    </row>
    <row r="246" spans="1:37">
      <c r="A246" s="348" t="s">
        <v>16</v>
      </c>
      <c r="J246" s="75" t="s">
        <v>688</v>
      </c>
      <c r="K246" s="75">
        <v>0</v>
      </c>
      <c r="L246" s="75">
        <v>0</v>
      </c>
      <c r="M246" s="75">
        <v>0</v>
      </c>
      <c r="N246" s="75">
        <v>0</v>
      </c>
      <c r="O246" s="75">
        <v>0</v>
      </c>
      <c r="P246" s="75">
        <v>0</v>
      </c>
      <c r="Q246" s="75">
        <v>0</v>
      </c>
      <c r="R246" s="75">
        <v>0</v>
      </c>
      <c r="S246" s="75">
        <v>0</v>
      </c>
      <c r="T246" s="75">
        <v>0</v>
      </c>
      <c r="U246" s="75">
        <v>0</v>
      </c>
      <c r="V246" s="75">
        <v>0</v>
      </c>
      <c r="W246" s="75">
        <v>0</v>
      </c>
      <c r="X246" s="75">
        <v>0</v>
      </c>
      <c r="Y246" s="75">
        <v>0</v>
      </c>
      <c r="Z246" s="75">
        <v>0</v>
      </c>
      <c r="AA246" s="75">
        <v>0</v>
      </c>
      <c r="AB246" s="75">
        <v>0</v>
      </c>
      <c r="AC246" s="75">
        <v>0</v>
      </c>
      <c r="AD246" s="75">
        <v>0</v>
      </c>
      <c r="AE246" s="75">
        <v>0</v>
      </c>
      <c r="AF246" s="75">
        <v>0</v>
      </c>
      <c r="AG246" s="75">
        <v>0</v>
      </c>
      <c r="AH246" s="75">
        <v>0</v>
      </c>
      <c r="AI246" s="75">
        <v>0</v>
      </c>
      <c r="AJ246" s="75">
        <v>0</v>
      </c>
      <c r="AK246" s="75">
        <v>0</v>
      </c>
    </row>
    <row r="247" spans="1:37">
      <c r="A247" s="348" t="s">
        <v>16</v>
      </c>
      <c r="J247" s="75" t="s">
        <v>689</v>
      </c>
      <c r="K247" s="75">
        <v>1837247774.6393199</v>
      </c>
      <c r="L247" s="75">
        <v>2029006592.7708001</v>
      </c>
      <c r="M247" s="75">
        <v>2188300730.3119702</v>
      </c>
      <c r="N247" s="75">
        <v>2334537217.0045099</v>
      </c>
      <c r="O247" s="75">
        <v>2606582753.9672999</v>
      </c>
      <c r="P247" s="75">
        <v>2955614669.58005</v>
      </c>
      <c r="Q247" s="75">
        <v>3330631034.1451502</v>
      </c>
      <c r="R247" s="75">
        <v>3773106830.7731099</v>
      </c>
      <c r="S247" s="75">
        <v>4009331186.4348698</v>
      </c>
      <c r="T247" s="75">
        <v>4125607299.1135402</v>
      </c>
      <c r="U247" s="75">
        <v>4314153571.6862297</v>
      </c>
      <c r="V247" s="75">
        <v>4508924390.9787798</v>
      </c>
      <c r="W247" s="75">
        <v>4788655061.21103</v>
      </c>
      <c r="X247" s="75">
        <v>4511244978.9678297</v>
      </c>
      <c r="Y247" s="75">
        <v>4237274430.5552301</v>
      </c>
      <c r="Z247" s="75">
        <v>3966472123.3180199</v>
      </c>
      <c r="AA247" s="75">
        <v>3698874057.96031</v>
      </c>
      <c r="AB247" s="75">
        <v>3434795788.4808002</v>
      </c>
      <c r="AC247" s="75">
        <v>3174801524.6414199</v>
      </c>
      <c r="AD247" s="75">
        <v>2919669060.9611101</v>
      </c>
      <c r="AE247" s="75">
        <v>2670350077.6321402</v>
      </c>
      <c r="AF247" s="75">
        <v>1550589859.2809601</v>
      </c>
      <c r="AG247" s="75">
        <v>735639844.54326606</v>
      </c>
      <c r="AH247" s="75">
        <v>269606423.88368601</v>
      </c>
      <c r="AI247" s="75">
        <v>71988171.701932296</v>
      </c>
      <c r="AJ247" s="75">
        <v>13165291.3665761</v>
      </c>
      <c r="AK247" s="75">
        <v>1544629.00903987</v>
      </c>
    </row>
  </sheetData>
  <mergeCells count="1">
    <mergeCell ref="B2:C2"/>
  </mergeCells>
  <phoneticPr fontId="167" type="noConversion"/>
  <pageMargins left="0.7" right="0.7" top="0.75" bottom="0.75" header="0.3" footer="0.3"/>
  <ignoredErrors>
    <ignoredError sqref="D139" formula="1"/>
  </ignoredErrors>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A6F50F-FFF8-4D3D-A0BC-4D1F7545F0A7}">
  <sheetPr codeName="Sheet25">
    <tabColor theme="9" tint="-0.249977111117893"/>
  </sheetPr>
  <dimension ref="A1:BL282"/>
  <sheetViews>
    <sheetView topLeftCell="A207" zoomScale="90" zoomScaleNormal="90" workbookViewId="0">
      <selection activeCell="F150" sqref="F150"/>
    </sheetView>
    <sheetView workbookViewId="1"/>
  </sheetViews>
  <sheetFormatPr defaultColWidth="9.140625" defaultRowHeight="15"/>
  <cols>
    <col min="1" max="1" width="9" style="185" customWidth="1"/>
    <col min="2" max="2" width="11.140625" style="185" customWidth="1"/>
    <col min="3" max="3" width="42.85546875" style="185" customWidth="1"/>
    <col min="4" max="4" width="15.85546875" style="185" customWidth="1"/>
    <col min="5" max="5" width="10.140625" style="185" customWidth="1"/>
    <col min="6" max="7" width="7.42578125" style="185" customWidth="1"/>
    <col min="8" max="8" width="8.42578125" style="185" bestFit="1" customWidth="1"/>
    <col min="9" max="9" width="8.85546875" style="185" bestFit="1" customWidth="1"/>
    <col min="10" max="11" width="11.140625" style="185" bestFit="1" customWidth="1"/>
    <col min="12" max="12" width="9.140625" style="40" bestFit="1" customWidth="1"/>
    <col min="13" max="13" width="7.85546875" style="185" customWidth="1"/>
    <col min="14" max="14" width="7.7109375" style="185" customWidth="1"/>
    <col min="15" max="15" width="8.42578125" style="185" bestFit="1" customWidth="1"/>
    <col min="16" max="17" width="8.42578125" style="185" customWidth="1"/>
    <col min="18" max="18" width="7.42578125" style="185" customWidth="1"/>
    <col min="19" max="19" width="7.85546875" style="185" customWidth="1"/>
    <col min="20" max="20" width="9.42578125" style="185" customWidth="1"/>
    <col min="21" max="21" width="8.140625" style="185" customWidth="1"/>
    <col min="22" max="22" width="9.85546875" style="185" customWidth="1"/>
    <col min="23" max="23" width="9.42578125" style="185" customWidth="1"/>
    <col min="24" max="24" width="9.7109375" style="185" customWidth="1"/>
    <col min="25" max="42" width="7.7109375" style="185" customWidth="1"/>
    <col min="43" max="53" width="9.140625" style="185"/>
    <col min="54" max="54" width="19.140625" style="185" customWidth="1"/>
    <col min="55" max="55" width="18.85546875" style="185" customWidth="1"/>
    <col min="56" max="16384" width="9.140625" style="185"/>
  </cols>
  <sheetData>
    <row r="1" spans="1:64">
      <c r="A1" s="185" t="str">
        <f>IF(TRA,"TS DATA","")</f>
        <v>TS DATA</v>
      </c>
      <c r="B1" s="185" t="s">
        <v>17</v>
      </c>
      <c r="D1" s="185">
        <f>DriversGams!C163</f>
        <v>-1</v>
      </c>
      <c r="L1" s="185"/>
      <c r="N1" s="40"/>
      <c r="BB1" s="192" t="s">
        <v>223</v>
      </c>
      <c r="BC1" s="192" t="s">
        <v>539</v>
      </c>
      <c r="BD1" s="192" t="s">
        <v>197</v>
      </c>
      <c r="BE1" s="192" t="s">
        <v>543</v>
      </c>
      <c r="BF1" s="192"/>
      <c r="BG1" s="192"/>
      <c r="BH1" s="192"/>
      <c r="BI1" s="286" t="s">
        <v>620</v>
      </c>
      <c r="BJ1" s="286"/>
      <c r="BK1" s="286"/>
      <c r="BL1" s="192"/>
    </row>
    <row r="2" spans="1:64" ht="15.75" thickBot="1">
      <c r="A2" s="185" t="s">
        <v>16</v>
      </c>
      <c r="B2" s="349" t="s">
        <v>296</v>
      </c>
      <c r="C2" s="349"/>
      <c r="L2" s="185"/>
      <c r="N2" s="138"/>
      <c r="O2" s="138"/>
      <c r="R2" s="138"/>
      <c r="T2" s="138"/>
      <c r="U2" s="33"/>
      <c r="V2" s="33"/>
      <c r="W2" s="33"/>
      <c r="X2" s="33"/>
      <c r="AA2" s="33"/>
      <c r="AC2" s="33"/>
      <c r="AD2" s="33"/>
      <c r="AE2" s="33"/>
      <c r="AF2" s="33"/>
      <c r="AG2" s="33"/>
      <c r="AH2" s="33"/>
      <c r="AI2" s="33"/>
      <c r="AJ2" s="33"/>
      <c r="AK2" s="33"/>
      <c r="AL2" s="33"/>
      <c r="AM2" s="33"/>
      <c r="AN2" s="33"/>
      <c r="AO2" s="33"/>
      <c r="AP2" s="33"/>
      <c r="AQ2" s="33"/>
      <c r="AR2" s="33"/>
      <c r="BB2" s="192"/>
      <c r="BC2" s="192"/>
      <c r="BD2" s="192"/>
      <c r="BE2" s="192" t="s">
        <v>540</v>
      </c>
      <c r="BF2" s="192" t="s">
        <v>540</v>
      </c>
      <c r="BG2" s="192" t="s">
        <v>540</v>
      </c>
      <c r="BH2" s="192" t="s">
        <v>545</v>
      </c>
      <c r="BI2" s="192" t="s">
        <v>617</v>
      </c>
      <c r="BJ2" s="192" t="s">
        <v>618</v>
      </c>
      <c r="BK2" s="192" t="s">
        <v>619</v>
      </c>
      <c r="BL2" s="192"/>
    </row>
    <row r="3" spans="1:64">
      <c r="A3" s="185" t="s">
        <v>16</v>
      </c>
      <c r="B3" s="228"/>
      <c r="C3" s="192" t="str">
        <f>INDEX($BC$4:$BC$7,MATCH($D$3,$BB$4:$BB$7,0))</f>
        <v>NDC-PAMS-reference</v>
      </c>
      <c r="D3" s="196">
        <f>DriversGams!C163</f>
        <v>-1</v>
      </c>
      <c r="L3" s="185"/>
      <c r="N3" s="39"/>
      <c r="BB3" s="192"/>
      <c r="BC3" s="192"/>
      <c r="BD3" s="192"/>
      <c r="BE3" s="192" t="s">
        <v>541</v>
      </c>
      <c r="BF3" s="192" t="s">
        <v>542</v>
      </c>
      <c r="BG3" s="192" t="s">
        <v>646</v>
      </c>
      <c r="BH3" s="192"/>
      <c r="BI3" s="192"/>
      <c r="BJ3" s="192"/>
      <c r="BK3" s="192"/>
      <c r="BL3" s="192"/>
    </row>
    <row r="4" spans="1:64">
      <c r="A4" s="185" t="s">
        <v>16</v>
      </c>
      <c r="C4" s="5" t="s">
        <v>198</v>
      </c>
      <c r="D4" s="195">
        <f>INDEX($BD$4:$BD$7,MATCH($D$3,$BB$4:$BB$7,0))</f>
        <v>0</v>
      </c>
      <c r="E4" s="185">
        <v>2012</v>
      </c>
      <c r="F4" s="185">
        <v>2015</v>
      </c>
      <c r="G4" s="185">
        <v>2017</v>
      </c>
      <c r="H4" s="188">
        <v>2019</v>
      </c>
      <c r="I4" s="185">
        <v>2020</v>
      </c>
      <c r="J4" s="188">
        <v>2021</v>
      </c>
      <c r="K4" s="185">
        <v>2030</v>
      </c>
      <c r="L4" s="185">
        <v>2040</v>
      </c>
      <c r="M4" s="121">
        <v>2050</v>
      </c>
      <c r="N4" s="237"/>
      <c r="W4" s="237"/>
      <c r="X4" s="237"/>
      <c r="AA4" s="237"/>
      <c r="AC4" s="237"/>
      <c r="AD4" s="237"/>
      <c r="AE4" s="237"/>
      <c r="AF4" s="237"/>
      <c r="AG4" s="237"/>
      <c r="AH4" s="237"/>
      <c r="AI4" s="237"/>
      <c r="AJ4" s="237"/>
      <c r="AK4" s="237"/>
      <c r="AL4" s="237"/>
      <c r="AM4" s="237"/>
      <c r="AN4" s="237"/>
      <c r="AO4" s="237"/>
      <c r="AP4" s="237"/>
      <c r="AQ4" s="237"/>
      <c r="AR4" s="237"/>
      <c r="AS4" s="237"/>
      <c r="BB4" s="192">
        <v>-1</v>
      </c>
      <c r="BC4" s="192" t="s">
        <v>623</v>
      </c>
      <c r="BD4" s="192">
        <v>0</v>
      </c>
      <c r="BE4" s="183">
        <v>0.97499999999999998</v>
      </c>
      <c r="BF4" s="184">
        <v>0.95</v>
      </c>
      <c r="BG4" s="184">
        <v>0.95</v>
      </c>
      <c r="BH4" s="201">
        <v>1</v>
      </c>
      <c r="BI4" s="184">
        <v>0</v>
      </c>
      <c r="BJ4" s="181">
        <v>0</v>
      </c>
      <c r="BK4" s="184">
        <v>0</v>
      </c>
      <c r="BL4" s="192"/>
    </row>
    <row r="5" spans="1:64" ht="15.75" thickBot="1">
      <c r="A5" s="185" t="s">
        <v>16</v>
      </c>
      <c r="B5" s="227"/>
      <c r="C5" s="227"/>
      <c r="L5" s="185"/>
      <c r="M5" s="121"/>
      <c r="BB5" s="192">
        <v>1</v>
      </c>
      <c r="BC5" s="192" t="s">
        <v>624</v>
      </c>
      <c r="BD5" s="192">
        <v>1</v>
      </c>
      <c r="BE5" s="183">
        <v>0.97499999999999998</v>
      </c>
      <c r="BF5" s="184">
        <v>0.95</v>
      </c>
      <c r="BG5" s="184">
        <v>0.95</v>
      </c>
      <c r="BH5" s="201">
        <v>1</v>
      </c>
      <c r="BI5" s="184">
        <v>0</v>
      </c>
      <c r="BJ5" s="181">
        <v>0</v>
      </c>
      <c r="BK5" s="184">
        <v>0</v>
      </c>
      <c r="BL5" s="192"/>
    </row>
    <row r="6" spans="1:64">
      <c r="A6" s="185" t="s">
        <v>16</v>
      </c>
      <c r="E6" s="186"/>
      <c r="F6" s="186"/>
      <c r="G6" s="186"/>
      <c r="I6" s="186"/>
      <c r="K6" s="186"/>
      <c r="L6" s="186"/>
      <c r="M6" s="146"/>
      <c r="N6" s="238"/>
      <c r="R6" s="238"/>
      <c r="T6" s="238"/>
      <c r="U6" s="238"/>
      <c r="V6" s="238"/>
      <c r="W6" s="238"/>
      <c r="X6" s="238"/>
      <c r="AA6" s="238"/>
      <c r="AC6" s="238"/>
      <c r="AD6" s="238"/>
      <c r="AE6" s="238"/>
      <c r="AF6" s="238"/>
      <c r="AG6" s="238"/>
      <c r="AH6" s="238"/>
      <c r="AI6" s="238"/>
      <c r="AJ6" s="238"/>
      <c r="AK6" s="238"/>
      <c r="AL6" s="238"/>
      <c r="AM6" s="238"/>
      <c r="AN6" s="238"/>
      <c r="AO6" s="238"/>
      <c r="AP6" s="238"/>
      <c r="AQ6" s="238"/>
      <c r="AR6" s="238"/>
      <c r="AS6" s="238"/>
      <c r="AT6" s="238"/>
      <c r="AU6" s="238"/>
      <c r="BB6" s="192">
        <v>2</v>
      </c>
      <c r="BC6" s="192" t="s">
        <v>615</v>
      </c>
      <c r="BD6" s="192">
        <v>1</v>
      </c>
      <c r="BE6" s="183">
        <v>0.97499999999999998</v>
      </c>
      <c r="BF6" s="184">
        <v>0.95</v>
      </c>
      <c r="BG6" s="184">
        <v>0.95</v>
      </c>
      <c r="BH6" s="202">
        <v>1</v>
      </c>
      <c r="BI6" s="184">
        <v>0</v>
      </c>
      <c r="BJ6" s="252">
        <v>0</v>
      </c>
      <c r="BK6" s="184">
        <v>0</v>
      </c>
      <c r="BL6" s="192"/>
    </row>
    <row r="7" spans="1:64">
      <c r="A7" s="185" t="s">
        <v>16</v>
      </c>
      <c r="L7" s="185"/>
      <c r="N7" s="40"/>
      <c r="BB7" s="192">
        <v>3</v>
      </c>
      <c r="BC7" s="192" t="s">
        <v>625</v>
      </c>
      <c r="BD7" s="192">
        <v>1</v>
      </c>
      <c r="BE7" s="183">
        <v>0.97499999999999998</v>
      </c>
      <c r="BF7" s="184">
        <v>0.95</v>
      </c>
      <c r="BG7" s="184">
        <v>0.95</v>
      </c>
      <c r="BH7" s="202">
        <v>1</v>
      </c>
      <c r="BI7" s="183">
        <v>0.05</v>
      </c>
      <c r="BJ7" s="183">
        <v>2.5000000000000001E-2</v>
      </c>
      <c r="BK7" s="183">
        <v>0.2</v>
      </c>
      <c r="BL7" s="192"/>
    </row>
    <row r="8" spans="1:64">
      <c r="A8" s="185" t="s">
        <v>16</v>
      </c>
      <c r="L8" s="185"/>
      <c r="N8" s="40"/>
    </row>
    <row r="9" spans="1:64">
      <c r="A9" s="185" t="s">
        <v>16</v>
      </c>
      <c r="L9" s="185"/>
      <c r="N9" s="40"/>
    </row>
    <row r="10" spans="1:64">
      <c r="A10" s="185" t="s">
        <v>16</v>
      </c>
      <c r="B10" s="228"/>
      <c r="C10" s="228"/>
      <c r="L10" s="185"/>
      <c r="N10" s="40"/>
      <c r="O10" s="238"/>
    </row>
    <row r="11" spans="1:64" ht="15.75" thickBot="1">
      <c r="A11" s="185" t="s">
        <v>16</v>
      </c>
      <c r="B11" s="227" t="s">
        <v>56</v>
      </c>
      <c r="E11" s="185">
        <f>MATCH(E12,Drivers!$C$5:$AG$5,0)</f>
        <v>1</v>
      </c>
      <c r="F11" s="185">
        <f>MATCH(F12,Drivers!$C$5:$AG$5,0)</f>
        <v>4</v>
      </c>
      <c r="G11" s="185">
        <f>MATCH(G12,Drivers!$C$5:$AG$5,0)</f>
        <v>6</v>
      </c>
      <c r="H11" s="281">
        <f>MATCH(H12,Drivers!$C$5:$AG$5,0)</f>
        <v>8</v>
      </c>
      <c r="I11" s="281">
        <f>MATCH(I12,Drivers!$C$5:$AG$5,0)</f>
        <v>9</v>
      </c>
      <c r="J11" s="281">
        <f>MATCH(J12,Drivers!$C$5:$AG$5,0)</f>
        <v>10</v>
      </c>
      <c r="K11" s="185">
        <f>MATCH(K12,Drivers!$C$5:$AG$5,0)</f>
        <v>19</v>
      </c>
      <c r="L11" s="185">
        <f>MATCH(L12,Drivers!$C$5:$AG$5,0)</f>
        <v>29</v>
      </c>
      <c r="M11" s="185">
        <f>MATCH(M12,Drivers!$C$5:$AG$5,0)</f>
        <v>31</v>
      </c>
      <c r="N11" s="40"/>
      <c r="O11" s="5" t="s">
        <v>41</v>
      </c>
      <c r="X11" s="5" t="s">
        <v>197</v>
      </c>
    </row>
    <row r="12" spans="1:64" ht="15.75" thickBot="1">
      <c r="A12" s="185" t="s">
        <v>16</v>
      </c>
      <c r="D12" s="227"/>
      <c r="E12" s="7">
        <f>E4</f>
        <v>2012</v>
      </c>
      <c r="F12" s="7">
        <f t="shared" ref="F12:M12" si="0">F4</f>
        <v>2015</v>
      </c>
      <c r="G12" s="7">
        <f t="shared" si="0"/>
        <v>2017</v>
      </c>
      <c r="H12" s="7">
        <f t="shared" si="0"/>
        <v>2019</v>
      </c>
      <c r="I12" s="7">
        <f t="shared" si="0"/>
        <v>2020</v>
      </c>
      <c r="J12" s="7">
        <f t="shared" si="0"/>
        <v>2021</v>
      </c>
      <c r="K12" s="7">
        <f t="shared" si="0"/>
        <v>2030</v>
      </c>
      <c r="L12" s="7">
        <f t="shared" si="0"/>
        <v>2040</v>
      </c>
      <c r="M12" s="7">
        <f t="shared" si="0"/>
        <v>2050</v>
      </c>
      <c r="N12" s="40"/>
      <c r="O12" s="7">
        <f>F12</f>
        <v>2015</v>
      </c>
      <c r="P12" s="7">
        <f t="shared" ref="P12:S15" si="1">G12</f>
        <v>2017</v>
      </c>
      <c r="Q12" s="7">
        <f t="shared" si="1"/>
        <v>2019</v>
      </c>
      <c r="R12" s="7">
        <f t="shared" si="1"/>
        <v>2020</v>
      </c>
      <c r="S12" s="7">
        <f t="shared" si="1"/>
        <v>2021</v>
      </c>
      <c r="T12" s="7">
        <v>2030</v>
      </c>
      <c r="U12" s="7">
        <v>2040</v>
      </c>
      <c r="V12" s="7">
        <v>2050</v>
      </c>
      <c r="X12" s="7">
        <f>O12</f>
        <v>2015</v>
      </c>
      <c r="Y12" s="7">
        <f t="shared" ref="Y12:AD12" si="2">P12</f>
        <v>2017</v>
      </c>
      <c r="Z12" s="7">
        <f t="shared" si="2"/>
        <v>2019</v>
      </c>
      <c r="AA12" s="7">
        <f t="shared" si="2"/>
        <v>2020</v>
      </c>
      <c r="AB12" s="7">
        <f t="shared" si="2"/>
        <v>2021</v>
      </c>
      <c r="AC12" s="7">
        <f>T12</f>
        <v>2030</v>
      </c>
      <c r="AD12" s="7">
        <f t="shared" si="2"/>
        <v>2040</v>
      </c>
      <c r="AE12" s="7">
        <f>V12</f>
        <v>2050</v>
      </c>
    </row>
    <row r="13" spans="1:64">
      <c r="A13" s="185" t="s">
        <v>16</v>
      </c>
      <c r="C13" s="185" t="s">
        <v>49</v>
      </c>
      <c r="D13" s="185" t="s">
        <v>47</v>
      </c>
      <c r="E13" s="186" cm="1">
        <f t="array" ref="E13">INDEX(Drivers!$C$31:$AG$33,1,E$11)</f>
        <v>26.162716441035041</v>
      </c>
      <c r="F13" s="186" cm="1">
        <f t="array" ref="F13">INDEX(Drivers!$C$31:$AG$33,1,F$11)</f>
        <v>25.676476665132281</v>
      </c>
      <c r="G13" s="186" cm="1">
        <f t="array" ref="G13">INDEX(Drivers!$C$31:$AG$33,1,G$11)</f>
        <v>25.755361891142741</v>
      </c>
      <c r="H13" s="186" cm="1">
        <f t="array" ref="H13">INDEX(Drivers!$C$31:$AG$33,1,H$11)</f>
        <v>25.946710085536886</v>
      </c>
      <c r="I13" s="186" cm="1">
        <f t="array" ref="I13">INDEX(Drivers!$C$31:$AG$33,1,I$11)</f>
        <v>26.998265626975765</v>
      </c>
      <c r="J13" s="186" cm="1">
        <f t="array" ref="J13">INDEX(Drivers!$C$31:$AG$33,1,J$11)</f>
        <v>29.287129613802783</v>
      </c>
      <c r="K13" s="186" cm="1">
        <f t="array" ref="K13">INDEX(Drivers!$C$31:$AG$33,1,K$11)</f>
        <v>27.268179044262631</v>
      </c>
      <c r="L13" s="186" cm="1">
        <f t="array" ref="L13">INDEX(Drivers!$C$31:$AG$33,1,L$11)</f>
        <v>24.363641895847387</v>
      </c>
      <c r="M13" s="186" cm="1">
        <f t="array" ref="M13">INDEX(Drivers!$C$31:$AG$33,1,M$11)</f>
        <v>20.711110331567543</v>
      </c>
      <c r="N13" s="40"/>
      <c r="O13" s="186">
        <f>F13</f>
        <v>25.676476665132281</v>
      </c>
      <c r="P13" s="186">
        <f t="shared" si="1"/>
        <v>25.755361891142741</v>
      </c>
      <c r="Q13" s="186">
        <f t="shared" si="1"/>
        <v>25.946710085536886</v>
      </c>
      <c r="R13" s="186">
        <f t="shared" si="1"/>
        <v>26.998265626975765</v>
      </c>
      <c r="S13" s="186">
        <f t="shared" si="1"/>
        <v>29.287129613802783</v>
      </c>
      <c r="T13" s="186">
        <f t="shared" ref="T13:V15" si="3">K13</f>
        <v>27.268179044262631</v>
      </c>
      <c r="U13" s="186">
        <f t="shared" si="3"/>
        <v>24.363641895847387</v>
      </c>
      <c r="V13" s="186">
        <f t="shared" si="3"/>
        <v>20.711110331567543</v>
      </c>
      <c r="X13" s="186">
        <f>F13</f>
        <v>25.676476665132281</v>
      </c>
      <c r="Y13" s="186">
        <f t="shared" ref="Y13:AE15" si="4">G13</f>
        <v>25.755361891142741</v>
      </c>
      <c r="Z13" s="186">
        <f t="shared" si="4"/>
        <v>25.946710085536886</v>
      </c>
      <c r="AA13" s="186">
        <f t="shared" si="4"/>
        <v>26.998265626975765</v>
      </c>
      <c r="AB13" s="186">
        <f t="shared" si="4"/>
        <v>29.287129613802783</v>
      </c>
      <c r="AC13" s="7">
        <f>T13</f>
        <v>27.268179044262631</v>
      </c>
      <c r="AD13" s="186">
        <f t="shared" si="4"/>
        <v>24.363641895847387</v>
      </c>
      <c r="AE13" s="186">
        <f t="shared" si="4"/>
        <v>20.711110331567543</v>
      </c>
    </row>
    <row r="14" spans="1:64">
      <c r="A14" s="185" t="s">
        <v>16</v>
      </c>
      <c r="C14" s="185" t="s">
        <v>51</v>
      </c>
      <c r="D14" s="185" t="s">
        <v>47</v>
      </c>
      <c r="E14" s="186" cm="1">
        <f t="array" ref="E14">INDEX(Drivers!$C$31:$AG$33,2,E$11)</f>
        <v>15.697629864621025</v>
      </c>
      <c r="F14" s="186" cm="1">
        <f t="array" ref="F14">INDEX(Drivers!$C$31:$AG$33,2,F$11)</f>
        <v>16.65350655721161</v>
      </c>
      <c r="G14" s="186" cm="1">
        <f t="array" ref="G14">INDEX(Drivers!$C$31:$AG$33,2,G$11)</f>
        <v>17.422744808714206</v>
      </c>
      <c r="H14" s="186" cm="1">
        <f t="array" ref="H14">INDEX(Drivers!$C$31:$AG$33,2,H$11)</f>
        <v>18.376375848815535</v>
      </c>
      <c r="I14" s="186" cm="1">
        <f t="array" ref="I14">INDEX(Drivers!$C$31:$AG$33,2,I$11)</f>
        <v>19.311259441517389</v>
      </c>
      <c r="J14" s="186" cm="1">
        <f t="array" ref="J14">INDEX(Drivers!$C$31:$AG$33,2,J$11)</f>
        <v>18.474508994341168</v>
      </c>
      <c r="K14" s="186" cm="1">
        <f t="array" ref="K14">INDEX(Drivers!$C$31:$AG$33,2,K$11)</f>
        <v>21.60781205322996</v>
      </c>
      <c r="L14" s="186" cm="1">
        <f t="array" ref="L14">INDEX(Drivers!$C$31:$AG$33,2,L$11)</f>
        <v>24.637054970594811</v>
      </c>
      <c r="M14" s="186" cm="1">
        <f t="array" ref="M14">INDEX(Drivers!$C$31:$AG$33,2,M$11)</f>
        <v>27.181128980417853</v>
      </c>
      <c r="N14" s="40"/>
      <c r="O14" s="186">
        <f t="shared" ref="O14:O15" si="5">F14</f>
        <v>16.65350655721161</v>
      </c>
      <c r="P14" s="186">
        <f t="shared" si="1"/>
        <v>17.422744808714206</v>
      </c>
      <c r="Q14" s="186">
        <f t="shared" si="1"/>
        <v>18.376375848815535</v>
      </c>
      <c r="R14" s="186">
        <f t="shared" si="1"/>
        <v>19.311259441517389</v>
      </c>
      <c r="S14" s="186">
        <f t="shared" si="1"/>
        <v>18.474508994341168</v>
      </c>
      <c r="T14" s="186">
        <f t="shared" si="3"/>
        <v>21.60781205322996</v>
      </c>
      <c r="U14" s="186">
        <f t="shared" si="3"/>
        <v>24.637054970594811</v>
      </c>
      <c r="V14" s="186">
        <f t="shared" si="3"/>
        <v>27.181128980417853</v>
      </c>
      <c r="X14" s="186">
        <f t="shared" ref="X14:X15" si="6">F14</f>
        <v>16.65350655721161</v>
      </c>
      <c r="Y14" s="186">
        <f t="shared" si="4"/>
        <v>17.422744808714206</v>
      </c>
      <c r="Z14" s="186">
        <f t="shared" si="4"/>
        <v>18.376375848815535</v>
      </c>
      <c r="AA14" s="186">
        <f t="shared" si="4"/>
        <v>19.311259441517389</v>
      </c>
      <c r="AB14" s="186">
        <f t="shared" si="4"/>
        <v>18.474508994341168</v>
      </c>
      <c r="AC14" s="7">
        <f>T14</f>
        <v>21.60781205322996</v>
      </c>
      <c r="AD14" s="186">
        <f t="shared" si="4"/>
        <v>24.637054970594811</v>
      </c>
      <c r="AE14" s="186">
        <f t="shared" si="4"/>
        <v>27.181128980417853</v>
      </c>
    </row>
    <row r="15" spans="1:64">
      <c r="A15" s="185" t="s">
        <v>16</v>
      </c>
      <c r="C15" s="185" t="s">
        <v>50</v>
      </c>
      <c r="D15" s="185" t="s">
        <v>47</v>
      </c>
      <c r="E15" s="186" cm="1">
        <f t="array" ref="E15">INDEX(Drivers!$C$31:$AG$33,3,E$11)</f>
        <v>10.465086576414015</v>
      </c>
      <c r="F15" s="186" cm="1">
        <f t="array" ref="F15">INDEX(Drivers!$C$31:$AG$33,3,F$11)</f>
        <v>12.420508234977223</v>
      </c>
      <c r="G15" s="186" cm="1">
        <f t="array" ref="G15">INDEX(Drivers!$C$31:$AG$33,3,G$11)</f>
        <v>13.343841341791148</v>
      </c>
      <c r="H15" s="186" cm="1">
        <f t="array" ref="H15">INDEX(Drivers!$C$31:$AG$33,3,H$11)</f>
        <v>14.041748987467024</v>
      </c>
      <c r="I15" s="186" cm="1">
        <f t="array" ref="I15">INDEX(Drivers!$C$31:$AG$33,3,I$11)</f>
        <v>12.021367799432369</v>
      </c>
      <c r="J15" s="186" cm="1">
        <f t="array" ref="J15">INDEX(Drivers!$C$31:$AG$33,3,J$11)</f>
        <v>12.336235380343002</v>
      </c>
      <c r="K15" s="186" cm="1">
        <f t="array" ref="K15">INDEX(Drivers!$C$31:$AG$33,3,K$11)</f>
        <v>17.164799763201472</v>
      </c>
      <c r="L15" s="186" cm="1">
        <f t="array" ref="L15">INDEX(Drivers!$C$31:$AG$33,3,L$11)</f>
        <v>22.424914126799209</v>
      </c>
      <c r="M15" s="186" cm="1">
        <f t="array" ref="M15">INDEX(Drivers!$C$31:$AG$33,3,M$11)</f>
        <v>27.625669642404802</v>
      </c>
      <c r="N15" s="40"/>
      <c r="O15" s="186">
        <f t="shared" si="5"/>
        <v>12.420508234977223</v>
      </c>
      <c r="P15" s="186">
        <f t="shared" si="1"/>
        <v>13.343841341791148</v>
      </c>
      <c r="Q15" s="186">
        <f t="shared" si="1"/>
        <v>14.041748987467024</v>
      </c>
      <c r="R15" s="186">
        <f t="shared" si="1"/>
        <v>12.021367799432369</v>
      </c>
      <c r="S15" s="186">
        <f t="shared" si="1"/>
        <v>12.336235380343002</v>
      </c>
      <c r="T15" s="186">
        <f t="shared" si="3"/>
        <v>17.164799763201472</v>
      </c>
      <c r="U15" s="186">
        <f t="shared" si="3"/>
        <v>22.424914126799209</v>
      </c>
      <c r="V15" s="186">
        <f t="shared" si="3"/>
        <v>27.625669642404802</v>
      </c>
      <c r="X15" s="186">
        <f t="shared" si="6"/>
        <v>12.420508234977223</v>
      </c>
      <c r="Y15" s="186">
        <f t="shared" si="4"/>
        <v>13.343841341791148</v>
      </c>
      <c r="Z15" s="186">
        <f t="shared" si="4"/>
        <v>14.041748987467024</v>
      </c>
      <c r="AA15" s="186">
        <f t="shared" si="4"/>
        <v>12.021367799432369</v>
      </c>
      <c r="AB15" s="186">
        <f t="shared" si="4"/>
        <v>12.336235380343002</v>
      </c>
      <c r="AC15" s="7">
        <f>T15</f>
        <v>17.164799763201472</v>
      </c>
      <c r="AD15" s="186">
        <f t="shared" si="4"/>
        <v>22.424914126799209</v>
      </c>
      <c r="AE15" s="186">
        <f t="shared" si="4"/>
        <v>27.625669642404802</v>
      </c>
      <c r="BE15" s="30"/>
    </row>
    <row r="16" spans="1:64">
      <c r="A16" s="185" t="s">
        <v>16</v>
      </c>
      <c r="E16" s="3">
        <f t="shared" ref="E16:K16" si="7">SUM(E13:E15)</f>
        <v>52.325432882070082</v>
      </c>
      <c r="F16" s="3">
        <f t="shared" si="7"/>
        <v>54.750491457321118</v>
      </c>
      <c r="G16" s="3">
        <f t="shared" si="7"/>
        <v>56.521948041648095</v>
      </c>
      <c r="H16" s="3">
        <f t="shared" si="7"/>
        <v>58.364834921819444</v>
      </c>
      <c r="I16" s="3">
        <f t="shared" si="7"/>
        <v>58.330892867925527</v>
      </c>
      <c r="J16" s="3">
        <f t="shared" si="7"/>
        <v>60.097873988486953</v>
      </c>
      <c r="K16" s="3">
        <f t="shared" si="7"/>
        <v>66.040790860694059</v>
      </c>
      <c r="L16" s="3">
        <f>SUM(L13:L15)</f>
        <v>71.425610993241406</v>
      </c>
      <c r="M16" s="3">
        <f>SUM(M13:M15)</f>
        <v>75.517908954390194</v>
      </c>
      <c r="N16" s="40"/>
      <c r="O16" s="3">
        <f>SUM(O13:O15)</f>
        <v>54.750491457321118</v>
      </c>
      <c r="P16" s="3">
        <f t="shared" ref="P16:V16" si="8">SUM(P13:P15)</f>
        <v>56.521948041648095</v>
      </c>
      <c r="Q16" s="3">
        <f t="shared" si="8"/>
        <v>58.364834921819444</v>
      </c>
      <c r="R16" s="3">
        <f t="shared" si="8"/>
        <v>58.330892867925527</v>
      </c>
      <c r="S16" s="3">
        <f t="shared" si="8"/>
        <v>60.097873988486953</v>
      </c>
      <c r="T16" s="3">
        <f t="shared" si="8"/>
        <v>66.040790860694059</v>
      </c>
      <c r="U16" s="3">
        <f t="shared" si="8"/>
        <v>71.425610993241406</v>
      </c>
      <c r="V16" s="3">
        <f t="shared" si="8"/>
        <v>75.517908954390194</v>
      </c>
      <c r="X16" s="47">
        <f>SUM(X13:X15)</f>
        <v>54.750491457321118</v>
      </c>
      <c r="Y16" s="47">
        <f t="shared" ref="Y16:AE16" si="9">SUM(Y13:Y15)</f>
        <v>56.521948041648095</v>
      </c>
      <c r="Z16" s="47">
        <f t="shared" si="9"/>
        <v>58.364834921819444</v>
      </c>
      <c r="AA16" s="47">
        <f t="shared" si="9"/>
        <v>58.330892867925527</v>
      </c>
      <c r="AB16" s="47">
        <f t="shared" si="9"/>
        <v>60.097873988486953</v>
      </c>
      <c r="AC16" s="7">
        <f>T16</f>
        <v>66.040790860694059</v>
      </c>
      <c r="AD16" s="47">
        <f t="shared" si="9"/>
        <v>71.425610993241406</v>
      </c>
      <c r="AE16" s="47">
        <f t="shared" si="9"/>
        <v>75.517908954390194</v>
      </c>
      <c r="BE16" s="30"/>
    </row>
    <row r="17" spans="1:57">
      <c r="A17" s="185" t="s">
        <v>16</v>
      </c>
      <c r="B17" s="228"/>
      <c r="L17" s="185"/>
      <c r="N17" s="40"/>
      <c r="BE17" s="30"/>
    </row>
    <row r="18" spans="1:57" ht="15.75" thickBot="1">
      <c r="A18" s="185" t="s">
        <v>16</v>
      </c>
      <c r="B18" s="28"/>
      <c r="C18" s="227" t="s">
        <v>58</v>
      </c>
      <c r="D18" s="227"/>
      <c r="E18" s="7">
        <v>2012</v>
      </c>
      <c r="F18" s="7">
        <v>2015</v>
      </c>
      <c r="G18" s="7">
        <f>G12</f>
        <v>2017</v>
      </c>
      <c r="H18" s="7">
        <f t="shared" ref="H18:J18" si="10">H12</f>
        <v>2019</v>
      </c>
      <c r="I18" s="7">
        <f t="shared" si="10"/>
        <v>2020</v>
      </c>
      <c r="J18" s="7">
        <f t="shared" si="10"/>
        <v>2021</v>
      </c>
      <c r="K18" s="7">
        <v>2030</v>
      </c>
      <c r="L18" s="7">
        <v>2040</v>
      </c>
      <c r="M18" s="7">
        <v>2050</v>
      </c>
      <c r="N18" s="40"/>
      <c r="O18" s="7">
        <f>F18</f>
        <v>2015</v>
      </c>
      <c r="P18" s="7">
        <f t="shared" ref="P18" si="11">G18</f>
        <v>2017</v>
      </c>
      <c r="Q18" s="7">
        <f t="shared" ref="Q18" si="12">H18</f>
        <v>2019</v>
      </c>
      <c r="R18" s="7">
        <f>I18</f>
        <v>2020</v>
      </c>
      <c r="S18" s="7">
        <f>J18</f>
        <v>2021</v>
      </c>
      <c r="T18" s="7">
        <f>K18</f>
        <v>2030</v>
      </c>
      <c r="U18" s="7">
        <f>L18</f>
        <v>2040</v>
      </c>
      <c r="V18" s="7">
        <f>M18</f>
        <v>2050</v>
      </c>
    </row>
    <row r="19" spans="1:57">
      <c r="A19" s="185" t="s">
        <v>16</v>
      </c>
      <c r="B19" s="228"/>
      <c r="C19" s="185" t="s">
        <v>7</v>
      </c>
      <c r="D19" s="35" t="s">
        <v>512</v>
      </c>
      <c r="E19" s="10">
        <f>RES!E43</f>
        <v>1</v>
      </c>
      <c r="F19" s="10">
        <f>RES!E43</f>
        <v>1</v>
      </c>
      <c r="G19" s="204">
        <f>AVERAGE(F19,I19)</f>
        <v>1</v>
      </c>
      <c r="H19" s="204">
        <f>AVERAGE(F19,I19)</f>
        <v>1</v>
      </c>
      <c r="I19" s="10">
        <f>RES!F43</f>
        <v>1</v>
      </c>
      <c r="J19" s="204">
        <f>AVERAGE(I19,K19)</f>
        <v>1</v>
      </c>
      <c r="K19" s="10">
        <f>RES!G43</f>
        <v>1</v>
      </c>
      <c r="L19" s="10">
        <f>RES!H43</f>
        <v>1</v>
      </c>
      <c r="M19" s="10">
        <f>RES!I43</f>
        <v>1</v>
      </c>
      <c r="N19" s="43"/>
      <c r="O19" s="10"/>
      <c r="R19" s="10"/>
      <c r="T19" s="10"/>
      <c r="U19" s="10"/>
      <c r="V19" s="10"/>
      <c r="W19" s="10"/>
      <c r="X19" s="10"/>
      <c r="AA19" s="10"/>
      <c r="AC19" s="10"/>
      <c r="AD19" s="10"/>
      <c r="AE19" s="10"/>
      <c r="AF19" s="10"/>
      <c r="AG19" s="10"/>
      <c r="AH19" s="10"/>
      <c r="AI19" s="10"/>
      <c r="AJ19" s="10"/>
      <c r="AK19" s="10"/>
      <c r="AL19" s="10"/>
      <c r="AM19" s="10"/>
      <c r="AN19" s="10"/>
      <c r="AO19" s="10"/>
      <c r="AP19" s="10"/>
      <c r="AQ19" s="10"/>
      <c r="AR19" s="10"/>
      <c r="AS19" s="10"/>
      <c r="AT19" s="10"/>
      <c r="AU19" s="10"/>
    </row>
    <row r="20" spans="1:57">
      <c r="A20" s="185" t="s">
        <v>16</v>
      </c>
      <c r="B20" s="228"/>
      <c r="C20" s="228" t="s">
        <v>8</v>
      </c>
      <c r="D20" s="35" t="s">
        <v>512</v>
      </c>
      <c r="E20" s="10">
        <f>RES!E44</f>
        <v>1</v>
      </c>
      <c r="F20" s="10">
        <f>RES!E44</f>
        <v>1</v>
      </c>
      <c r="G20" s="204">
        <f>AVERAGE(F20,I20)</f>
        <v>1</v>
      </c>
      <c r="H20" s="204">
        <f t="shared" ref="H20:H21" si="13">AVERAGE(F20,I20)</f>
        <v>1</v>
      </c>
      <c r="I20" s="10">
        <f>RES!F44</f>
        <v>1</v>
      </c>
      <c r="J20" s="204">
        <f t="shared" ref="J20:J21" si="14">AVERAGE(I20,K20)</f>
        <v>1</v>
      </c>
      <c r="K20" s="10">
        <f>RES!G44</f>
        <v>1</v>
      </c>
      <c r="L20" s="10">
        <f>RES!H44</f>
        <v>1</v>
      </c>
      <c r="M20" s="10">
        <f>RES!I44</f>
        <v>1</v>
      </c>
      <c r="N20" s="43"/>
      <c r="O20" s="10"/>
      <c r="R20" s="10"/>
      <c r="T20" s="10"/>
      <c r="U20" s="10"/>
      <c r="V20" s="10"/>
      <c r="W20" s="10"/>
      <c r="X20" s="10"/>
      <c r="AA20" s="10"/>
      <c r="AC20" s="10"/>
      <c r="AD20" s="10"/>
      <c r="AE20" s="10"/>
      <c r="AF20" s="10"/>
      <c r="AG20" s="10"/>
      <c r="AH20" s="10"/>
      <c r="AI20" s="10"/>
      <c r="AJ20" s="10"/>
      <c r="AK20" s="10"/>
      <c r="AL20" s="10"/>
      <c r="AM20" s="10"/>
      <c r="AN20" s="10"/>
      <c r="AO20" s="10"/>
      <c r="AP20" s="10"/>
      <c r="AQ20" s="10"/>
      <c r="AR20" s="10"/>
      <c r="AS20" s="10"/>
      <c r="AT20" s="10"/>
      <c r="AU20" s="10"/>
    </row>
    <row r="21" spans="1:57">
      <c r="A21" s="185" t="s">
        <v>16</v>
      </c>
      <c r="C21" s="228" t="s">
        <v>406</v>
      </c>
      <c r="D21" s="35" t="s">
        <v>512</v>
      </c>
      <c r="E21" s="186">
        <f>RES!E45</f>
        <v>1</v>
      </c>
      <c r="F21" s="186">
        <f>RES!E45</f>
        <v>1</v>
      </c>
      <c r="G21" s="204">
        <f>AVERAGE(F21,I21)</f>
        <v>0.99628746978223237</v>
      </c>
      <c r="H21" s="204">
        <f t="shared" si="13"/>
        <v>0.99628746978223237</v>
      </c>
      <c r="I21" s="186">
        <f>RES!F45</f>
        <v>0.99257493956446474</v>
      </c>
      <c r="J21" s="204">
        <f t="shared" si="14"/>
        <v>1.0855161531462645</v>
      </c>
      <c r="K21" s="10">
        <f>RES!G45</f>
        <v>1.1784573667280642</v>
      </c>
      <c r="L21" s="10">
        <f>RES!H45</f>
        <v>1.5217555621271739</v>
      </c>
      <c r="M21" s="10">
        <f>RES!I45</f>
        <v>1.8528074158817123</v>
      </c>
      <c r="N21" s="43"/>
      <c r="O21" s="10"/>
      <c r="R21" s="46">
        <v>0.25</v>
      </c>
      <c r="S21" s="46">
        <v>0.25</v>
      </c>
      <c r="T21" s="46">
        <f>R21</f>
        <v>0.25</v>
      </c>
      <c r="U21" s="46">
        <f>T21</f>
        <v>0.25</v>
      </c>
      <c r="V21" s="46">
        <f>U21</f>
        <v>0.25</v>
      </c>
      <c r="W21" s="10"/>
      <c r="AA21" s="109"/>
      <c r="AC21" s="10"/>
      <c r="AD21" s="10"/>
      <c r="AE21" s="10"/>
      <c r="AF21" s="10"/>
      <c r="AG21" s="10"/>
      <c r="AH21" s="10"/>
      <c r="AI21" s="10"/>
      <c r="AJ21" s="10"/>
      <c r="AK21" s="10"/>
      <c r="AL21" s="10"/>
      <c r="AM21" s="10"/>
      <c r="AN21" s="10"/>
      <c r="AO21" s="10"/>
      <c r="AP21" s="10"/>
      <c r="AQ21" s="10"/>
      <c r="AR21" s="10"/>
      <c r="AS21" s="10"/>
      <c r="AT21" s="10"/>
      <c r="AU21" s="8"/>
    </row>
    <row r="22" spans="1:57">
      <c r="A22" s="185" t="s">
        <v>16</v>
      </c>
      <c r="C22" s="228"/>
      <c r="L22" s="185"/>
      <c r="N22" s="43"/>
      <c r="O22" s="10"/>
      <c r="R22" s="10"/>
      <c r="T22" s="10"/>
      <c r="U22" s="10"/>
      <c r="V22" s="10"/>
      <c r="W22" s="10"/>
      <c r="X22" s="10"/>
      <c r="AA22" s="10"/>
      <c r="AC22" s="10"/>
      <c r="AD22" s="10"/>
      <c r="AE22" s="10"/>
      <c r="AF22" s="10"/>
      <c r="AG22" s="10"/>
      <c r="AH22" s="10"/>
      <c r="AI22" s="10"/>
      <c r="AJ22" s="10"/>
      <c r="AK22" s="10"/>
      <c r="AL22" s="10"/>
      <c r="AM22" s="10"/>
      <c r="AN22" s="10"/>
      <c r="AO22" s="10"/>
      <c r="AP22" s="10"/>
      <c r="AQ22" s="10"/>
      <c r="AR22" s="10"/>
      <c r="AS22" s="10"/>
      <c r="AT22" s="10"/>
      <c r="AU22" s="10"/>
    </row>
    <row r="23" spans="1:57">
      <c r="A23" s="185" t="s">
        <v>16</v>
      </c>
      <c r="B23" s="228"/>
      <c r="C23" s="228"/>
      <c r="L23" s="185"/>
      <c r="N23" s="40"/>
      <c r="X23" s="185" t="s">
        <v>199</v>
      </c>
    </row>
    <row r="24" spans="1:57" ht="15.75" thickBot="1">
      <c r="A24" s="185" t="s">
        <v>16</v>
      </c>
      <c r="B24" s="227" t="s">
        <v>160</v>
      </c>
      <c r="D24" s="227"/>
      <c r="E24" s="7">
        <f>E4</f>
        <v>2012</v>
      </c>
      <c r="F24" s="7">
        <f t="shared" ref="F24:M24" si="15">F4</f>
        <v>2015</v>
      </c>
      <c r="G24" s="7">
        <f t="shared" si="15"/>
        <v>2017</v>
      </c>
      <c r="H24" s="7">
        <f t="shared" si="15"/>
        <v>2019</v>
      </c>
      <c r="I24" s="7">
        <f t="shared" si="15"/>
        <v>2020</v>
      </c>
      <c r="J24" s="7">
        <f t="shared" si="15"/>
        <v>2021</v>
      </c>
      <c r="K24" s="7">
        <f t="shared" si="15"/>
        <v>2030</v>
      </c>
      <c r="L24" s="7">
        <f t="shared" si="15"/>
        <v>2040</v>
      </c>
      <c r="M24" s="7">
        <f t="shared" si="15"/>
        <v>2050</v>
      </c>
      <c r="N24" s="40"/>
      <c r="O24" s="7">
        <f>F24</f>
        <v>2015</v>
      </c>
      <c r="P24" s="7">
        <f t="shared" ref="P24:Q24" si="16">G24</f>
        <v>2017</v>
      </c>
      <c r="Q24" s="7">
        <f t="shared" si="16"/>
        <v>2019</v>
      </c>
      <c r="R24" s="7">
        <f>I24</f>
        <v>2020</v>
      </c>
      <c r="S24" s="7">
        <f>J24</f>
        <v>2021</v>
      </c>
      <c r="T24" s="7">
        <f>K24</f>
        <v>2030</v>
      </c>
      <c r="U24" s="7">
        <f>L24</f>
        <v>2040</v>
      </c>
      <c r="V24" s="7">
        <f>M24</f>
        <v>2050</v>
      </c>
      <c r="X24" s="302">
        <f>X$12</f>
        <v>2015</v>
      </c>
      <c r="Y24" s="302">
        <f t="shared" ref="Y24:AE24" si="17">Y$12</f>
        <v>2017</v>
      </c>
      <c r="Z24" s="302">
        <f t="shared" si="17"/>
        <v>2019</v>
      </c>
      <c r="AA24" s="302">
        <f t="shared" si="17"/>
        <v>2020</v>
      </c>
      <c r="AB24" s="302">
        <f t="shared" si="17"/>
        <v>2021</v>
      </c>
      <c r="AC24" s="302">
        <f t="shared" si="17"/>
        <v>2030</v>
      </c>
      <c r="AD24" s="302">
        <f t="shared" si="17"/>
        <v>2040</v>
      </c>
      <c r="AE24" s="302">
        <f t="shared" si="17"/>
        <v>2050</v>
      </c>
    </row>
    <row r="25" spans="1:57">
      <c r="A25" s="185" t="s">
        <v>16</v>
      </c>
      <c r="B25" s="193">
        <f>INDEX($BG$4:$BG$7,MATCH($D$3,$BB$4:$BB$7,0))</f>
        <v>0.95</v>
      </c>
      <c r="C25" s="228" t="str">
        <f>C19</f>
        <v>Low Income</v>
      </c>
      <c r="D25" s="185" t="s">
        <v>48</v>
      </c>
      <c r="E25" s="230">
        <f>[2]Calib_1011!$H$86</f>
        <v>0.02</v>
      </c>
      <c r="F25" s="62">
        <f>IF($D$4,X25,O25)</f>
        <v>0.02</v>
      </c>
      <c r="G25" s="62">
        <f t="shared" ref="G25:L25" si="18">IF($D$4,Y25,P25)</f>
        <v>0.02</v>
      </c>
      <c r="H25" s="62">
        <f t="shared" si="18"/>
        <v>0.02</v>
      </c>
      <c r="I25" s="62">
        <f t="shared" si="18"/>
        <v>0.02</v>
      </c>
      <c r="J25" s="62">
        <f t="shared" si="18"/>
        <v>0.02</v>
      </c>
      <c r="K25" s="62">
        <f t="shared" si="18"/>
        <v>0.02</v>
      </c>
      <c r="L25" s="62">
        <f t="shared" si="18"/>
        <v>0.02</v>
      </c>
      <c r="M25" s="62">
        <f>IF($D$4,AE25,V25)</f>
        <v>0.02</v>
      </c>
      <c r="N25" s="239"/>
      <c r="O25" s="62">
        <f>E25</f>
        <v>0.02</v>
      </c>
      <c r="P25" s="62">
        <f>O25</f>
        <v>0.02</v>
      </c>
      <c r="Q25" s="62">
        <f>P25</f>
        <v>0.02</v>
      </c>
      <c r="R25" s="62">
        <f t="shared" ref="R25:V25" si="19">Q25</f>
        <v>0.02</v>
      </c>
      <c r="S25" s="62">
        <f t="shared" si="19"/>
        <v>0.02</v>
      </c>
      <c r="T25" s="34">
        <f t="shared" si="19"/>
        <v>0.02</v>
      </c>
      <c r="U25" s="34">
        <f t="shared" si="19"/>
        <v>0.02</v>
      </c>
      <c r="V25" s="34">
        <f t="shared" si="19"/>
        <v>0.02</v>
      </c>
      <c r="W25" s="240"/>
      <c r="X25" s="62">
        <f>O25</f>
        <v>0.02</v>
      </c>
      <c r="Y25" s="62">
        <f t="shared" ref="Y25:AB25" si="20">P25</f>
        <v>0.02</v>
      </c>
      <c r="Z25" s="62">
        <f t="shared" si="20"/>
        <v>0.02</v>
      </c>
      <c r="AA25" s="62">
        <f t="shared" si="20"/>
        <v>0.02</v>
      </c>
      <c r="AB25" s="62">
        <f t="shared" si="20"/>
        <v>0.02</v>
      </c>
      <c r="AC25" s="70">
        <v>0.05</v>
      </c>
      <c r="AD25" s="70">
        <v>0.04</v>
      </c>
      <c r="AE25" s="70">
        <v>0.04</v>
      </c>
      <c r="AF25" s="240"/>
      <c r="AG25" s="240"/>
      <c r="AH25" s="240"/>
      <c r="AI25" s="240"/>
      <c r="AJ25" s="240"/>
      <c r="AK25" s="240"/>
      <c r="AL25" s="240"/>
      <c r="AM25" s="240"/>
      <c r="AN25" s="240"/>
      <c r="AO25" s="240"/>
      <c r="AP25" s="240"/>
      <c r="AQ25" s="240"/>
      <c r="AR25" s="240"/>
      <c r="AS25" s="240"/>
      <c r="AT25" s="240"/>
      <c r="AU25" s="240"/>
    </row>
    <row r="26" spans="1:57">
      <c r="A26" s="185" t="s">
        <v>16</v>
      </c>
      <c r="B26" s="193">
        <f>INDEX($BF$4:$BF$7,MATCH($D$3,$BB$4:$BB$7,0))</f>
        <v>0.95</v>
      </c>
      <c r="C26" s="228" t="str">
        <f>C20</f>
        <v>Middle Income</v>
      </c>
      <c r="D26" s="185" t="s">
        <v>48</v>
      </c>
      <c r="E26" s="230">
        <f>[2]Calib_1011!$I$86</f>
        <v>0.53</v>
      </c>
      <c r="F26" s="62">
        <f t="shared" ref="F26:F27" si="21">IF($D$4,X26,O26)</f>
        <v>0.53</v>
      </c>
      <c r="G26" s="62">
        <f t="shared" ref="G26:G27" si="22">IF($D$4,Y26,P26)</f>
        <v>0.53</v>
      </c>
      <c r="H26" s="62">
        <f t="shared" ref="H26:H27" si="23">IF($D$4,Z26,Q26)</f>
        <v>0.53</v>
      </c>
      <c r="I26" s="62">
        <f t="shared" ref="I26:I27" si="24">IF($D$4,AA26,R26)</f>
        <v>0.53</v>
      </c>
      <c r="J26" s="62">
        <f t="shared" ref="J26:J27" si="25">IF($D$4,AB26,S26)</f>
        <v>0.53</v>
      </c>
      <c r="K26" s="62">
        <f t="shared" ref="K26:K27" si="26">IF($D$4,AC26,T26)</f>
        <v>0.53</v>
      </c>
      <c r="L26" s="62">
        <f t="shared" ref="L26:L27" si="27">IF($D$4,AD26,U26)</f>
        <v>0.53</v>
      </c>
      <c r="M26" s="62">
        <f t="shared" ref="M26:M27" si="28">IF($D$4,AE26,V26)</f>
        <v>0.53</v>
      </c>
      <c r="N26" s="239"/>
      <c r="O26" s="62">
        <f>E26</f>
        <v>0.53</v>
      </c>
      <c r="P26" s="62">
        <f t="shared" ref="P26:Q27" si="29">O26</f>
        <v>0.53</v>
      </c>
      <c r="Q26" s="62">
        <f t="shared" si="29"/>
        <v>0.53</v>
      </c>
      <c r="R26" s="62">
        <f t="shared" ref="R26:V26" si="30">Q26</f>
        <v>0.53</v>
      </c>
      <c r="S26" s="62">
        <f t="shared" si="30"/>
        <v>0.53</v>
      </c>
      <c r="T26" s="34">
        <f t="shared" si="30"/>
        <v>0.53</v>
      </c>
      <c r="U26" s="34">
        <f t="shared" si="30"/>
        <v>0.53</v>
      </c>
      <c r="V26" s="34">
        <f t="shared" si="30"/>
        <v>0.53</v>
      </c>
      <c r="W26" s="240"/>
      <c r="X26" s="62">
        <f t="shared" ref="X26:X27" si="31">O26</f>
        <v>0.53</v>
      </c>
      <c r="Y26" s="62">
        <f t="shared" ref="Y26:Y27" si="32">P26</f>
        <v>0.53</v>
      </c>
      <c r="Z26" s="62">
        <f t="shared" ref="Z26:Z27" si="33">Q26</f>
        <v>0.53</v>
      </c>
      <c r="AA26" s="62">
        <f t="shared" ref="AA26:AA27" si="34">R26</f>
        <v>0.53</v>
      </c>
      <c r="AB26" s="62">
        <f t="shared" ref="AB26:AB27" si="35">S26</f>
        <v>0.53</v>
      </c>
      <c r="AC26" s="70">
        <f>IF(INDEX($BH$4:$BH$7,MATCH($D$3,$BB$4:$BB$7,0)),AA26*$B$26,AA26)</f>
        <v>0.50349999999999995</v>
      </c>
      <c r="AD26" s="70">
        <f>IF(INDEX($BH$4:$BH$7,MATCH($D$3,$BB$4:$BB$7,0)),AC26*$B$26,AC26)</f>
        <v>0.47832499999999994</v>
      </c>
      <c r="AE26" s="70">
        <f>IF(INDEX($BH$4:$BH$7,MATCH($D$3,$BB$4:$BB$7,0)),AD26*$B$26,AD26)</f>
        <v>0.45440874999999992</v>
      </c>
      <c r="AF26" s="240"/>
      <c r="AG26" s="240"/>
      <c r="AH26" s="240"/>
      <c r="AI26" s="240"/>
      <c r="AJ26" s="240"/>
      <c r="AK26" s="240"/>
      <c r="AL26" s="240"/>
      <c r="AM26" s="240"/>
      <c r="AN26" s="240"/>
      <c r="AO26" s="240"/>
      <c r="AP26" s="240"/>
      <c r="AQ26" s="240"/>
      <c r="AR26" s="240"/>
      <c r="AS26" s="240"/>
      <c r="AT26" s="240"/>
      <c r="AU26" s="240"/>
    </row>
    <row r="27" spans="1:57">
      <c r="A27" s="185" t="s">
        <v>16</v>
      </c>
      <c r="B27" s="193">
        <f>INDEX($BE$4:$BE$7,MATCH($D$3,$BB$4:$BB$7,0))</f>
        <v>0.97499999999999998</v>
      </c>
      <c r="C27" s="228" t="str">
        <f>C21</f>
        <v>High Income</v>
      </c>
      <c r="D27" s="185" t="s">
        <v>48</v>
      </c>
      <c r="E27" s="278">
        <f>[2]Calib_1011!$J$86*0.98</f>
        <v>0.76810810810810803</v>
      </c>
      <c r="F27" s="62">
        <f t="shared" si="21"/>
        <v>0.76810810810810803</v>
      </c>
      <c r="G27" s="62">
        <f t="shared" si="22"/>
        <v>0.76810810810810803</v>
      </c>
      <c r="H27" s="62">
        <f t="shared" si="23"/>
        <v>0.76810810810810803</v>
      </c>
      <c r="I27" s="62">
        <f t="shared" si="24"/>
        <v>0.76810810810810803</v>
      </c>
      <c r="J27" s="62">
        <f t="shared" si="25"/>
        <v>0.76810810810810803</v>
      </c>
      <c r="K27" s="62">
        <f t="shared" si="26"/>
        <v>0.76810810810810803</v>
      </c>
      <c r="L27" s="62">
        <f t="shared" si="27"/>
        <v>0.76810810810810803</v>
      </c>
      <c r="M27" s="62">
        <f t="shared" si="28"/>
        <v>0.76810810810810803</v>
      </c>
      <c r="N27" s="239"/>
      <c r="O27" s="62">
        <f>E27</f>
        <v>0.76810810810810803</v>
      </c>
      <c r="P27" s="62">
        <f t="shared" si="29"/>
        <v>0.76810810810810803</v>
      </c>
      <c r="Q27" s="62">
        <f t="shared" si="29"/>
        <v>0.76810810810810803</v>
      </c>
      <c r="R27" s="62">
        <f t="shared" ref="R27:V27" si="36">Q27</f>
        <v>0.76810810810810803</v>
      </c>
      <c r="S27" s="62">
        <f t="shared" si="36"/>
        <v>0.76810810810810803</v>
      </c>
      <c r="T27" s="34">
        <f t="shared" si="36"/>
        <v>0.76810810810810803</v>
      </c>
      <c r="U27" s="34">
        <f t="shared" si="36"/>
        <v>0.76810810810810803</v>
      </c>
      <c r="V27" s="34">
        <f t="shared" si="36"/>
        <v>0.76810810810810803</v>
      </c>
      <c r="W27" s="240"/>
      <c r="X27" s="62">
        <f t="shared" si="31"/>
        <v>0.76810810810810803</v>
      </c>
      <c r="Y27" s="62">
        <f t="shared" si="32"/>
        <v>0.76810810810810803</v>
      </c>
      <c r="Z27" s="62">
        <f t="shared" si="33"/>
        <v>0.76810810810810803</v>
      </c>
      <c r="AA27" s="62">
        <f t="shared" si="34"/>
        <v>0.76810810810810803</v>
      </c>
      <c r="AB27" s="62">
        <f t="shared" si="35"/>
        <v>0.76810810810810803</v>
      </c>
      <c r="AC27" s="70">
        <f>IF(INDEX($BH$4:$BH$7,MATCH($D$3,$BB$4:$BB$7,0)),AA27*$B$27,AA27)</f>
        <v>0.74890540540540529</v>
      </c>
      <c r="AD27" s="70">
        <f>IF(INDEX($BH$4:$BH$7,MATCH($D$3,$BB$4:$BB$7,0)),AC27*$B$27,AC27)</f>
        <v>0.73018277027027012</v>
      </c>
      <c r="AE27" s="70">
        <f>IF(INDEX($BH$4:$BH$7,MATCH($D$3,$BB$4:$BB$7,0)),AD27*$B$27,AD27)</f>
        <v>0.7119282010135134</v>
      </c>
      <c r="AF27" s="240"/>
      <c r="AG27" s="240"/>
      <c r="AH27" s="240"/>
      <c r="AI27" s="240"/>
      <c r="AJ27" s="240"/>
      <c r="AK27" s="240"/>
      <c r="AL27" s="240"/>
      <c r="AM27" s="240"/>
      <c r="AN27" s="240"/>
      <c r="AO27" s="240"/>
      <c r="AP27" s="240"/>
      <c r="AQ27" s="240"/>
      <c r="AR27" s="240"/>
      <c r="AS27" s="240"/>
      <c r="AT27" s="240"/>
      <c r="AU27" s="240"/>
    </row>
    <row r="28" spans="1:57">
      <c r="A28" s="185" t="s">
        <v>16</v>
      </c>
      <c r="B28" s="228"/>
      <c r="C28" s="228"/>
      <c r="L28" s="185"/>
      <c r="N28" s="40"/>
      <c r="X28" s="185" t="s">
        <v>200</v>
      </c>
      <c r="AA28" s="190"/>
      <c r="AC28" s="190"/>
      <c r="AD28" s="33"/>
    </row>
    <row r="29" spans="1:57" ht="15.75" thickBot="1">
      <c r="A29" s="185" t="s">
        <v>16</v>
      </c>
      <c r="B29" s="227" t="s">
        <v>188</v>
      </c>
      <c r="D29" s="227"/>
      <c r="E29" s="7">
        <v>2012</v>
      </c>
      <c r="F29" s="7">
        <f>F4</f>
        <v>2015</v>
      </c>
      <c r="G29" s="7">
        <f>G4</f>
        <v>2017</v>
      </c>
      <c r="H29" s="7">
        <f t="shared" ref="H29:J29" si="37">H4</f>
        <v>2019</v>
      </c>
      <c r="I29" s="7">
        <f t="shared" si="37"/>
        <v>2020</v>
      </c>
      <c r="J29" s="7">
        <f t="shared" si="37"/>
        <v>2021</v>
      </c>
      <c r="K29" s="7">
        <v>2030</v>
      </c>
      <c r="L29" s="7">
        <v>2040</v>
      </c>
      <c r="M29" s="7">
        <v>2050</v>
      </c>
      <c r="N29" s="40"/>
      <c r="O29" s="7">
        <f>O24</f>
        <v>2015</v>
      </c>
      <c r="P29" s="7">
        <f t="shared" ref="P29:V29" si="38">P24</f>
        <v>2017</v>
      </c>
      <c r="Q29" s="7">
        <f t="shared" si="38"/>
        <v>2019</v>
      </c>
      <c r="R29" s="7">
        <f t="shared" si="38"/>
        <v>2020</v>
      </c>
      <c r="S29" s="7">
        <f t="shared" si="38"/>
        <v>2021</v>
      </c>
      <c r="T29" s="7">
        <f t="shared" si="38"/>
        <v>2030</v>
      </c>
      <c r="U29" s="7">
        <f t="shared" si="38"/>
        <v>2040</v>
      </c>
      <c r="V29" s="7">
        <f t="shared" si="38"/>
        <v>2050</v>
      </c>
      <c r="X29" s="7">
        <f>F29</f>
        <v>2015</v>
      </c>
      <c r="Y29" s="7">
        <f t="shared" ref="Y29:Z29" si="39">G29</f>
        <v>2017</v>
      </c>
      <c r="Z29" s="7">
        <f t="shared" si="39"/>
        <v>2019</v>
      </c>
      <c r="AA29" s="7">
        <f>I29</f>
        <v>2020</v>
      </c>
      <c r="AB29" s="7">
        <f>J29</f>
        <v>2021</v>
      </c>
      <c r="AC29" s="7">
        <f>K29</f>
        <v>2030</v>
      </c>
      <c r="AD29" s="7">
        <f>L29</f>
        <v>2040</v>
      </c>
      <c r="AE29" s="7">
        <f>M29</f>
        <v>2050</v>
      </c>
    </row>
    <row r="30" spans="1:57">
      <c r="A30" s="185" t="s">
        <v>16</v>
      </c>
      <c r="C30" s="228" t="str">
        <f>C25</f>
        <v>Low Income</v>
      </c>
      <c r="D30" s="185" t="s">
        <v>48</v>
      </c>
      <c r="E30" s="49">
        <f>[2]Calib_1011!$H$93</f>
        <v>0.25</v>
      </c>
      <c r="F30" s="61">
        <f>IF($D$4,X30,O30)</f>
        <v>0.25</v>
      </c>
      <c r="G30" s="61">
        <f t="shared" ref="G30:M32" si="40">IF($D$4,Y30,P30)</f>
        <v>0.25</v>
      </c>
      <c r="H30" s="61">
        <f t="shared" si="40"/>
        <v>0.25</v>
      </c>
      <c r="I30" s="61">
        <f t="shared" si="40"/>
        <v>0.25</v>
      </c>
      <c r="J30" s="61">
        <f t="shared" si="40"/>
        <v>0.25</v>
      </c>
      <c r="K30" s="61">
        <f t="shared" si="40"/>
        <v>0.25</v>
      </c>
      <c r="L30" s="61">
        <f t="shared" si="40"/>
        <v>0.25</v>
      </c>
      <c r="M30" s="61">
        <f t="shared" si="40"/>
        <v>0.25</v>
      </c>
      <c r="N30" s="42"/>
      <c r="O30" s="61">
        <f>E30</f>
        <v>0.25</v>
      </c>
      <c r="P30" s="61">
        <f>O30</f>
        <v>0.25</v>
      </c>
      <c r="Q30" s="61">
        <f>P30</f>
        <v>0.25</v>
      </c>
      <c r="R30" s="61">
        <f>Q30</f>
        <v>0.25</v>
      </c>
      <c r="S30" s="61">
        <f>R30</f>
        <v>0.25</v>
      </c>
      <c r="T30" s="46">
        <f t="shared" ref="T30:V30" si="41">S30</f>
        <v>0.25</v>
      </c>
      <c r="U30" s="46">
        <f t="shared" si="41"/>
        <v>0.25</v>
      </c>
      <c r="V30" s="46">
        <f t="shared" si="41"/>
        <v>0.25</v>
      </c>
      <c r="W30" s="229"/>
      <c r="X30" s="62">
        <f>O30</f>
        <v>0.25</v>
      </c>
      <c r="Y30" s="62">
        <f t="shared" ref="Y30:AB30" si="42">P30</f>
        <v>0.25</v>
      </c>
      <c r="Z30" s="62">
        <f t="shared" si="42"/>
        <v>0.25</v>
      </c>
      <c r="AA30" s="62">
        <f t="shared" si="42"/>
        <v>0.25</v>
      </c>
      <c r="AB30" s="62">
        <f t="shared" si="42"/>
        <v>0.25</v>
      </c>
      <c r="AC30" s="71">
        <f>AA30*$B25</f>
        <v>0.23749999999999999</v>
      </c>
      <c r="AD30" s="71">
        <f>AC30*0.95</f>
        <v>0.22562499999999999</v>
      </c>
      <c r="AE30" s="71">
        <f>AD30*0.95</f>
        <v>0.21434374999999997</v>
      </c>
      <c r="AF30" s="229"/>
      <c r="AG30" s="229"/>
      <c r="AH30" s="229"/>
      <c r="AI30" s="229"/>
      <c r="AJ30" s="229"/>
      <c r="AK30" s="229"/>
      <c r="AL30" s="229"/>
      <c r="AM30" s="229"/>
      <c r="AN30" s="229"/>
      <c r="AO30" s="229"/>
      <c r="AP30" s="229"/>
      <c r="AQ30" s="229"/>
      <c r="AR30" s="229"/>
      <c r="AS30" s="229"/>
      <c r="AT30" s="229"/>
      <c r="AU30" s="229"/>
    </row>
    <row r="31" spans="1:57">
      <c r="A31" s="185" t="s">
        <v>16</v>
      </c>
      <c r="C31" s="228" t="str">
        <f>C26</f>
        <v>Middle Income</v>
      </c>
      <c r="D31" s="185" t="s">
        <v>48</v>
      </c>
      <c r="E31" s="49">
        <f>[2]Calib_1011!$I$93</f>
        <v>0.31311637080867849</v>
      </c>
      <c r="F31" s="61">
        <f t="shared" ref="F31:F32" si="43">IF($D$4,X31,O31)</f>
        <v>0.31311637080867849</v>
      </c>
      <c r="G31" s="61">
        <f t="shared" si="40"/>
        <v>0.31311637080867849</v>
      </c>
      <c r="H31" s="61">
        <f t="shared" si="40"/>
        <v>0.31311637080867849</v>
      </c>
      <c r="I31" s="61">
        <f t="shared" si="40"/>
        <v>0.31311637080867849</v>
      </c>
      <c r="J31" s="61">
        <f t="shared" si="40"/>
        <v>0.31311637080867849</v>
      </c>
      <c r="K31" s="61">
        <f t="shared" si="40"/>
        <v>0.31311637080867849</v>
      </c>
      <c r="L31" s="61">
        <f t="shared" si="40"/>
        <v>0.31311637080867849</v>
      </c>
      <c r="M31" s="61">
        <f t="shared" si="40"/>
        <v>0.31311637080867849</v>
      </c>
      <c r="N31" s="42"/>
      <c r="O31" s="61">
        <f t="shared" ref="O31:O32" si="44">E31</f>
        <v>0.31311637080867849</v>
      </c>
      <c r="P31" s="61">
        <f t="shared" ref="P31:Q32" si="45">O31</f>
        <v>0.31311637080867849</v>
      </c>
      <c r="Q31" s="61">
        <f t="shared" si="45"/>
        <v>0.31311637080867849</v>
      </c>
      <c r="R31" s="61">
        <f>Q31</f>
        <v>0.31311637080867849</v>
      </c>
      <c r="S31" s="61">
        <f>R31</f>
        <v>0.31311637080867849</v>
      </c>
      <c r="T31" s="46">
        <f t="shared" ref="T31:V31" si="46">S31</f>
        <v>0.31311637080867849</v>
      </c>
      <c r="U31" s="46">
        <f t="shared" si="46"/>
        <v>0.31311637080867849</v>
      </c>
      <c r="V31" s="46">
        <f t="shared" si="46"/>
        <v>0.31311637080867849</v>
      </c>
      <c r="W31" s="229"/>
      <c r="X31" s="62">
        <f t="shared" ref="X31:X32" si="47">O31</f>
        <v>0.31311637080867849</v>
      </c>
      <c r="Y31" s="62">
        <f t="shared" ref="Y31:Y32" si="48">P31</f>
        <v>0.31311637080867849</v>
      </c>
      <c r="Z31" s="62">
        <f t="shared" ref="Z31:Z32" si="49">Q31</f>
        <v>0.31311637080867849</v>
      </c>
      <c r="AA31" s="62">
        <f t="shared" ref="AA31:AA32" si="50">R31</f>
        <v>0.31311637080867849</v>
      </c>
      <c r="AB31" s="62">
        <f t="shared" ref="AB31:AB32" si="51">S31</f>
        <v>0.31311637080867849</v>
      </c>
      <c r="AC31" s="70">
        <f>IF(INDEX($BH$4:$BH$7,MATCH($D$3,$BB$4:$BB$7,0)),AA31*$B$26,AA31)</f>
        <v>0.29746055226824453</v>
      </c>
      <c r="AD31" s="70">
        <f t="shared" ref="AD31" si="52">IF(INDEX($BH$4:$BH$7,MATCH($D$3,$BB$4:$BB$7,0)),AB31*$B$26,AB31)</f>
        <v>0.29746055226824453</v>
      </c>
      <c r="AE31" s="70">
        <f>IF(INDEX($BH$4:$BH$7,MATCH($D$3,$BB$4:$BB$7,0)),AC31*$B$26,AC31)</f>
        <v>0.28258752465483228</v>
      </c>
      <c r="AF31" s="229"/>
      <c r="AG31" s="229"/>
      <c r="AH31" s="229"/>
      <c r="AI31" s="229"/>
      <c r="AJ31" s="229"/>
      <c r="AK31" s="229"/>
      <c r="AL31" s="229"/>
      <c r="AM31" s="229"/>
      <c r="AN31" s="229"/>
      <c r="AO31" s="229"/>
      <c r="AP31" s="229"/>
      <c r="AQ31" s="229"/>
      <c r="AR31" s="229"/>
      <c r="AS31" s="229"/>
      <c r="AT31" s="229"/>
      <c r="AU31" s="229"/>
    </row>
    <row r="32" spans="1:57">
      <c r="A32" s="185" t="s">
        <v>16</v>
      </c>
      <c r="C32" s="228" t="str">
        <f>C27</f>
        <v>High Income</v>
      </c>
      <c r="D32" s="185" t="s">
        <v>48</v>
      </c>
      <c r="E32" s="49">
        <f>[2]Calib_1011!$J$93</f>
        <v>0.41283463855351005</v>
      </c>
      <c r="F32" s="61">
        <f t="shared" si="43"/>
        <v>0.41283463855351005</v>
      </c>
      <c r="G32" s="61">
        <f t="shared" si="40"/>
        <v>0.41283463855351005</v>
      </c>
      <c r="H32" s="61">
        <f t="shared" si="40"/>
        <v>0.41283463855351005</v>
      </c>
      <c r="I32" s="61">
        <f t="shared" si="40"/>
        <v>0.41206830801822453</v>
      </c>
      <c r="J32" s="61">
        <f t="shared" si="40"/>
        <v>0.42129463919665117</v>
      </c>
      <c r="K32" s="61">
        <f t="shared" si="40"/>
        <v>0.43031238502405184</v>
      </c>
      <c r="L32" s="61">
        <f t="shared" si="40"/>
        <v>0.46165112272628989</v>
      </c>
      <c r="M32" s="61">
        <f t="shared" si="40"/>
        <v>0.48675871289549705</v>
      </c>
      <c r="N32" s="42"/>
      <c r="O32" s="61">
        <f t="shared" si="44"/>
        <v>0.41283463855351005</v>
      </c>
      <c r="P32" s="61">
        <f t="shared" si="45"/>
        <v>0.41283463855351005</v>
      </c>
      <c r="Q32" s="61">
        <f t="shared" si="45"/>
        <v>0.41283463855351005</v>
      </c>
      <c r="R32" s="61">
        <f>Q32*(1+R21*(I21/F21-1))</f>
        <v>0.41206830801822453</v>
      </c>
      <c r="S32" s="61">
        <f>R32*(1+S21*(J21/G21-1))</f>
        <v>0.42129463919665117</v>
      </c>
      <c r="T32" s="46">
        <f>S32*(1+T21*(K21/J21-1))</f>
        <v>0.43031238502405184</v>
      </c>
      <c r="U32" s="46">
        <f t="shared" ref="U32:V32" si="53">T32*(1+U21*(L21/K21-1))</f>
        <v>0.46165112272628989</v>
      </c>
      <c r="V32" s="46">
        <f t="shared" si="53"/>
        <v>0.48675871289549705</v>
      </c>
      <c r="W32" s="229"/>
      <c r="X32" s="62">
        <f t="shared" si="47"/>
        <v>0.41283463855351005</v>
      </c>
      <c r="Y32" s="62">
        <f t="shared" si="48"/>
        <v>0.41283463855351005</v>
      </c>
      <c r="Z32" s="62">
        <f t="shared" si="49"/>
        <v>0.41283463855351005</v>
      </c>
      <c r="AA32" s="62">
        <f t="shared" si="50"/>
        <v>0.41206830801822453</v>
      </c>
      <c r="AB32" s="62">
        <f t="shared" si="51"/>
        <v>0.42129463919665117</v>
      </c>
      <c r="AC32" s="70">
        <f>IF(INDEX($BH$4:$BH$7,MATCH($D$3,$BB$4:$BB$7,0)),AA32*$B$27,AA32)</f>
        <v>0.4017666003177689</v>
      </c>
      <c r="AD32" s="70">
        <f>IF(INDEX($BH$4:$BH$7,MATCH($D$3,$BB$4:$BB$7,0)),AC32*$B$27,AC32)</f>
        <v>0.39172243530982465</v>
      </c>
      <c r="AE32" s="70">
        <f>IF(INDEX($BH$4:$BH$7,MATCH($D$3,$BB$4:$BB$7,0)),AD32*$B$27,AD32)</f>
        <v>0.38192937442707903</v>
      </c>
      <c r="AF32" s="229"/>
      <c r="AG32" s="229"/>
      <c r="AH32" s="229"/>
      <c r="AI32" s="229"/>
      <c r="AJ32" s="229"/>
      <c r="AK32" s="229"/>
      <c r="AL32" s="229"/>
      <c r="AM32" s="229"/>
      <c r="AN32" s="229"/>
      <c r="AO32" s="229"/>
      <c r="AP32" s="229"/>
      <c r="AQ32" s="229"/>
      <c r="AR32" s="229"/>
      <c r="AS32" s="229"/>
      <c r="AT32" s="229"/>
      <c r="AU32" s="229"/>
    </row>
    <row r="33" spans="1:47">
      <c r="A33" s="185" t="s">
        <v>16</v>
      </c>
      <c r="C33" s="228"/>
      <c r="L33" s="185"/>
      <c r="N33" s="42"/>
      <c r="O33" s="186"/>
      <c r="W33" s="229"/>
      <c r="X33" s="185" t="s">
        <v>201</v>
      </c>
      <c r="AF33" s="229"/>
      <c r="AG33" s="229"/>
      <c r="AH33" s="229"/>
      <c r="AI33" s="229"/>
      <c r="AJ33" s="229"/>
      <c r="AK33" s="229"/>
      <c r="AL33" s="229"/>
      <c r="AM33" s="229"/>
      <c r="AN33" s="229"/>
      <c r="AO33" s="229"/>
      <c r="AP33" s="229"/>
      <c r="AQ33" s="229"/>
      <c r="AR33" s="229"/>
      <c r="AS33" s="229"/>
      <c r="AT33" s="229"/>
      <c r="AU33" s="229"/>
    </row>
    <row r="34" spans="1:47" ht="15.75" thickBot="1">
      <c r="A34" s="185" t="s">
        <v>16</v>
      </c>
      <c r="B34" s="227" t="s">
        <v>189</v>
      </c>
      <c r="D34" s="253">
        <f>INDEX($BJ$4:$BJ$7,MATCH($D$3,$BB$4:$BB$7,0))</f>
        <v>0</v>
      </c>
      <c r="E34" s="7">
        <v>2012</v>
      </c>
      <c r="F34" s="7">
        <f>F4</f>
        <v>2015</v>
      </c>
      <c r="G34" s="7">
        <f>G4</f>
        <v>2017</v>
      </c>
      <c r="H34" s="7">
        <f t="shared" ref="H34:J34" si="54">H4</f>
        <v>2019</v>
      </c>
      <c r="I34" s="7">
        <f t="shared" si="54"/>
        <v>2020</v>
      </c>
      <c r="J34" s="7">
        <f t="shared" si="54"/>
        <v>2021</v>
      </c>
      <c r="K34" s="7">
        <v>2030</v>
      </c>
      <c r="L34" s="7">
        <v>2040</v>
      </c>
      <c r="M34" s="7">
        <v>2050</v>
      </c>
      <c r="N34" s="40"/>
      <c r="O34" s="7">
        <f>O29</f>
        <v>2015</v>
      </c>
      <c r="P34" s="7">
        <f t="shared" ref="P34:T34" si="55">P29</f>
        <v>2017</v>
      </c>
      <c r="Q34" s="7">
        <f t="shared" si="55"/>
        <v>2019</v>
      </c>
      <c r="R34" s="7">
        <f t="shared" si="55"/>
        <v>2020</v>
      </c>
      <c r="S34" s="7">
        <f t="shared" si="55"/>
        <v>2021</v>
      </c>
      <c r="T34" s="7">
        <f t="shared" si="55"/>
        <v>2030</v>
      </c>
      <c r="U34" s="7">
        <f>L34</f>
        <v>2040</v>
      </c>
      <c r="V34" s="7">
        <f>M34</f>
        <v>2050</v>
      </c>
      <c r="W34" s="229"/>
      <c r="X34" s="7">
        <f>F34</f>
        <v>2015</v>
      </c>
      <c r="Y34" s="7">
        <f t="shared" ref="Y34:Z34" si="56">G34</f>
        <v>2017</v>
      </c>
      <c r="Z34" s="7">
        <f t="shared" si="56"/>
        <v>2019</v>
      </c>
      <c r="AA34" s="7">
        <f>I34</f>
        <v>2020</v>
      </c>
      <c r="AB34" s="7">
        <f>J34</f>
        <v>2021</v>
      </c>
      <c r="AC34" s="7">
        <f>K34</f>
        <v>2030</v>
      </c>
      <c r="AD34" s="7">
        <f>L34</f>
        <v>2040</v>
      </c>
      <c r="AE34" s="7">
        <f>M34</f>
        <v>2050</v>
      </c>
    </row>
    <row r="35" spans="1:47">
      <c r="A35" s="185" t="s">
        <v>16</v>
      </c>
      <c r="C35" s="228" t="str">
        <f>C30</f>
        <v>Low Income</v>
      </c>
      <c r="D35" s="185" t="s">
        <v>96</v>
      </c>
      <c r="E35" s="49">
        <f>[2]Calib_1011!$H$113</f>
        <v>1.4</v>
      </c>
      <c r="F35" s="61">
        <f>IF($D$4,X35,O35)</f>
        <v>1.4</v>
      </c>
      <c r="G35" s="61">
        <f t="shared" ref="G35:M38" si="57">IF($D$4,Y35,P35)</f>
        <v>1.4</v>
      </c>
      <c r="H35" s="61">
        <f t="shared" si="57"/>
        <v>1.4</v>
      </c>
      <c r="I35" s="61">
        <f t="shared" si="57"/>
        <v>1.4</v>
      </c>
      <c r="J35" s="61">
        <f t="shared" si="57"/>
        <v>1.4</v>
      </c>
      <c r="K35" s="61">
        <f t="shared" si="57"/>
        <v>1.4</v>
      </c>
      <c r="L35" s="61">
        <f t="shared" si="57"/>
        <v>1.4</v>
      </c>
      <c r="M35" s="61">
        <f t="shared" si="57"/>
        <v>1.4</v>
      </c>
      <c r="N35" s="42"/>
      <c r="O35" s="61">
        <f>E35</f>
        <v>1.4</v>
      </c>
      <c r="P35" s="61">
        <f>O35</f>
        <v>1.4</v>
      </c>
      <c r="Q35" s="61">
        <f t="shared" ref="Q35:V35" si="58">P35</f>
        <v>1.4</v>
      </c>
      <c r="R35" s="61">
        <f t="shared" si="58"/>
        <v>1.4</v>
      </c>
      <c r="S35" s="61">
        <f t="shared" ref="S35" si="59">R35</f>
        <v>1.4</v>
      </c>
      <c r="T35" s="46">
        <f t="shared" si="58"/>
        <v>1.4</v>
      </c>
      <c r="U35" s="46">
        <f t="shared" si="58"/>
        <v>1.4</v>
      </c>
      <c r="V35" s="46">
        <f t="shared" si="58"/>
        <v>1.4</v>
      </c>
      <c r="W35" s="229"/>
      <c r="X35" s="61">
        <f>O35</f>
        <v>1.4</v>
      </c>
      <c r="Y35" s="61">
        <f t="shared" ref="Y35:AB35" si="60">P35</f>
        <v>1.4</v>
      </c>
      <c r="Z35" s="61">
        <f t="shared" si="60"/>
        <v>1.4</v>
      </c>
      <c r="AA35" s="61">
        <f t="shared" si="60"/>
        <v>1.4</v>
      </c>
      <c r="AB35" s="61">
        <f t="shared" si="60"/>
        <v>1.4</v>
      </c>
      <c r="AC35" s="71">
        <f>AA35*(1+$D$34)</f>
        <v>1.4</v>
      </c>
      <c r="AD35" s="71">
        <f t="shared" ref="AD35:AE38" si="61">AC35*(1+$D$34)</f>
        <v>1.4</v>
      </c>
      <c r="AE35" s="71">
        <f t="shared" si="61"/>
        <v>1.4</v>
      </c>
      <c r="AF35" s="229"/>
      <c r="AG35" s="229"/>
      <c r="AH35" s="229"/>
      <c r="AI35" s="229"/>
      <c r="AJ35" s="229"/>
      <c r="AK35" s="229"/>
      <c r="AL35" s="229"/>
      <c r="AM35" s="229"/>
      <c r="AN35" s="229"/>
      <c r="AO35" s="229"/>
      <c r="AP35" s="229"/>
      <c r="AQ35" s="229"/>
      <c r="AR35" s="229"/>
      <c r="AS35" s="229"/>
      <c r="AT35" s="229"/>
      <c r="AU35" s="229"/>
    </row>
    <row r="36" spans="1:47">
      <c r="A36" s="185" t="s">
        <v>16</v>
      </c>
      <c r="C36" s="228" t="str">
        <f>C31</f>
        <v>Middle Income</v>
      </c>
      <c r="D36" s="185" t="s">
        <v>96</v>
      </c>
      <c r="E36" s="49">
        <f>[2]Calib_1011!$I$113</f>
        <v>1.4</v>
      </c>
      <c r="F36" s="61">
        <f t="shared" ref="F36:F38" si="62">IF($D$4,X36,O36)</f>
        <v>1.4</v>
      </c>
      <c r="G36" s="61">
        <f t="shared" si="57"/>
        <v>1.4</v>
      </c>
      <c r="H36" s="61">
        <f t="shared" si="57"/>
        <v>1.4</v>
      </c>
      <c r="I36" s="61">
        <f t="shared" si="57"/>
        <v>1.4</v>
      </c>
      <c r="J36" s="61">
        <f t="shared" si="57"/>
        <v>1.4</v>
      </c>
      <c r="K36" s="61">
        <f t="shared" si="57"/>
        <v>1.4</v>
      </c>
      <c r="L36" s="61">
        <f t="shared" si="57"/>
        <v>1.4</v>
      </c>
      <c r="M36" s="61">
        <f t="shared" si="57"/>
        <v>1.4</v>
      </c>
      <c r="N36" s="42"/>
      <c r="O36" s="61">
        <f>E36</f>
        <v>1.4</v>
      </c>
      <c r="P36" s="61">
        <f t="shared" ref="P36:V38" si="63">O36</f>
        <v>1.4</v>
      </c>
      <c r="Q36" s="61">
        <f t="shared" si="63"/>
        <v>1.4</v>
      </c>
      <c r="R36" s="61">
        <f t="shared" si="63"/>
        <v>1.4</v>
      </c>
      <c r="S36" s="61">
        <f t="shared" ref="S36" si="64">R36</f>
        <v>1.4</v>
      </c>
      <c r="T36" s="46">
        <f t="shared" si="63"/>
        <v>1.4</v>
      </c>
      <c r="U36" s="46">
        <f t="shared" si="63"/>
        <v>1.4</v>
      </c>
      <c r="V36" s="46">
        <f t="shared" si="63"/>
        <v>1.4</v>
      </c>
      <c r="W36" s="229"/>
      <c r="X36" s="61">
        <f t="shared" ref="X36:X38" si="65">O36</f>
        <v>1.4</v>
      </c>
      <c r="Y36" s="61">
        <f t="shared" ref="Y36:Y38" si="66">P36</f>
        <v>1.4</v>
      </c>
      <c r="Z36" s="61">
        <f t="shared" ref="Z36:Z38" si="67">Q36</f>
        <v>1.4</v>
      </c>
      <c r="AA36" s="61">
        <f t="shared" ref="AA36:AA38" si="68">R36</f>
        <v>1.4</v>
      </c>
      <c r="AB36" s="61">
        <f t="shared" ref="AB36:AB38" si="69">S36</f>
        <v>1.4</v>
      </c>
      <c r="AC36" s="71">
        <f>AA36*(1+$D$34)</f>
        <v>1.4</v>
      </c>
      <c r="AD36" s="71">
        <f t="shared" si="61"/>
        <v>1.4</v>
      </c>
      <c r="AE36" s="71">
        <f t="shared" si="61"/>
        <v>1.4</v>
      </c>
      <c r="AF36" s="229"/>
      <c r="AG36" s="229"/>
      <c r="AH36" s="229"/>
      <c r="AI36" s="229"/>
      <c r="AJ36" s="229"/>
      <c r="AK36" s="229"/>
      <c r="AL36" s="229"/>
      <c r="AM36" s="229"/>
      <c r="AN36" s="229"/>
      <c r="AO36" s="229"/>
      <c r="AP36" s="229"/>
      <c r="AQ36" s="229"/>
      <c r="AR36" s="229"/>
      <c r="AS36" s="229"/>
      <c r="AT36" s="229"/>
      <c r="AU36" s="229"/>
    </row>
    <row r="37" spans="1:47">
      <c r="A37" s="185" t="s">
        <v>16</v>
      </c>
      <c r="C37" s="228" t="str">
        <f>C32</f>
        <v>High Income</v>
      </c>
      <c r="D37" s="185" t="s">
        <v>96</v>
      </c>
      <c r="E37" s="49">
        <f>[2]Calib_1011!$J$113</f>
        <v>1.4</v>
      </c>
      <c r="F37" s="61">
        <f t="shared" si="62"/>
        <v>1.4</v>
      </c>
      <c r="G37" s="61">
        <f t="shared" si="57"/>
        <v>1.4</v>
      </c>
      <c r="H37" s="61">
        <f t="shared" si="57"/>
        <v>1.4</v>
      </c>
      <c r="I37" s="61">
        <f t="shared" si="57"/>
        <v>1.4</v>
      </c>
      <c r="J37" s="61">
        <f t="shared" si="57"/>
        <v>1.4</v>
      </c>
      <c r="K37" s="61">
        <f t="shared" si="57"/>
        <v>1.4</v>
      </c>
      <c r="L37" s="61">
        <f t="shared" si="57"/>
        <v>1.4</v>
      </c>
      <c r="M37" s="61">
        <f t="shared" si="57"/>
        <v>1.4</v>
      </c>
      <c r="N37" s="42"/>
      <c r="O37" s="61">
        <f>E37</f>
        <v>1.4</v>
      </c>
      <c r="P37" s="61">
        <f t="shared" si="63"/>
        <v>1.4</v>
      </c>
      <c r="Q37" s="61">
        <f t="shared" si="63"/>
        <v>1.4</v>
      </c>
      <c r="R37" s="61">
        <f t="shared" si="63"/>
        <v>1.4</v>
      </c>
      <c r="S37" s="61">
        <f t="shared" ref="S37" si="70">R37</f>
        <v>1.4</v>
      </c>
      <c r="T37" s="46">
        <f t="shared" si="63"/>
        <v>1.4</v>
      </c>
      <c r="U37" s="46">
        <f t="shared" si="63"/>
        <v>1.4</v>
      </c>
      <c r="V37" s="46">
        <f t="shared" si="63"/>
        <v>1.4</v>
      </c>
      <c r="W37" s="229"/>
      <c r="X37" s="61">
        <f t="shared" si="65"/>
        <v>1.4</v>
      </c>
      <c r="Y37" s="61">
        <f t="shared" si="66"/>
        <v>1.4</v>
      </c>
      <c r="Z37" s="61">
        <f t="shared" si="67"/>
        <v>1.4</v>
      </c>
      <c r="AA37" s="61">
        <f t="shared" si="68"/>
        <v>1.4</v>
      </c>
      <c r="AB37" s="61">
        <f t="shared" si="69"/>
        <v>1.4</v>
      </c>
      <c r="AC37" s="71">
        <f>AA37*(1+$D$34)</f>
        <v>1.4</v>
      </c>
      <c r="AD37" s="71">
        <f t="shared" si="61"/>
        <v>1.4</v>
      </c>
      <c r="AE37" s="71">
        <f t="shared" si="61"/>
        <v>1.4</v>
      </c>
      <c r="AF37" s="229"/>
      <c r="AG37" s="229"/>
      <c r="AH37" s="229"/>
      <c r="AI37" s="229"/>
      <c r="AJ37" s="229"/>
      <c r="AK37" s="229"/>
      <c r="AL37" s="229"/>
      <c r="AM37" s="229"/>
      <c r="AN37" s="229"/>
      <c r="AO37" s="229"/>
      <c r="AP37" s="229"/>
      <c r="AQ37" s="229"/>
      <c r="AR37" s="229"/>
      <c r="AS37" s="229"/>
      <c r="AT37" s="229"/>
      <c r="AU37" s="229"/>
    </row>
    <row r="38" spans="1:47">
      <c r="A38" s="185" t="s">
        <v>16</v>
      </c>
      <c r="C38" s="228" t="s">
        <v>195</v>
      </c>
      <c r="D38" s="185" t="s">
        <v>96</v>
      </c>
      <c r="E38" s="49">
        <f>[2]Calib_1011!K113</f>
        <v>1.4</v>
      </c>
      <c r="F38" s="61">
        <f t="shared" si="62"/>
        <v>1.4</v>
      </c>
      <c r="G38" s="61">
        <f t="shared" si="57"/>
        <v>1.4</v>
      </c>
      <c r="H38" s="61">
        <f t="shared" si="57"/>
        <v>1.4</v>
      </c>
      <c r="I38" s="61">
        <f t="shared" si="57"/>
        <v>1.4</v>
      </c>
      <c r="J38" s="61">
        <f t="shared" si="57"/>
        <v>1.4</v>
      </c>
      <c r="K38" s="61">
        <f t="shared" si="57"/>
        <v>1.4</v>
      </c>
      <c r="L38" s="61">
        <f t="shared" si="57"/>
        <v>1.4</v>
      </c>
      <c r="M38" s="61">
        <f t="shared" si="57"/>
        <v>1.4</v>
      </c>
      <c r="N38" s="40"/>
      <c r="O38" s="61">
        <f>E38</f>
        <v>1.4</v>
      </c>
      <c r="P38" s="61">
        <f t="shared" si="63"/>
        <v>1.4</v>
      </c>
      <c r="Q38" s="61">
        <f t="shared" si="63"/>
        <v>1.4</v>
      </c>
      <c r="R38" s="61">
        <f t="shared" si="63"/>
        <v>1.4</v>
      </c>
      <c r="S38" s="61">
        <f t="shared" ref="S38" si="71">R38</f>
        <v>1.4</v>
      </c>
      <c r="T38" s="46">
        <f t="shared" si="63"/>
        <v>1.4</v>
      </c>
      <c r="U38" s="46">
        <f t="shared" si="63"/>
        <v>1.4</v>
      </c>
      <c r="V38" s="46">
        <f t="shared" si="63"/>
        <v>1.4</v>
      </c>
      <c r="X38" s="61">
        <f t="shared" si="65"/>
        <v>1.4</v>
      </c>
      <c r="Y38" s="61">
        <f t="shared" si="66"/>
        <v>1.4</v>
      </c>
      <c r="Z38" s="61">
        <f t="shared" si="67"/>
        <v>1.4</v>
      </c>
      <c r="AA38" s="61">
        <f t="shared" si="68"/>
        <v>1.4</v>
      </c>
      <c r="AB38" s="61">
        <f t="shared" si="69"/>
        <v>1.4</v>
      </c>
      <c r="AC38" s="71">
        <f>AA38*(1+$D$34)</f>
        <v>1.4</v>
      </c>
      <c r="AD38" s="71">
        <f t="shared" si="61"/>
        <v>1.4</v>
      </c>
      <c r="AE38" s="71">
        <f t="shared" si="61"/>
        <v>1.4</v>
      </c>
    </row>
    <row r="39" spans="1:47">
      <c r="A39" s="185" t="s">
        <v>16</v>
      </c>
      <c r="C39" s="228"/>
      <c r="L39" s="185"/>
      <c r="N39" s="42"/>
      <c r="O39" s="186">
        <v>0.92</v>
      </c>
      <c r="P39" s="186">
        <v>1</v>
      </c>
      <c r="Q39" s="186"/>
      <c r="R39" s="186"/>
      <c r="S39" s="186"/>
      <c r="T39" s="186"/>
      <c r="W39" s="229"/>
      <c r="X39" s="185" t="s">
        <v>202</v>
      </c>
      <c r="AF39" s="229"/>
      <c r="AG39" s="229"/>
      <c r="AH39" s="229"/>
      <c r="AI39" s="229"/>
      <c r="AJ39" s="229"/>
      <c r="AK39" s="229"/>
      <c r="AL39" s="229"/>
      <c r="AM39" s="229"/>
      <c r="AN39" s="229"/>
      <c r="AO39" s="229"/>
      <c r="AP39" s="229"/>
      <c r="AQ39" s="229"/>
      <c r="AR39" s="229"/>
      <c r="AS39" s="229"/>
      <c r="AT39" s="229"/>
      <c r="AU39" s="229"/>
    </row>
    <row r="40" spans="1:47" ht="15.75" thickBot="1">
      <c r="A40" s="185" t="s">
        <v>16</v>
      </c>
      <c r="B40" s="227" t="s">
        <v>190</v>
      </c>
      <c r="D40" s="227"/>
      <c r="E40" s="7">
        <v>2012</v>
      </c>
      <c r="F40" s="7">
        <f>F4</f>
        <v>2015</v>
      </c>
      <c r="G40" s="7">
        <f>G4</f>
        <v>2017</v>
      </c>
      <c r="H40" s="7">
        <f t="shared" ref="H40:J40" si="72">H4</f>
        <v>2019</v>
      </c>
      <c r="I40" s="7">
        <f t="shared" si="72"/>
        <v>2020</v>
      </c>
      <c r="J40" s="7">
        <f t="shared" si="72"/>
        <v>2021</v>
      </c>
      <c r="K40" s="7">
        <v>2030</v>
      </c>
      <c r="L40" s="7">
        <v>2040</v>
      </c>
      <c r="M40" s="7">
        <v>2050</v>
      </c>
      <c r="N40" s="300" t="s">
        <v>647</v>
      </c>
      <c r="O40" s="7">
        <f>O34</f>
        <v>2015</v>
      </c>
      <c r="P40" s="7">
        <f t="shared" ref="P40:V40" si="73">P34</f>
        <v>2017</v>
      </c>
      <c r="Q40" s="7">
        <f t="shared" si="73"/>
        <v>2019</v>
      </c>
      <c r="R40" s="7">
        <f t="shared" si="73"/>
        <v>2020</v>
      </c>
      <c r="S40" s="7">
        <f t="shared" si="73"/>
        <v>2021</v>
      </c>
      <c r="T40" s="7">
        <f t="shared" si="73"/>
        <v>2030</v>
      </c>
      <c r="U40" s="7">
        <f t="shared" si="73"/>
        <v>2040</v>
      </c>
      <c r="V40" s="7">
        <f t="shared" si="73"/>
        <v>2050</v>
      </c>
      <c r="X40" s="7">
        <f>F40</f>
        <v>2015</v>
      </c>
      <c r="Y40" s="7">
        <f t="shared" ref="Y40:Z40" si="74">G40</f>
        <v>2017</v>
      </c>
      <c r="Z40" s="7">
        <f t="shared" si="74"/>
        <v>2019</v>
      </c>
      <c r="AA40" s="7">
        <f>I40</f>
        <v>2020</v>
      </c>
      <c r="AB40" s="7">
        <f>J40</f>
        <v>2021</v>
      </c>
      <c r="AC40" s="7">
        <f>K40</f>
        <v>2030</v>
      </c>
      <c r="AD40" s="7">
        <f>L40</f>
        <v>2040</v>
      </c>
      <c r="AE40" s="7">
        <f>M40</f>
        <v>2050</v>
      </c>
    </row>
    <row r="41" spans="1:47">
      <c r="A41" s="185" t="s">
        <v>16</v>
      </c>
      <c r="B41" s="193">
        <f>INDEX($BG$4:$BG$7,MATCH($D$3,$BB$4:$BB$7,0))</f>
        <v>0.95</v>
      </c>
      <c r="C41" s="228" t="str">
        <f>C35</f>
        <v>Low Income</v>
      </c>
      <c r="D41" s="35" t="s">
        <v>171</v>
      </c>
      <c r="E41" s="49">
        <f>[2]Calib_1011!$H$118</f>
        <v>8.0274119837508469</v>
      </c>
      <c r="F41" s="61">
        <f>IF($D$4,X41,O41)</f>
        <v>7.3852190250507794</v>
      </c>
      <c r="G41" s="61">
        <f t="shared" ref="G41:M44" si="75">IF($D$4,Y41,P41)</f>
        <v>7.3852190250507794</v>
      </c>
      <c r="H41" s="61">
        <f t="shared" si="75"/>
        <v>7.3852190250507794</v>
      </c>
      <c r="I41" s="61">
        <f t="shared" si="75"/>
        <v>7.3852190250507794</v>
      </c>
      <c r="J41" s="61">
        <f t="shared" si="75"/>
        <v>7.3852190250507794</v>
      </c>
      <c r="K41" s="61">
        <f t="shared" si="75"/>
        <v>7.3852190250507794</v>
      </c>
      <c r="L41" s="61">
        <f t="shared" si="75"/>
        <v>7.3852190250507794</v>
      </c>
      <c r="M41" s="61">
        <f t="shared" si="75"/>
        <v>7.3852190250507794</v>
      </c>
      <c r="N41" s="301">
        <v>1</v>
      </c>
      <c r="O41" s="330">
        <f>E41*O$39</f>
        <v>7.3852190250507794</v>
      </c>
      <c r="P41" s="215">
        <f>O41*P$39</f>
        <v>7.3852190250507794</v>
      </c>
      <c r="Q41" s="185">
        <f t="shared" ref="Q41:V41" si="76">P41</f>
        <v>7.3852190250507794</v>
      </c>
      <c r="R41" s="61">
        <f>Q41*$N41</f>
        <v>7.3852190250507794</v>
      </c>
      <c r="S41" s="61">
        <f>Q41</f>
        <v>7.3852190250507794</v>
      </c>
      <c r="T41" s="46">
        <f t="shared" si="76"/>
        <v>7.3852190250507794</v>
      </c>
      <c r="U41" s="46">
        <f t="shared" si="76"/>
        <v>7.3852190250507794</v>
      </c>
      <c r="V41" s="46">
        <f t="shared" si="76"/>
        <v>7.3852190250507794</v>
      </c>
      <c r="X41" s="61">
        <f>O41</f>
        <v>7.3852190250507794</v>
      </c>
      <c r="Y41" s="61">
        <f t="shared" ref="Y41:AB41" si="77">P41</f>
        <v>7.3852190250507794</v>
      </c>
      <c r="Z41" s="61">
        <f t="shared" si="77"/>
        <v>7.3852190250507794</v>
      </c>
      <c r="AA41" s="61">
        <f t="shared" si="77"/>
        <v>7.3852190250507794</v>
      </c>
      <c r="AB41" s="61">
        <f t="shared" si="77"/>
        <v>7.3852190250507794</v>
      </c>
      <c r="AC41" s="71">
        <f t="shared" ref="AC41:AE43" si="78">AB41*$B41</f>
        <v>7.0159580737982399</v>
      </c>
      <c r="AD41" s="71">
        <f t="shared" si="78"/>
        <v>6.6651601701083276</v>
      </c>
      <c r="AE41" s="71">
        <f t="shared" si="78"/>
        <v>6.331902161602911</v>
      </c>
      <c r="AF41" s="229"/>
      <c r="AG41" s="229"/>
      <c r="AH41" s="229"/>
      <c r="AI41" s="229"/>
      <c r="AJ41" s="229"/>
      <c r="AK41" s="229"/>
      <c r="AL41" s="229"/>
      <c r="AM41" s="229"/>
      <c r="AN41" s="229"/>
      <c r="AO41" s="229"/>
      <c r="AP41" s="229"/>
      <c r="AQ41" s="229"/>
      <c r="AR41" s="229"/>
      <c r="AS41" s="229"/>
      <c r="AT41" s="229"/>
      <c r="AU41" s="229"/>
    </row>
    <row r="42" spans="1:47">
      <c r="A42" s="185" t="s">
        <v>16</v>
      </c>
      <c r="B42" s="193">
        <f>INDEX($BF$4:$BF$7,MATCH($D$3,$BB$4:$BB$7,0))</f>
        <v>0.95</v>
      </c>
      <c r="C42" s="228" t="str">
        <f>C36</f>
        <v>Middle Income</v>
      </c>
      <c r="D42" s="35" t="s">
        <v>171</v>
      </c>
      <c r="E42" s="49">
        <f>[2]Calib_1011!$I$118</f>
        <v>13.418073439870216</v>
      </c>
      <c r="F42" s="61">
        <f>IF($D$4,X42,O42)</f>
        <v>12.3446275646806</v>
      </c>
      <c r="G42" s="61">
        <f t="shared" si="75"/>
        <v>12.3446275646806</v>
      </c>
      <c r="H42" s="61">
        <f t="shared" si="75"/>
        <v>12.3446275646806</v>
      </c>
      <c r="I42" s="61">
        <f t="shared" si="75"/>
        <v>12.3446275646806</v>
      </c>
      <c r="J42" s="61">
        <f t="shared" si="75"/>
        <v>12.3446275646806</v>
      </c>
      <c r="K42" s="61">
        <f t="shared" si="75"/>
        <v>12.3446275646806</v>
      </c>
      <c r="L42" s="61">
        <f t="shared" si="75"/>
        <v>12.3446275646806</v>
      </c>
      <c r="M42" s="61">
        <f t="shared" si="75"/>
        <v>12.3446275646806</v>
      </c>
      <c r="N42" s="301">
        <v>1</v>
      </c>
      <c r="O42" s="330">
        <f t="shared" ref="O42:O43" si="79">E42*O$39</f>
        <v>12.3446275646806</v>
      </c>
      <c r="P42" s="215">
        <f t="shared" ref="P42:P43" si="80">O42*P$39</f>
        <v>12.3446275646806</v>
      </c>
      <c r="Q42" s="185">
        <f t="shared" ref="P42:V44" si="81">P42</f>
        <v>12.3446275646806</v>
      </c>
      <c r="R42" s="61">
        <f t="shared" ref="R42:R44" si="82">Q42*$N42</f>
        <v>12.3446275646806</v>
      </c>
      <c r="S42" s="61">
        <f t="shared" ref="S42:S44" si="83">Q42</f>
        <v>12.3446275646806</v>
      </c>
      <c r="T42" s="180">
        <f>S42</f>
        <v>12.3446275646806</v>
      </c>
      <c r="U42" s="180">
        <f t="shared" si="81"/>
        <v>12.3446275646806</v>
      </c>
      <c r="V42" s="180">
        <f t="shared" si="81"/>
        <v>12.3446275646806</v>
      </c>
      <c r="X42" s="61">
        <f t="shared" ref="X42:X44" si="84">O42</f>
        <v>12.3446275646806</v>
      </c>
      <c r="Y42" s="61">
        <f t="shared" ref="Y42:Y44" si="85">P42</f>
        <v>12.3446275646806</v>
      </c>
      <c r="Z42" s="61">
        <f t="shared" ref="Z42:Z44" si="86">Q42</f>
        <v>12.3446275646806</v>
      </c>
      <c r="AA42" s="61">
        <f t="shared" ref="AA42:AA44" si="87">R42</f>
        <v>12.3446275646806</v>
      </c>
      <c r="AB42" s="61">
        <f t="shared" ref="AB42:AB44" si="88">S42</f>
        <v>12.3446275646806</v>
      </c>
      <c r="AC42" s="71">
        <f t="shared" si="78"/>
        <v>11.727396186446569</v>
      </c>
      <c r="AD42" s="71">
        <f t="shared" si="78"/>
        <v>11.141026377124239</v>
      </c>
      <c r="AE42" s="71">
        <f t="shared" si="78"/>
        <v>10.583975058268027</v>
      </c>
      <c r="AF42" s="229"/>
      <c r="AG42" s="229"/>
      <c r="AH42" s="229"/>
      <c r="AI42" s="229"/>
      <c r="AJ42" s="229"/>
      <c r="AK42" s="229"/>
      <c r="AL42" s="229"/>
      <c r="AM42" s="229"/>
      <c r="AN42" s="229"/>
      <c r="AO42" s="229"/>
      <c r="AP42" s="229"/>
      <c r="AQ42" s="229"/>
      <c r="AR42" s="229"/>
      <c r="AS42" s="229"/>
      <c r="AT42" s="229"/>
      <c r="AU42" s="229"/>
    </row>
    <row r="43" spans="1:47">
      <c r="A43" s="185" t="s">
        <v>16</v>
      </c>
      <c r="B43" s="193">
        <f>INDEX($BE$4:$BE$7,MATCH($D$3,$BB$4:$BB$7,0))</f>
        <v>0.97499999999999998</v>
      </c>
      <c r="C43" s="228" t="str">
        <f>C37</f>
        <v>High Income</v>
      </c>
      <c r="D43" s="35" t="s">
        <v>171</v>
      </c>
      <c r="E43" s="329">
        <f>[2]Calib_1011!$J$118*0.925</f>
        <v>14.489168827787489</v>
      </c>
      <c r="F43" s="61">
        <f>IF($D$4,X43,O43)</f>
        <v>13.330035321564491</v>
      </c>
      <c r="G43" s="61">
        <f t="shared" si="75"/>
        <v>13.330035321564491</v>
      </c>
      <c r="H43" s="61">
        <f t="shared" si="75"/>
        <v>13.330035321564491</v>
      </c>
      <c r="I43" s="61">
        <f t="shared" si="75"/>
        <v>13.330035321564491</v>
      </c>
      <c r="J43" s="61">
        <f t="shared" si="75"/>
        <v>13.330035321564491</v>
      </c>
      <c r="K43" s="61">
        <f t="shared" si="75"/>
        <v>13.330035321564491</v>
      </c>
      <c r="L43" s="61">
        <f t="shared" si="75"/>
        <v>13.330035321564491</v>
      </c>
      <c r="M43" s="61">
        <f t="shared" si="75"/>
        <v>13.330035321564491</v>
      </c>
      <c r="N43" s="301">
        <v>1</v>
      </c>
      <c r="O43" s="330">
        <f t="shared" si="79"/>
        <v>13.330035321564491</v>
      </c>
      <c r="P43" s="215">
        <f t="shared" si="80"/>
        <v>13.330035321564491</v>
      </c>
      <c r="Q43" s="185">
        <f t="shared" si="81"/>
        <v>13.330035321564491</v>
      </c>
      <c r="R43" s="61">
        <f t="shared" si="82"/>
        <v>13.330035321564491</v>
      </c>
      <c r="S43" s="61">
        <f t="shared" si="83"/>
        <v>13.330035321564491</v>
      </c>
      <c r="T43" s="46">
        <f t="shared" si="81"/>
        <v>13.330035321564491</v>
      </c>
      <c r="U43" s="46">
        <f t="shared" si="81"/>
        <v>13.330035321564491</v>
      </c>
      <c r="V43" s="46">
        <f t="shared" si="81"/>
        <v>13.330035321564491</v>
      </c>
      <c r="X43" s="61">
        <f t="shared" si="84"/>
        <v>13.330035321564491</v>
      </c>
      <c r="Y43" s="61">
        <f t="shared" si="85"/>
        <v>13.330035321564491</v>
      </c>
      <c r="Z43" s="61">
        <f t="shared" si="86"/>
        <v>13.330035321564491</v>
      </c>
      <c r="AA43" s="61">
        <f t="shared" si="87"/>
        <v>13.330035321564491</v>
      </c>
      <c r="AB43" s="61">
        <f t="shared" si="88"/>
        <v>13.330035321564491</v>
      </c>
      <c r="AC43" s="71">
        <f t="shared" si="78"/>
        <v>12.996784438525378</v>
      </c>
      <c r="AD43" s="71">
        <f t="shared" si="78"/>
        <v>12.671864827562242</v>
      </c>
      <c r="AE43" s="71">
        <f t="shared" si="78"/>
        <v>12.355068206873186</v>
      </c>
      <c r="AF43" s="229"/>
      <c r="AG43" s="229"/>
      <c r="AH43" s="229"/>
      <c r="AI43" s="229"/>
      <c r="AJ43" s="229"/>
      <c r="AK43" s="229"/>
      <c r="AL43" s="229"/>
      <c r="AM43" s="229"/>
      <c r="AN43" s="229"/>
      <c r="AO43" s="229"/>
      <c r="AP43" s="229"/>
      <c r="AQ43" s="229"/>
      <c r="AR43" s="229"/>
      <c r="AS43" s="229"/>
      <c r="AT43" s="229"/>
      <c r="AU43" s="229"/>
    </row>
    <row r="44" spans="1:47">
      <c r="A44" s="185" t="s">
        <v>16</v>
      </c>
      <c r="B44" s="193">
        <v>0.95</v>
      </c>
      <c r="C44" s="228" t="s">
        <v>195</v>
      </c>
      <c r="D44" s="35" t="s">
        <v>171</v>
      </c>
      <c r="E44" s="49">
        <f>[2]Calib_1011!$K$118</f>
        <v>13.5</v>
      </c>
      <c r="F44" s="61">
        <f>IF($D$4,X44,O44)</f>
        <v>13.5</v>
      </c>
      <c r="G44" s="61">
        <f t="shared" si="75"/>
        <v>13.5</v>
      </c>
      <c r="H44" s="61">
        <f t="shared" si="75"/>
        <v>13.5</v>
      </c>
      <c r="I44" s="61">
        <f t="shared" si="75"/>
        <v>13.5</v>
      </c>
      <c r="J44" s="61">
        <f t="shared" si="75"/>
        <v>13.5</v>
      </c>
      <c r="K44" s="61">
        <f t="shared" si="75"/>
        <v>13.5</v>
      </c>
      <c r="L44" s="61">
        <f t="shared" si="75"/>
        <v>13.5</v>
      </c>
      <c r="M44" s="61">
        <f t="shared" si="75"/>
        <v>13.5</v>
      </c>
      <c r="N44" s="301">
        <v>1</v>
      </c>
      <c r="O44" s="61">
        <f t="shared" ref="O44" si="89">E44</f>
        <v>13.5</v>
      </c>
      <c r="P44" s="186">
        <f t="shared" si="81"/>
        <v>13.5</v>
      </c>
      <c r="Q44" s="185">
        <f t="shared" si="81"/>
        <v>13.5</v>
      </c>
      <c r="R44" s="61">
        <f t="shared" si="82"/>
        <v>13.5</v>
      </c>
      <c r="S44" s="61">
        <f t="shared" si="83"/>
        <v>13.5</v>
      </c>
      <c r="T44" s="46">
        <f>S44</f>
        <v>13.5</v>
      </c>
      <c r="U44" s="46">
        <f t="shared" si="81"/>
        <v>13.5</v>
      </c>
      <c r="V44" s="46">
        <f t="shared" si="81"/>
        <v>13.5</v>
      </c>
      <c r="X44" s="61">
        <f t="shared" si="84"/>
        <v>13.5</v>
      </c>
      <c r="Y44" s="61">
        <f t="shared" si="85"/>
        <v>13.5</v>
      </c>
      <c r="Z44" s="61">
        <f t="shared" si="86"/>
        <v>13.5</v>
      </c>
      <c r="AA44" s="61">
        <f t="shared" si="87"/>
        <v>13.5</v>
      </c>
      <c r="AB44" s="61">
        <f t="shared" si="88"/>
        <v>13.5</v>
      </c>
      <c r="AC44" s="71">
        <f>AB44*$B44</f>
        <v>12.824999999999999</v>
      </c>
      <c r="AD44" s="71">
        <f t="shared" ref="AD44:AE44" si="90">AC44*$B44</f>
        <v>12.183749999999998</v>
      </c>
      <c r="AE44" s="71">
        <f t="shared" si="90"/>
        <v>11.574562499999997</v>
      </c>
      <c r="AF44" s="229"/>
      <c r="AG44" s="229"/>
      <c r="AH44" s="229"/>
      <c r="AI44" s="229"/>
      <c r="AJ44" s="229"/>
      <c r="AK44" s="229"/>
      <c r="AL44" s="229"/>
      <c r="AM44" s="229"/>
      <c r="AN44" s="229"/>
      <c r="AO44" s="229"/>
      <c r="AP44" s="229"/>
      <c r="AQ44" s="229"/>
      <c r="AR44" s="229"/>
      <c r="AS44" s="229"/>
      <c r="AT44" s="229"/>
      <c r="AU44" s="229"/>
    </row>
    <row r="45" spans="1:47">
      <c r="A45" s="185" t="s">
        <v>16</v>
      </c>
      <c r="C45" s="228" t="s">
        <v>6</v>
      </c>
      <c r="D45" s="35" t="s">
        <v>171</v>
      </c>
      <c r="E45" s="186">
        <f t="shared" ref="E45" si="91">SUMPRODUCT(E41:E44,E54:E57)/SUM(E54:E57)</f>
        <v>13.858705512449847</v>
      </c>
      <c r="F45" s="186">
        <f>SUMPRODUCT(F41:F44,F54:F57)/SUM(F54:F57)</f>
        <v>12.868004059439311</v>
      </c>
      <c r="G45" s="186">
        <f t="shared" ref="G45:L45" si="92">SUMPRODUCT(G41:G44,G54:G57)/SUM(G54:G57)</f>
        <v>12.877014618381118</v>
      </c>
      <c r="H45" s="186">
        <f t="shared" si="92"/>
        <v>12.878645358068882</v>
      </c>
      <c r="I45" s="186">
        <f t="shared" si="92"/>
        <v>12.824333484282297</v>
      </c>
      <c r="J45" s="186">
        <f t="shared" si="92"/>
        <v>12.837616875627665</v>
      </c>
      <c r="K45" s="186">
        <f t="shared" si="92"/>
        <v>12.904604149295912</v>
      </c>
      <c r="L45" s="186">
        <f t="shared" si="92"/>
        <v>12.96820436561557</v>
      </c>
      <c r="M45" s="186">
        <f>SUMPRODUCT(M41:M44,M54:M57)/SUM(M54:M57)</f>
        <v>13.016065193021914</v>
      </c>
      <c r="N45" s="42"/>
      <c r="O45" s="186"/>
      <c r="W45" s="229"/>
      <c r="X45" s="229"/>
      <c r="AA45" s="229"/>
      <c r="AC45" s="229"/>
      <c r="AD45" s="229"/>
      <c r="AE45" s="229"/>
      <c r="AF45" s="229"/>
      <c r="AG45" s="229"/>
      <c r="AH45" s="229"/>
      <c r="AI45" s="229"/>
      <c r="AJ45" s="229"/>
      <c r="AK45" s="229"/>
      <c r="AL45" s="229"/>
      <c r="AM45" s="229"/>
      <c r="AN45" s="229"/>
      <c r="AO45" s="229"/>
      <c r="AP45" s="229"/>
      <c r="AQ45" s="229"/>
      <c r="AR45" s="229"/>
      <c r="AS45" s="229"/>
      <c r="AT45" s="229"/>
      <c r="AU45" s="229"/>
    </row>
    <row r="46" spans="1:47" ht="15.75" thickBot="1">
      <c r="A46" s="185" t="s">
        <v>16</v>
      </c>
      <c r="C46" s="227" t="s">
        <v>161</v>
      </c>
      <c r="D46" s="227"/>
      <c r="E46" s="7"/>
      <c r="F46" s="7"/>
      <c r="G46" s="7"/>
      <c r="H46" s="7"/>
      <c r="I46" s="7"/>
      <c r="J46" s="7"/>
      <c r="K46" s="7"/>
      <c r="L46" s="7"/>
      <c r="M46" s="7"/>
      <c r="N46" s="42"/>
      <c r="O46" s="7"/>
      <c r="P46" s="7"/>
      <c r="Q46" s="7"/>
      <c r="R46" s="7"/>
      <c r="S46" s="7"/>
      <c r="T46" s="7"/>
      <c r="U46" s="7"/>
      <c r="V46" s="7"/>
      <c r="X46" s="7"/>
      <c r="AA46" s="7"/>
      <c r="AC46" s="7"/>
      <c r="AD46" s="7"/>
      <c r="AE46" s="7"/>
      <c r="AF46" s="229"/>
      <c r="AG46" s="229"/>
      <c r="AH46" s="229"/>
      <c r="AI46" s="229"/>
      <c r="AJ46" s="229"/>
      <c r="AK46" s="229"/>
      <c r="AL46" s="229"/>
      <c r="AM46" s="229"/>
      <c r="AN46" s="229"/>
      <c r="AO46" s="229"/>
      <c r="AP46" s="229"/>
      <c r="AQ46" s="229"/>
      <c r="AR46" s="229"/>
      <c r="AS46" s="229"/>
      <c r="AT46" s="229"/>
      <c r="AU46" s="229"/>
    </row>
    <row r="47" spans="1:47">
      <c r="A47" s="185" t="s">
        <v>16</v>
      </c>
      <c r="C47" s="185" t="s">
        <v>13</v>
      </c>
      <c r="E47" s="49">
        <f>FTRA!F7</f>
        <v>135.95535691221758</v>
      </c>
      <c r="F47" s="73">
        <f>IF($D$4,X47,O47)</f>
        <v>145.137</v>
      </c>
      <c r="G47" s="73">
        <f t="shared" ref="G47:M51" si="93">IF($D$4,Y47,P47)</f>
        <v>148.477</v>
      </c>
      <c r="H47" s="73">
        <f t="shared" si="93"/>
        <v>150.78899999999999</v>
      </c>
      <c r="I47" s="73">
        <f t="shared" si="93"/>
        <v>140.006</v>
      </c>
      <c r="J47" s="73">
        <f t="shared" si="93"/>
        <v>142.92774302092894</v>
      </c>
      <c r="K47" s="73">
        <f t="shared" si="93"/>
        <v>177.61047399301378</v>
      </c>
      <c r="L47" s="73">
        <f t="shared" si="93"/>
        <v>226.46955752177888</v>
      </c>
      <c r="M47" s="73">
        <f t="shared" si="93"/>
        <v>294.49053369302624</v>
      </c>
      <c r="N47" s="42"/>
      <c r="O47" s="305">
        <f>FTRA!G7</f>
        <v>145.137</v>
      </c>
      <c r="P47" s="305">
        <f>FTRA!H7</f>
        <v>148.477</v>
      </c>
      <c r="Q47" s="305">
        <f>FTRA!I7</f>
        <v>150.78899999999999</v>
      </c>
      <c r="R47" s="305">
        <f>FTRA!J7</f>
        <v>140.006</v>
      </c>
      <c r="S47" s="305">
        <f>FTRA!K7</f>
        <v>142.92774302092894</v>
      </c>
      <c r="T47" s="287">
        <f>FTRA!L7</f>
        <v>177.61047399301378</v>
      </c>
      <c r="U47" s="287">
        <f>FTRA!M7</f>
        <v>226.46955752177888</v>
      </c>
      <c r="V47" s="287">
        <f>FTRA!N7</f>
        <v>294.49053369302624</v>
      </c>
      <c r="W47" s="229"/>
      <c r="X47" s="186">
        <f>FTRA!G7</f>
        <v>145.137</v>
      </c>
      <c r="Y47" s="186">
        <f>FTRA!H7</f>
        <v>148.477</v>
      </c>
      <c r="Z47" s="186">
        <f>FTRA!I7</f>
        <v>150.78899999999999</v>
      </c>
      <c r="AA47" s="186">
        <f>FTRA!J7</f>
        <v>140.006</v>
      </c>
      <c r="AB47" s="186">
        <f>FTRA!K7</f>
        <v>142.92774302092894</v>
      </c>
      <c r="AC47" s="186">
        <f>FTRA!L7</f>
        <v>177.61047399301378</v>
      </c>
      <c r="AD47" s="186">
        <f>FTRA!M7</f>
        <v>226.46955752177888</v>
      </c>
      <c r="AE47" s="186">
        <f>FTRA!N7</f>
        <v>294.49053369302624</v>
      </c>
      <c r="AF47" s="229"/>
      <c r="AG47" s="229"/>
      <c r="AH47" s="229"/>
      <c r="AI47" s="229"/>
      <c r="AJ47" s="229"/>
      <c r="AK47" s="229"/>
      <c r="AL47" s="229"/>
      <c r="AM47" s="229"/>
      <c r="AN47" s="229"/>
      <c r="AO47" s="229"/>
      <c r="AP47" s="229"/>
      <c r="AQ47" s="229"/>
      <c r="AR47" s="229"/>
      <c r="AS47" s="229"/>
      <c r="AT47" s="229"/>
      <c r="AU47" s="229"/>
    </row>
    <row r="48" spans="1:47">
      <c r="A48" s="185" t="s">
        <v>16</v>
      </c>
      <c r="C48" s="185" t="s">
        <v>163</v>
      </c>
      <c r="E48" s="49">
        <v>0.5</v>
      </c>
      <c r="F48" s="73">
        <f>IF($D$4,X48,O48)</f>
        <v>0.5</v>
      </c>
      <c r="G48" s="73">
        <f t="shared" si="93"/>
        <v>0.5</v>
      </c>
      <c r="H48" s="73">
        <f t="shared" si="93"/>
        <v>0.5</v>
      </c>
      <c r="I48" s="73">
        <f t="shared" si="93"/>
        <v>0.5</v>
      </c>
      <c r="J48" s="73">
        <f t="shared" si="93"/>
        <v>0.5</v>
      </c>
      <c r="K48" s="73">
        <f t="shared" si="93"/>
        <v>0.5</v>
      </c>
      <c r="L48" s="73">
        <f t="shared" si="93"/>
        <v>0.5</v>
      </c>
      <c r="M48" s="73">
        <f t="shared" si="93"/>
        <v>0.5</v>
      </c>
      <c r="N48" s="42"/>
      <c r="O48" s="73">
        <f>E48</f>
        <v>0.5</v>
      </c>
      <c r="P48" s="73">
        <f t="shared" ref="P48:V48" si="94">F48</f>
        <v>0.5</v>
      </c>
      <c r="Q48" s="73">
        <f t="shared" si="94"/>
        <v>0.5</v>
      </c>
      <c r="R48" s="73">
        <f t="shared" si="94"/>
        <v>0.5</v>
      </c>
      <c r="S48" s="73">
        <f t="shared" si="94"/>
        <v>0.5</v>
      </c>
      <c r="T48" s="46">
        <f t="shared" si="94"/>
        <v>0.5</v>
      </c>
      <c r="U48" s="46">
        <f t="shared" si="94"/>
        <v>0.5</v>
      </c>
      <c r="V48" s="46">
        <f t="shared" si="94"/>
        <v>0.5</v>
      </c>
      <c r="W48" s="229"/>
      <c r="X48" s="73">
        <f>O48</f>
        <v>0.5</v>
      </c>
      <c r="Y48" s="73">
        <f t="shared" ref="Y48:AB48" si="95">P48</f>
        <v>0.5</v>
      </c>
      <c r="Z48" s="73">
        <f t="shared" si="95"/>
        <v>0.5</v>
      </c>
      <c r="AA48" s="73">
        <f t="shared" si="95"/>
        <v>0.5</v>
      </c>
      <c r="AB48" s="73">
        <f t="shared" si="95"/>
        <v>0.5</v>
      </c>
      <c r="AC48" s="46">
        <f>AB48</f>
        <v>0.5</v>
      </c>
      <c r="AD48" s="46">
        <v>0.4</v>
      </c>
      <c r="AE48" s="46">
        <v>0.3</v>
      </c>
      <c r="AF48" s="229"/>
      <c r="AG48" s="229"/>
      <c r="AH48" s="229"/>
      <c r="AI48" s="229"/>
      <c r="AJ48" s="229"/>
      <c r="AK48" s="229"/>
      <c r="AL48" s="229"/>
      <c r="AM48" s="229"/>
      <c r="AN48" s="229"/>
      <c r="AO48" s="229"/>
      <c r="AP48" s="229"/>
      <c r="AQ48" s="229"/>
      <c r="AR48" s="229"/>
      <c r="AS48" s="229"/>
      <c r="AT48" s="229"/>
      <c r="AU48" s="229"/>
    </row>
    <row r="49" spans="1:47">
      <c r="A49" s="185" t="s">
        <v>16</v>
      </c>
      <c r="C49" s="228" t="s">
        <v>162</v>
      </c>
      <c r="D49" s="185" t="s">
        <v>164</v>
      </c>
      <c r="E49" s="49">
        <f>[2]Calib_1011!$K$116</f>
        <v>0.50601376355767247</v>
      </c>
      <c r="F49" s="73">
        <f t="shared" ref="F49:F51" si="96">IF($D$4,X49,O49)</f>
        <v>0.52310039361040328</v>
      </c>
      <c r="G49" s="73">
        <f t="shared" si="93"/>
        <v>0.52911938020465121</v>
      </c>
      <c r="H49" s="73">
        <f t="shared" si="93"/>
        <v>0.53323895430378154</v>
      </c>
      <c r="I49" s="73">
        <f t="shared" si="93"/>
        <v>0.51417285649738431</v>
      </c>
      <c r="J49" s="73">
        <f t="shared" si="93"/>
        <v>0.51953791569135577</v>
      </c>
      <c r="K49" s="73">
        <f t="shared" si="93"/>
        <v>0.5825732417199857</v>
      </c>
      <c r="L49" s="73">
        <f t="shared" si="93"/>
        <v>0.66270363616941397</v>
      </c>
      <c r="M49" s="73">
        <f t="shared" si="93"/>
        <v>0.76222639043660445</v>
      </c>
      <c r="N49" s="42"/>
      <c r="O49" s="24">
        <f>E49*(1+(O48*(O47/E47-1)))</f>
        <v>0.52310039361040328</v>
      </c>
      <c r="P49" s="24">
        <f t="shared" ref="P49:V49" si="97">F49*(1+(P48*(P47/F47-1)))</f>
        <v>0.52911938020465121</v>
      </c>
      <c r="Q49" s="24">
        <f t="shared" si="97"/>
        <v>0.53323895430378154</v>
      </c>
      <c r="R49" s="73">
        <f t="shared" si="97"/>
        <v>0.51417285649738431</v>
      </c>
      <c r="S49" s="73">
        <f t="shared" si="97"/>
        <v>0.51953791569135577</v>
      </c>
      <c r="T49" s="46">
        <f t="shared" si="97"/>
        <v>0.5825732417199857</v>
      </c>
      <c r="U49" s="46">
        <f t="shared" si="97"/>
        <v>0.66270363616941397</v>
      </c>
      <c r="V49" s="46">
        <f t="shared" si="97"/>
        <v>0.76222639043660445</v>
      </c>
      <c r="W49" s="229"/>
      <c r="X49" s="73">
        <f t="shared" ref="X49:X51" si="98">O49</f>
        <v>0.52310039361040328</v>
      </c>
      <c r="Y49" s="73">
        <f t="shared" ref="Y49:Y51" si="99">P49</f>
        <v>0.52911938020465121</v>
      </c>
      <c r="Z49" s="73">
        <f t="shared" ref="Z49:Z51" si="100">Q49</f>
        <v>0.53323895430378154</v>
      </c>
      <c r="AA49" s="73">
        <f t="shared" ref="AA49:AA51" si="101">R49</f>
        <v>0.51417285649738431</v>
      </c>
      <c r="AB49" s="73">
        <f t="shared" ref="AB49:AB51" si="102">S49</f>
        <v>0.51953791569135577</v>
      </c>
      <c r="AC49" s="46">
        <f>AA49*(1+(AC48*(AC47/AA47-1)))</f>
        <v>0.58322418219081706</v>
      </c>
      <c r="AD49" s="46">
        <f>AC49*(1+(AD48*(AD47/AC47-1)))</f>
        <v>0.64740012495594412</v>
      </c>
      <c r="AE49" s="46">
        <f>AD49*(1+(AE48*(AE47/AD47-1)))</f>
        <v>0.70573483751702104</v>
      </c>
      <c r="AF49" s="229"/>
      <c r="AG49" s="229"/>
      <c r="AH49" s="229"/>
      <c r="AI49" s="229"/>
      <c r="AJ49" s="229"/>
      <c r="AK49" s="229"/>
      <c r="AL49" s="229"/>
      <c r="AM49" s="229"/>
      <c r="AN49" s="229"/>
      <c r="AO49" s="229"/>
      <c r="AP49" s="229"/>
      <c r="AQ49" s="229"/>
      <c r="AR49" s="229"/>
      <c r="AS49" s="229"/>
      <c r="AT49" s="229"/>
      <c r="AU49" s="229"/>
    </row>
    <row r="50" spans="1:47">
      <c r="A50" s="185" t="s">
        <v>16</v>
      </c>
      <c r="C50" s="228" t="s">
        <v>172</v>
      </c>
      <c r="D50" s="185" t="s">
        <v>173</v>
      </c>
      <c r="E50" s="49">
        <f t="shared" ref="E50" si="103">E49*E44</f>
        <v>6.8311858080285788</v>
      </c>
      <c r="F50" s="73">
        <f t="shared" si="96"/>
        <v>7.0618553137404447</v>
      </c>
      <c r="G50" s="73">
        <f t="shared" si="93"/>
        <v>7.1431116327627917</v>
      </c>
      <c r="H50" s="73">
        <f t="shared" si="93"/>
        <v>7.1987258831010505</v>
      </c>
      <c r="I50" s="73">
        <f t="shared" si="93"/>
        <v>6.9413335627146884</v>
      </c>
      <c r="J50" s="73">
        <f t="shared" si="93"/>
        <v>7.0137618618333031</v>
      </c>
      <c r="K50" s="73">
        <f t="shared" si="93"/>
        <v>7.8647387632198074</v>
      </c>
      <c r="L50" s="73">
        <f t="shared" si="93"/>
        <v>8.946499088287089</v>
      </c>
      <c r="M50" s="73">
        <f t="shared" si="93"/>
        <v>10.29005627089416</v>
      </c>
      <c r="N50" s="42"/>
      <c r="O50" s="186">
        <f>O49*O44</f>
        <v>7.0618553137404447</v>
      </c>
      <c r="P50" s="186">
        <f t="shared" ref="P50:V50" si="104">P49*P44</f>
        <v>7.1431116327627917</v>
      </c>
      <c r="Q50" s="186">
        <f t="shared" si="104"/>
        <v>7.1987258831010505</v>
      </c>
      <c r="R50" s="73">
        <f t="shared" si="104"/>
        <v>6.9413335627146884</v>
      </c>
      <c r="S50" s="73">
        <f t="shared" si="104"/>
        <v>7.0137618618333031</v>
      </c>
      <c r="T50" s="46">
        <f t="shared" si="104"/>
        <v>7.8647387632198074</v>
      </c>
      <c r="U50" s="46">
        <f t="shared" si="104"/>
        <v>8.946499088287089</v>
      </c>
      <c r="V50" s="46">
        <f t="shared" si="104"/>
        <v>10.29005627089416</v>
      </c>
      <c r="W50" s="229"/>
      <c r="X50" s="73">
        <f t="shared" si="98"/>
        <v>7.0618553137404447</v>
      </c>
      <c r="Y50" s="73">
        <f t="shared" si="99"/>
        <v>7.1431116327627917</v>
      </c>
      <c r="Z50" s="73">
        <f t="shared" si="100"/>
        <v>7.1987258831010505</v>
      </c>
      <c r="AA50" s="73">
        <f t="shared" si="101"/>
        <v>6.9413335627146884</v>
      </c>
      <c r="AB50" s="73">
        <f t="shared" si="102"/>
        <v>7.0137618618333031</v>
      </c>
      <c r="AC50" s="46">
        <f>AC49*AC44</f>
        <v>7.4798501365972285</v>
      </c>
      <c r="AD50" s="46">
        <f>AD49*AD44</f>
        <v>7.887761272431983</v>
      </c>
      <c r="AE50" s="46">
        <f>AE49*AE44</f>
        <v>8.1685719852681036</v>
      </c>
      <c r="AF50" s="229"/>
      <c r="AG50" s="229"/>
      <c r="AH50" s="229"/>
      <c r="AI50" s="229"/>
      <c r="AJ50" s="229"/>
      <c r="AK50" s="229"/>
      <c r="AL50" s="229"/>
      <c r="AM50" s="229"/>
      <c r="AN50" s="229"/>
      <c r="AO50" s="229"/>
      <c r="AP50" s="229"/>
      <c r="AQ50" s="229"/>
      <c r="AR50" s="229"/>
      <c r="AS50" s="229"/>
      <c r="AT50" s="229"/>
      <c r="AU50" s="229"/>
    </row>
    <row r="51" spans="1:47">
      <c r="A51" s="185" t="s">
        <v>16</v>
      </c>
      <c r="C51" s="228" t="s">
        <v>174</v>
      </c>
      <c r="D51" s="185" t="s">
        <v>136</v>
      </c>
      <c r="E51" s="49">
        <f t="shared" ref="E51" si="105">E50*E38</f>
        <v>9.5636601312400096</v>
      </c>
      <c r="F51" s="73">
        <f t="shared" si="96"/>
        <v>9.8865974392366223</v>
      </c>
      <c r="G51" s="73">
        <f t="shared" si="93"/>
        <v>10.000356285867907</v>
      </c>
      <c r="H51" s="73">
        <f t="shared" si="93"/>
        <v>10.07821623634147</v>
      </c>
      <c r="I51" s="73">
        <f t="shared" si="93"/>
        <v>9.7178669878005639</v>
      </c>
      <c r="J51" s="73">
        <f t="shared" si="93"/>
        <v>9.8192666065666234</v>
      </c>
      <c r="K51" s="73">
        <f t="shared" si="93"/>
        <v>11.010634268507729</v>
      </c>
      <c r="L51" s="73">
        <f t="shared" si="93"/>
        <v>12.525098723601923</v>
      </c>
      <c r="M51" s="73">
        <f t="shared" si="93"/>
        <v>14.406078779251823</v>
      </c>
      <c r="N51" s="42"/>
      <c r="O51" s="186">
        <f>O50*O38</f>
        <v>9.8865974392366223</v>
      </c>
      <c r="P51" s="186">
        <f t="shared" ref="P51:V51" si="106">P50*P38</f>
        <v>10.000356285867907</v>
      </c>
      <c r="Q51" s="186">
        <f t="shared" si="106"/>
        <v>10.07821623634147</v>
      </c>
      <c r="R51" s="73">
        <f>R50*R38</f>
        <v>9.7178669878005639</v>
      </c>
      <c r="S51" s="73">
        <f t="shared" si="106"/>
        <v>9.8192666065666234</v>
      </c>
      <c r="T51" s="46">
        <f t="shared" si="106"/>
        <v>11.010634268507729</v>
      </c>
      <c r="U51" s="46">
        <f t="shared" si="106"/>
        <v>12.525098723601923</v>
      </c>
      <c r="V51" s="46">
        <f t="shared" si="106"/>
        <v>14.406078779251823</v>
      </c>
      <c r="W51" s="229"/>
      <c r="X51" s="73">
        <f t="shared" si="98"/>
        <v>9.8865974392366223</v>
      </c>
      <c r="Y51" s="73">
        <f t="shared" si="99"/>
        <v>10.000356285867907</v>
      </c>
      <c r="Z51" s="73">
        <f t="shared" si="100"/>
        <v>10.07821623634147</v>
      </c>
      <c r="AA51" s="73">
        <f t="shared" si="101"/>
        <v>9.7178669878005639</v>
      </c>
      <c r="AB51" s="73">
        <f t="shared" si="102"/>
        <v>9.8192666065666234</v>
      </c>
      <c r="AC51" s="46">
        <f>AC50*AC38</f>
        <v>10.471790191236119</v>
      </c>
      <c r="AD51" s="46">
        <f>AD50*AD38</f>
        <v>11.042865781404776</v>
      </c>
      <c r="AE51" s="46">
        <f>AE50*AE38</f>
        <v>11.436000779375345</v>
      </c>
      <c r="AF51" s="229"/>
      <c r="AG51" s="229"/>
      <c r="AH51" s="229"/>
      <c r="AI51" s="229"/>
      <c r="AJ51" s="229"/>
      <c r="AK51" s="229"/>
      <c r="AL51" s="229"/>
      <c r="AM51" s="229"/>
      <c r="AN51" s="229"/>
      <c r="AO51" s="229"/>
      <c r="AP51" s="229"/>
      <c r="AQ51" s="229"/>
      <c r="AR51" s="229"/>
      <c r="AS51" s="229"/>
      <c r="AT51" s="229"/>
      <c r="AU51" s="229"/>
    </row>
    <row r="52" spans="1:47">
      <c r="A52" s="185" t="s">
        <v>16</v>
      </c>
      <c r="C52" s="228"/>
      <c r="E52" s="30"/>
      <c r="L52" s="185"/>
      <c r="N52" s="40"/>
    </row>
    <row r="53" spans="1:47" ht="15.75" thickBot="1">
      <c r="A53" s="185" t="s">
        <v>16</v>
      </c>
      <c r="B53" s="227" t="s">
        <v>84</v>
      </c>
      <c r="D53" s="227"/>
      <c r="E53" s="7">
        <f>E40</f>
        <v>2012</v>
      </c>
      <c r="F53" s="7">
        <f t="shared" ref="F53:M53" si="107">F40</f>
        <v>2015</v>
      </c>
      <c r="G53" s="7">
        <f t="shared" si="107"/>
        <v>2017</v>
      </c>
      <c r="H53" s="7">
        <f t="shared" si="107"/>
        <v>2019</v>
      </c>
      <c r="I53" s="7">
        <f t="shared" si="107"/>
        <v>2020</v>
      </c>
      <c r="J53" s="7">
        <f t="shared" si="107"/>
        <v>2021</v>
      </c>
      <c r="K53" s="7">
        <f t="shared" si="107"/>
        <v>2030</v>
      </c>
      <c r="L53" s="7">
        <f t="shared" si="107"/>
        <v>2040</v>
      </c>
      <c r="M53" s="7">
        <f t="shared" si="107"/>
        <v>2050</v>
      </c>
      <c r="N53" s="40"/>
      <c r="O53" s="7">
        <f>O40</f>
        <v>2015</v>
      </c>
      <c r="P53" s="7">
        <f t="shared" ref="P53:V53" si="108">P40</f>
        <v>2017</v>
      </c>
      <c r="Q53" s="7">
        <f t="shared" si="108"/>
        <v>2019</v>
      </c>
      <c r="R53" s="7">
        <f t="shared" si="108"/>
        <v>2020</v>
      </c>
      <c r="S53" s="7">
        <f t="shared" si="108"/>
        <v>2021</v>
      </c>
      <c r="T53" s="7">
        <f t="shared" si="108"/>
        <v>2030</v>
      </c>
      <c r="U53" s="7">
        <f t="shared" si="108"/>
        <v>2040</v>
      </c>
      <c r="V53" s="7">
        <f t="shared" si="108"/>
        <v>2050</v>
      </c>
      <c r="X53" s="302">
        <f>X$12</f>
        <v>2015</v>
      </c>
      <c r="Y53" s="302">
        <f t="shared" ref="Y53:AE53" si="109">Y$12</f>
        <v>2017</v>
      </c>
      <c r="Z53" s="302">
        <f t="shared" si="109"/>
        <v>2019</v>
      </c>
      <c r="AA53" s="302">
        <f t="shared" si="109"/>
        <v>2020</v>
      </c>
      <c r="AB53" s="302">
        <f t="shared" si="109"/>
        <v>2021</v>
      </c>
      <c r="AC53" s="302">
        <f t="shared" si="109"/>
        <v>2030</v>
      </c>
      <c r="AD53" s="302">
        <f t="shared" si="109"/>
        <v>2040</v>
      </c>
      <c r="AE53" s="302">
        <f t="shared" si="109"/>
        <v>2050</v>
      </c>
    </row>
    <row r="54" spans="1:47">
      <c r="A54" s="185" t="s">
        <v>16</v>
      </c>
      <c r="C54" s="228" t="str">
        <f>C30</f>
        <v>Low Income</v>
      </c>
      <c r="D54" s="185" t="s">
        <v>67</v>
      </c>
      <c r="E54" s="186">
        <f>E30*E25*E13</f>
        <v>0.13081358220517519</v>
      </c>
      <c r="F54" s="61">
        <f t="shared" ref="F54:F61" si="110">IF($D$4,X54,O54)</f>
        <v>0.1283823833256614</v>
      </c>
      <c r="G54" s="61">
        <f t="shared" ref="G54:G59" si="111">IF($D$4,Y54,P54)</f>
        <v>0.12877680945571371</v>
      </c>
      <c r="H54" s="61">
        <f t="shared" ref="H54:H59" si="112">IF($D$4,Z54,Q54)</f>
        <v>0.12973355042768442</v>
      </c>
      <c r="I54" s="61">
        <f t="shared" ref="I54:I59" si="113">IF($D$4,AA54,R54)</f>
        <v>0.13499132813487882</v>
      </c>
      <c r="J54" s="61">
        <f t="shared" ref="J54:J59" si="114">IF($D$4,AB54,S54)</f>
        <v>0.14643564806901391</v>
      </c>
      <c r="K54" s="61">
        <f t="shared" ref="K54:K59" si="115">IF($D$4,AC54,T54)</f>
        <v>0.13634089522131315</v>
      </c>
      <c r="L54" s="61">
        <f t="shared" ref="L54:L59" si="116">IF($D$4,AD54,U54)</f>
        <v>0.12181820947923694</v>
      </c>
      <c r="M54" s="61">
        <f t="shared" ref="M54:M58" si="117">IF($D$4,AE54,V54)</f>
        <v>0.10355555165783771</v>
      </c>
      <c r="N54" s="42"/>
      <c r="O54" s="186">
        <f t="shared" ref="O54:R56" si="118">O30*O25*O13</f>
        <v>0.1283823833256614</v>
      </c>
      <c r="P54" s="186">
        <f t="shared" si="118"/>
        <v>0.12877680945571371</v>
      </c>
      <c r="Q54" s="186">
        <f t="shared" si="118"/>
        <v>0.12973355042768442</v>
      </c>
      <c r="R54" s="186">
        <f t="shared" si="118"/>
        <v>0.13499132813487882</v>
      </c>
      <c r="S54" s="186">
        <f t="shared" ref="S54:V54" si="119">S30*S25*S13</f>
        <v>0.14643564806901391</v>
      </c>
      <c r="T54" s="46">
        <f t="shared" si="119"/>
        <v>0.13634089522131315</v>
      </c>
      <c r="U54" s="46">
        <f t="shared" si="119"/>
        <v>0.12181820947923694</v>
      </c>
      <c r="V54" s="46">
        <f t="shared" si="119"/>
        <v>0.10355555165783771</v>
      </c>
      <c r="W54" s="229"/>
      <c r="X54" s="186">
        <f t="shared" ref="X54:AB56" si="120">X30*X25*X13</f>
        <v>0.1283823833256614</v>
      </c>
      <c r="Y54" s="186">
        <f t="shared" si="120"/>
        <v>0.12877680945571371</v>
      </c>
      <c r="Z54" s="186">
        <f t="shared" si="120"/>
        <v>0.12973355042768442</v>
      </c>
      <c r="AA54" s="186">
        <f t="shared" si="120"/>
        <v>0.13499132813487882</v>
      </c>
      <c r="AB54" s="186">
        <f t="shared" si="120"/>
        <v>0.14643564806901391</v>
      </c>
      <c r="AC54" s="46">
        <f t="shared" ref="AC54" si="121">AC30*AC25*AC13</f>
        <v>0.32380962615061876</v>
      </c>
      <c r="AD54" s="46">
        <f t="shared" ref="AD54:AE56" si="122">AD30*AD25*AD13</f>
        <v>0.21988186811002267</v>
      </c>
      <c r="AE54" s="46">
        <f t="shared" si="122"/>
        <v>0.17757188220527723</v>
      </c>
      <c r="AF54" s="229"/>
      <c r="AG54" s="229"/>
      <c r="AH54" s="229"/>
      <c r="AI54" s="229"/>
      <c r="AJ54" s="229"/>
      <c r="AK54" s="229"/>
      <c r="AL54" s="229"/>
      <c r="AM54" s="229"/>
      <c r="AN54" s="229"/>
      <c r="AO54" s="229"/>
      <c r="AP54" s="229"/>
      <c r="AQ54" s="229"/>
      <c r="AR54" s="229"/>
      <c r="AS54" s="229"/>
      <c r="AT54" s="229"/>
      <c r="AU54" s="229"/>
    </row>
    <row r="55" spans="1:47">
      <c r="A55" s="185" t="s">
        <v>16</v>
      </c>
      <c r="C55" s="228" t="str">
        <f>C31</f>
        <v>Middle Income</v>
      </c>
      <c r="D55" s="185" t="s">
        <v>67</v>
      </c>
      <c r="E55" s="186">
        <f>E31*E26*E14</f>
        <v>2.605047993559273</v>
      </c>
      <c r="F55" s="61">
        <f t="shared" si="110"/>
        <v>2.7636773332492934</v>
      </c>
      <c r="G55" s="61">
        <f t="shared" si="111"/>
        <v>2.8913337107360779</v>
      </c>
      <c r="H55" s="61">
        <f t="shared" si="112"/>
        <v>3.0495903806306055</v>
      </c>
      <c r="I55" s="61">
        <f t="shared" si="113"/>
        <v>3.2047358801985588</v>
      </c>
      <c r="J55" s="61">
        <f t="shared" si="114"/>
        <v>3.0658757406536092</v>
      </c>
      <c r="K55" s="61">
        <f t="shared" si="115"/>
        <v>3.585852636348394</v>
      </c>
      <c r="L55" s="61">
        <f t="shared" si="116"/>
        <v>4.0885605770974767</v>
      </c>
      <c r="M55" s="61">
        <f t="shared" si="117"/>
        <v>4.510753924240448</v>
      </c>
      <c r="N55" s="42"/>
      <c r="O55" s="186">
        <f t="shared" si="118"/>
        <v>2.7636773332492934</v>
      </c>
      <c r="P55" s="186">
        <f t="shared" si="118"/>
        <v>2.8913337107360779</v>
      </c>
      <c r="Q55" s="186">
        <f t="shared" si="118"/>
        <v>3.0495903806306055</v>
      </c>
      <c r="R55" s="186">
        <f>R31*R26*R14</f>
        <v>3.2047358801985588</v>
      </c>
      <c r="S55" s="186">
        <f t="shared" ref="S55:V55" si="123">S31*S26*S14</f>
        <v>3.0658757406536092</v>
      </c>
      <c r="T55" s="46">
        <f t="shared" si="123"/>
        <v>3.585852636348394</v>
      </c>
      <c r="U55" s="46">
        <f t="shared" si="123"/>
        <v>4.0885605770974767</v>
      </c>
      <c r="V55" s="46">
        <f t="shared" si="123"/>
        <v>4.510753924240448</v>
      </c>
      <c r="W55" s="229"/>
      <c r="X55" s="186">
        <f t="shared" si="120"/>
        <v>2.7636773332492934</v>
      </c>
      <c r="Y55" s="186">
        <f t="shared" si="120"/>
        <v>2.8913337107360779</v>
      </c>
      <c r="Z55" s="186">
        <f t="shared" si="120"/>
        <v>3.0495903806306055</v>
      </c>
      <c r="AA55" s="186">
        <f t="shared" si="120"/>
        <v>3.2047358801985588</v>
      </c>
      <c r="AB55" s="186">
        <f t="shared" si="120"/>
        <v>3.0658757406536092</v>
      </c>
      <c r="AC55" s="46">
        <f t="shared" ref="AC55" si="124">AC31*AC26*AC14</f>
        <v>3.236232004304425</v>
      </c>
      <c r="AD55" s="46">
        <f t="shared" si="122"/>
        <v>3.505429624788948</v>
      </c>
      <c r="AE55" s="46">
        <f t="shared" si="122"/>
        <v>3.4903354003305762</v>
      </c>
      <c r="AF55" s="229"/>
      <c r="AG55" s="229"/>
      <c r="AH55" s="229"/>
      <c r="AI55" s="229"/>
      <c r="AJ55" s="229"/>
      <c r="AK55" s="229"/>
      <c r="AL55" s="229"/>
      <c r="AM55" s="229"/>
      <c r="AN55" s="229"/>
      <c r="AO55" s="229"/>
      <c r="AP55" s="229"/>
      <c r="AQ55" s="229"/>
      <c r="AR55" s="229"/>
      <c r="AS55" s="229"/>
      <c r="AT55" s="229"/>
      <c r="AU55" s="229"/>
    </row>
    <row r="56" spans="1:47">
      <c r="A56" s="185" t="s">
        <v>16</v>
      </c>
      <c r="C56" s="228" t="str">
        <f>C32</f>
        <v>High Income</v>
      </c>
      <c r="D56" s="185" t="s">
        <v>67</v>
      </c>
      <c r="E56" s="186">
        <f>E32*E27*E15</f>
        <v>3.3184960447596774</v>
      </c>
      <c r="F56" s="61">
        <f t="shared" si="110"/>
        <v>3.9385634462472403</v>
      </c>
      <c r="G56" s="61">
        <f t="shared" si="111"/>
        <v>4.2313538823878662</v>
      </c>
      <c r="H56" s="61">
        <f t="shared" si="112"/>
        <v>4.4526615366410756</v>
      </c>
      <c r="I56" s="61">
        <f t="shared" si="113"/>
        <v>3.8049192882812553</v>
      </c>
      <c r="J56" s="61">
        <f t="shared" si="114"/>
        <v>3.9920036505702332</v>
      </c>
      <c r="K56" s="61">
        <f t="shared" si="115"/>
        <v>5.6734200209755352</v>
      </c>
      <c r="L56" s="61">
        <f t="shared" si="116"/>
        <v>7.9518290376247114</v>
      </c>
      <c r="M56" s="61">
        <f t="shared" si="117"/>
        <v>10.328776919230654</v>
      </c>
      <c r="N56" s="42"/>
      <c r="O56" s="186">
        <f t="shared" si="118"/>
        <v>3.9385634462472403</v>
      </c>
      <c r="P56" s="186">
        <f t="shared" si="118"/>
        <v>4.2313538823878662</v>
      </c>
      <c r="Q56" s="186">
        <f t="shared" si="118"/>
        <v>4.4526615366410756</v>
      </c>
      <c r="R56" s="186">
        <f t="shared" si="118"/>
        <v>3.8049192882812553</v>
      </c>
      <c r="S56" s="186">
        <f t="shared" ref="S56:V56" si="125">S32*S27*S15</f>
        <v>3.9920036505702332</v>
      </c>
      <c r="T56" s="46">
        <f t="shared" si="125"/>
        <v>5.6734200209755352</v>
      </c>
      <c r="U56" s="46">
        <f t="shared" si="125"/>
        <v>7.9518290376247114</v>
      </c>
      <c r="V56" s="46">
        <f t="shared" si="125"/>
        <v>10.328776919230654</v>
      </c>
      <c r="W56" s="229"/>
      <c r="X56" s="186">
        <f t="shared" si="120"/>
        <v>3.9385634462472403</v>
      </c>
      <c r="Y56" s="186">
        <f t="shared" si="120"/>
        <v>4.2313538823878662</v>
      </c>
      <c r="Z56" s="186">
        <f t="shared" si="120"/>
        <v>4.4526615366410756</v>
      </c>
      <c r="AA56" s="186">
        <f t="shared" si="120"/>
        <v>3.8049192882812553</v>
      </c>
      <c r="AB56" s="186">
        <f t="shared" si="120"/>
        <v>3.9920036505702332</v>
      </c>
      <c r="AC56" s="46">
        <f t="shared" ref="AC56" si="126">AC32*AC27*AC15</f>
        <v>5.1646338439174464</v>
      </c>
      <c r="AD56" s="46">
        <f t="shared" si="122"/>
        <v>6.4141751571119547</v>
      </c>
      <c r="AE56" s="46">
        <f t="shared" si="122"/>
        <v>7.5115934089172089</v>
      </c>
      <c r="AF56" s="229"/>
      <c r="AG56" s="229"/>
      <c r="AH56" s="229"/>
      <c r="AI56" s="229"/>
      <c r="AJ56" s="229"/>
      <c r="AK56" s="229"/>
      <c r="AL56" s="229"/>
      <c r="AM56" s="229"/>
      <c r="AN56" s="229"/>
      <c r="AO56" s="229"/>
      <c r="AP56" s="229"/>
      <c r="AQ56" s="229"/>
      <c r="AR56" s="229"/>
      <c r="AS56" s="229"/>
      <c r="AT56" s="229"/>
      <c r="AU56" s="229"/>
    </row>
    <row r="57" spans="1:47">
      <c r="A57" s="185" t="s">
        <v>16</v>
      </c>
      <c r="C57" s="228" t="s">
        <v>165</v>
      </c>
      <c r="D57" s="185" t="s">
        <v>67</v>
      </c>
      <c r="E57" s="186">
        <f>E49</f>
        <v>0.50601376355767247</v>
      </c>
      <c r="F57" s="61">
        <f t="shared" si="110"/>
        <v>0.52310039361040328</v>
      </c>
      <c r="G57" s="61">
        <f t="shared" si="111"/>
        <v>0.52911938020465121</v>
      </c>
      <c r="H57" s="61">
        <f t="shared" si="112"/>
        <v>0.53323895430378154</v>
      </c>
      <c r="I57" s="61">
        <f t="shared" si="113"/>
        <v>0.51417285649738431</v>
      </c>
      <c r="J57" s="61">
        <f t="shared" si="114"/>
        <v>0.51953791569135577</v>
      </c>
      <c r="K57" s="61">
        <f t="shared" si="115"/>
        <v>0.5825732417199857</v>
      </c>
      <c r="L57" s="61">
        <f t="shared" si="116"/>
        <v>0.66270363616941397</v>
      </c>
      <c r="M57" s="61">
        <f t="shared" si="117"/>
        <v>0.76222639043660445</v>
      </c>
      <c r="N57" s="42"/>
      <c r="O57" s="186">
        <f>O49</f>
        <v>0.52310039361040328</v>
      </c>
      <c r="P57" s="186">
        <f t="shared" ref="P57:R57" si="127">P49</f>
        <v>0.52911938020465121</v>
      </c>
      <c r="Q57" s="186">
        <f t="shared" si="127"/>
        <v>0.53323895430378154</v>
      </c>
      <c r="R57" s="186">
        <f t="shared" si="127"/>
        <v>0.51417285649738431</v>
      </c>
      <c r="S57" s="186">
        <f>S49</f>
        <v>0.51953791569135577</v>
      </c>
      <c r="T57" s="46">
        <f t="shared" ref="T57:V57" si="128">T49</f>
        <v>0.5825732417199857</v>
      </c>
      <c r="U57" s="46">
        <f t="shared" si="128"/>
        <v>0.66270363616941397</v>
      </c>
      <c r="V57" s="46">
        <f t="shared" si="128"/>
        <v>0.76222639043660445</v>
      </c>
      <c r="W57" s="229"/>
      <c r="X57" s="186">
        <f>X49</f>
        <v>0.52310039361040328</v>
      </c>
      <c r="Y57" s="186">
        <f t="shared" ref="Y57:AB57" si="129">Y49</f>
        <v>0.52911938020465121</v>
      </c>
      <c r="Z57" s="186">
        <f t="shared" si="129"/>
        <v>0.53323895430378154</v>
      </c>
      <c r="AA57" s="186">
        <f t="shared" si="129"/>
        <v>0.51417285649738431</v>
      </c>
      <c r="AB57" s="186">
        <f t="shared" si="129"/>
        <v>0.51953791569135577</v>
      </c>
      <c r="AC57" s="46">
        <f t="shared" ref="AC57" si="130">AC49</f>
        <v>0.58322418219081706</v>
      </c>
      <c r="AD57" s="46">
        <f>AD49</f>
        <v>0.64740012495594412</v>
      </c>
      <c r="AE57" s="46">
        <f>AE49</f>
        <v>0.70573483751702104</v>
      </c>
      <c r="AF57" s="229"/>
      <c r="AG57" s="229"/>
      <c r="AH57" s="229"/>
      <c r="AI57" s="229"/>
      <c r="AJ57" s="229"/>
      <c r="AK57" s="229"/>
      <c r="AL57" s="229"/>
      <c r="AM57" s="229"/>
      <c r="AN57" s="229"/>
      <c r="AO57" s="229"/>
      <c r="AP57" s="229"/>
      <c r="AQ57" s="229"/>
      <c r="AR57" s="229"/>
      <c r="AS57" s="229"/>
      <c r="AT57" s="229"/>
      <c r="AU57" s="229"/>
    </row>
    <row r="58" spans="1:47">
      <c r="A58" s="185" t="s">
        <v>16</v>
      </c>
      <c r="C58" s="228" t="s">
        <v>64</v>
      </c>
      <c r="D58" s="185" t="s">
        <v>67</v>
      </c>
      <c r="E58" s="186">
        <f>SUM(E54:E57)</f>
        <v>6.5603713840817983</v>
      </c>
      <c r="F58" s="61">
        <f t="shared" si="110"/>
        <v>7.3537235564325982</v>
      </c>
      <c r="G58" s="61">
        <f t="shared" si="111"/>
        <v>7.7805837827843094</v>
      </c>
      <c r="H58" s="61">
        <f t="shared" si="112"/>
        <v>8.1652244220031474</v>
      </c>
      <c r="I58" s="61">
        <f t="shared" si="113"/>
        <v>7.6588193531120767</v>
      </c>
      <c r="J58" s="61">
        <f t="shared" si="114"/>
        <v>7.7238529549842116</v>
      </c>
      <c r="K58" s="61">
        <f t="shared" si="115"/>
        <v>9.9781867942652287</v>
      </c>
      <c r="L58" s="61">
        <f t="shared" si="116"/>
        <v>12.824911460370839</v>
      </c>
      <c r="M58" s="61">
        <f t="shared" si="117"/>
        <v>15.705312785565544</v>
      </c>
      <c r="N58" s="42"/>
      <c r="O58" s="186">
        <f>SUM(O54:O57)</f>
        <v>7.3537235564325982</v>
      </c>
      <c r="P58" s="186">
        <f t="shared" ref="P58:R58" si="131">SUM(P54:P57)</f>
        <v>7.7805837827843094</v>
      </c>
      <c r="Q58" s="186">
        <f t="shared" si="131"/>
        <v>8.1652244220031474</v>
      </c>
      <c r="R58" s="186">
        <f t="shared" si="131"/>
        <v>7.6588193531120767</v>
      </c>
      <c r="S58" s="186">
        <f>SUM(S54:S57)</f>
        <v>7.7238529549842116</v>
      </c>
      <c r="T58" s="46">
        <f t="shared" ref="T58" si="132">SUM(T54:T57)</f>
        <v>9.9781867942652287</v>
      </c>
      <c r="U58" s="46">
        <f t="shared" ref="U58" si="133">SUM(U54:U57)</f>
        <v>12.824911460370839</v>
      </c>
      <c r="V58" s="46">
        <f>SUM(V54:V57)</f>
        <v>15.705312785565544</v>
      </c>
      <c r="W58" s="229"/>
      <c r="X58" s="186">
        <f>SUM(X54:X57)</f>
        <v>7.3537235564325982</v>
      </c>
      <c r="Y58" s="186">
        <f t="shared" ref="Y58:AC58" si="134">SUM(Y54:Y57)</f>
        <v>7.7805837827843094</v>
      </c>
      <c r="Z58" s="186">
        <f t="shared" si="134"/>
        <v>8.1652244220031474</v>
      </c>
      <c r="AA58" s="186">
        <f t="shared" si="134"/>
        <v>7.6588193531120767</v>
      </c>
      <c r="AB58" s="186">
        <f t="shared" si="134"/>
        <v>7.7238529549842116</v>
      </c>
      <c r="AC58" s="46">
        <f t="shared" si="134"/>
        <v>9.3078996565633059</v>
      </c>
      <c r="AD58" s="46">
        <f>SUM(AD54:AD57)</f>
        <v>10.786886774966868</v>
      </c>
      <c r="AE58" s="46">
        <f>SUM(AE54:AE57)</f>
        <v>11.885235528970084</v>
      </c>
      <c r="AF58" s="229"/>
      <c r="AG58" s="229"/>
      <c r="AH58" s="229"/>
      <c r="AI58" s="229"/>
      <c r="AJ58" s="229"/>
      <c r="AK58" s="229"/>
      <c r="AL58" s="229"/>
      <c r="AM58" s="229"/>
      <c r="AN58" s="229"/>
      <c r="AO58" s="229"/>
      <c r="AP58" s="229"/>
      <c r="AQ58" s="229"/>
      <c r="AR58" s="229"/>
      <c r="AS58" s="229"/>
      <c r="AT58" s="229"/>
      <c r="AU58" s="229"/>
    </row>
    <row r="59" spans="1:47">
      <c r="A59" s="185" t="s">
        <v>16</v>
      </c>
      <c r="C59" s="228" t="s">
        <v>65</v>
      </c>
      <c r="D59" s="185" t="s">
        <v>66</v>
      </c>
      <c r="E59" s="47">
        <f>E16/E58</f>
        <v>7.9759863914158036</v>
      </c>
      <c r="F59" s="61">
        <f t="shared" si="110"/>
        <v>7.4452746336145115</v>
      </c>
      <c r="G59" s="61">
        <f t="shared" si="111"/>
        <v>7.2644867814046616</v>
      </c>
      <c r="H59" s="61">
        <f t="shared" si="112"/>
        <v>7.1479768228465907</v>
      </c>
      <c r="I59" s="61">
        <f t="shared" si="113"/>
        <v>7.6161729606826949</v>
      </c>
      <c r="J59" s="61">
        <f t="shared" si="114"/>
        <v>7.7808153959877915</v>
      </c>
      <c r="K59" s="61">
        <f t="shared" si="115"/>
        <v>6.6185161916040434</v>
      </c>
      <c r="L59" s="61">
        <f t="shared" si="116"/>
        <v>5.5692868690709929</v>
      </c>
      <c r="M59" s="61">
        <f>IF($D$4,AE59,V59)</f>
        <v>4.8084307511402944</v>
      </c>
      <c r="N59" s="42"/>
      <c r="O59" s="47">
        <f>F16/O58</f>
        <v>7.4452746336145115</v>
      </c>
      <c r="P59" s="47">
        <f t="shared" ref="P59:R59" si="135">G16/P58</f>
        <v>7.2644867814046616</v>
      </c>
      <c r="Q59" s="47">
        <f t="shared" si="135"/>
        <v>7.1479768228465907</v>
      </c>
      <c r="R59" s="186">
        <f t="shared" si="135"/>
        <v>7.6161729606826949</v>
      </c>
      <c r="S59" s="186">
        <f>J16/S58</f>
        <v>7.7808153959877915</v>
      </c>
      <c r="T59" s="46">
        <f t="shared" ref="T59" si="136">K16/T58</f>
        <v>6.6185161916040434</v>
      </c>
      <c r="U59" s="46">
        <f t="shared" ref="U59" si="137">L16/U58</f>
        <v>5.5692868690709929</v>
      </c>
      <c r="V59" s="46">
        <f t="shared" ref="V59" si="138">M16/V58</f>
        <v>4.8084307511402944</v>
      </c>
      <c r="W59" s="229"/>
      <c r="X59" s="47">
        <f>X16/X58</f>
        <v>7.4452746336145115</v>
      </c>
      <c r="Y59" s="47">
        <f t="shared" ref="Y59:AC59" si="139">Y16/Y58</f>
        <v>7.2644867814046616</v>
      </c>
      <c r="Z59" s="47">
        <f t="shared" si="139"/>
        <v>7.1479768228465907</v>
      </c>
      <c r="AA59" s="47">
        <f t="shared" si="139"/>
        <v>7.6161729606826949</v>
      </c>
      <c r="AB59" s="47">
        <f t="shared" si="139"/>
        <v>7.7808153959877915</v>
      </c>
      <c r="AC59" s="46">
        <f t="shared" si="139"/>
        <v>7.0951335207107142</v>
      </c>
      <c r="AD59" s="46">
        <f>AD16/AD58</f>
        <v>6.6215222689644655</v>
      </c>
      <c r="AE59" s="46">
        <f>AE16/AE58</f>
        <v>6.3539261607661386</v>
      </c>
      <c r="AF59" s="229"/>
      <c r="AG59" s="229"/>
      <c r="AH59" s="229"/>
      <c r="AI59" s="229"/>
      <c r="AJ59" s="229"/>
      <c r="AK59" s="229"/>
      <c r="AL59" s="229"/>
      <c r="AM59" s="229"/>
      <c r="AN59" s="229"/>
      <c r="AO59" s="229"/>
      <c r="AP59" s="229"/>
      <c r="AQ59" s="229"/>
      <c r="AR59" s="229"/>
      <c r="AS59" s="229"/>
      <c r="AT59" s="229"/>
      <c r="AU59" s="229"/>
    </row>
    <row r="60" spans="1:47">
      <c r="A60" s="185" t="s">
        <v>16</v>
      </c>
      <c r="C60" s="228" t="s">
        <v>166</v>
      </c>
      <c r="D60" s="185" t="s">
        <v>144</v>
      </c>
      <c r="E60" s="186">
        <f>1000/E59</f>
        <v>125.37634230121746</v>
      </c>
      <c r="F60" s="186">
        <f t="shared" ref="F60:M60" si="140">1000/F59</f>
        <v>134.31337985641542</v>
      </c>
      <c r="G60" s="186">
        <f t="shared" si="140"/>
        <v>137.65597351760064</v>
      </c>
      <c r="H60" s="186">
        <f t="shared" si="140"/>
        <v>139.89972614401438</v>
      </c>
      <c r="I60" s="186">
        <f t="shared" si="140"/>
        <v>131.29953917306554</v>
      </c>
      <c r="J60" s="186">
        <f t="shared" si="140"/>
        <v>128.52123448599667</v>
      </c>
      <c r="K60" s="186">
        <f t="shared" si="140"/>
        <v>151.09126744579936</v>
      </c>
      <c r="L60" s="186">
        <f t="shared" si="140"/>
        <v>179.55620234854396</v>
      </c>
      <c r="M60" s="186">
        <f t="shared" si="140"/>
        <v>207.96805688900795</v>
      </c>
      <c r="N60" s="40"/>
      <c r="O60" s="186">
        <f>1000/O59</f>
        <v>134.31337985641542</v>
      </c>
      <c r="P60" s="186">
        <f t="shared" ref="P60:R60" si="141">1000/P59</f>
        <v>137.65597351760064</v>
      </c>
      <c r="Q60" s="186">
        <f t="shared" si="141"/>
        <v>139.89972614401438</v>
      </c>
      <c r="R60" s="186">
        <f t="shared" si="141"/>
        <v>131.29953917306554</v>
      </c>
      <c r="S60" s="186">
        <f>1000/S59</f>
        <v>128.52123448599667</v>
      </c>
      <c r="T60" s="186">
        <f t="shared" ref="T60" si="142">1000/T59</f>
        <v>151.09126744579936</v>
      </c>
      <c r="U60" s="186">
        <f t="shared" ref="U60" si="143">1000/U59</f>
        <v>179.55620234854396</v>
      </c>
      <c r="V60" s="186">
        <f t="shared" ref="V60" si="144">1000/V59</f>
        <v>207.96805688900795</v>
      </c>
      <c r="X60" s="186">
        <f>1000/X59</f>
        <v>134.31337985641542</v>
      </c>
      <c r="Y60" s="186">
        <f t="shared" ref="Y60:AC60" si="145">1000/Y59</f>
        <v>137.65597351760064</v>
      </c>
      <c r="Z60" s="186">
        <f t="shared" si="145"/>
        <v>139.89972614401438</v>
      </c>
      <c r="AA60" s="186">
        <f t="shared" si="145"/>
        <v>131.29953917306554</v>
      </c>
      <c r="AB60" s="186">
        <f t="shared" si="145"/>
        <v>128.52123448599667</v>
      </c>
      <c r="AC60" s="186">
        <f t="shared" si="145"/>
        <v>140.94167461133708</v>
      </c>
      <c r="AD60" s="186">
        <f>1000/AD59</f>
        <v>151.02267414957879</v>
      </c>
      <c r="AE60" s="186">
        <f>1000/AE59</f>
        <v>157.38300614425503</v>
      </c>
    </row>
    <row r="61" spans="1:47">
      <c r="A61" s="185" t="s">
        <v>16</v>
      </c>
      <c r="C61" s="228" t="s">
        <v>167</v>
      </c>
      <c r="E61" s="232">
        <f>E57/E58</f>
        <v>7.7131877744829089E-2</v>
      </c>
      <c r="F61" s="232">
        <f t="shared" si="110"/>
        <v>7.1134084603007172E-2</v>
      </c>
      <c r="G61" s="232">
        <f t="shared" ref="G61" si="146">IF($D$4,AA61,R61)</f>
        <v>6.7134741373480217E-2</v>
      </c>
      <c r="H61" s="232">
        <f t="shared" ref="H61:J61" si="147">IF($D$4,AC61,T61)</f>
        <v>5.8384679875386626E-2</v>
      </c>
      <c r="I61" s="232">
        <f t="shared" si="147"/>
        <v>5.1673154876521195E-2</v>
      </c>
      <c r="J61" s="232">
        <f t="shared" si="147"/>
        <v>4.8533028335300162E-2</v>
      </c>
      <c r="K61" s="232">
        <f t="shared" ref="K61:M61" si="148">IF($D$4,AC61,T61)</f>
        <v>5.8384679875386626E-2</v>
      </c>
      <c r="L61" s="232">
        <f t="shared" si="148"/>
        <v>5.1673154876521195E-2</v>
      </c>
      <c r="M61" s="232">
        <f t="shared" si="148"/>
        <v>4.8533028335300162E-2</v>
      </c>
      <c r="N61" s="40"/>
      <c r="O61" s="232">
        <f>O57/O58</f>
        <v>7.1134084603007172E-2</v>
      </c>
      <c r="P61" s="232">
        <f t="shared" ref="P61:R61" si="149">P57/P58</f>
        <v>6.8005100256796402E-2</v>
      </c>
      <c r="Q61" s="232">
        <f>Q57/Q58</f>
        <v>6.5306098980799823E-2</v>
      </c>
      <c r="R61" s="232">
        <f t="shared" si="149"/>
        <v>6.7134741373480217E-2</v>
      </c>
      <c r="S61" s="232">
        <f>S57/S58</f>
        <v>6.7264086812540536E-2</v>
      </c>
      <c r="T61" s="232">
        <f t="shared" ref="T61:V61" si="150">T57/T58</f>
        <v>5.8384679875386626E-2</v>
      </c>
      <c r="U61" s="232">
        <f t="shared" si="150"/>
        <v>5.1673154876521195E-2</v>
      </c>
      <c r="V61" s="232">
        <f t="shared" si="150"/>
        <v>4.8533028335300162E-2</v>
      </c>
      <c r="W61" s="281"/>
      <c r="X61" s="232">
        <f>X57/X58</f>
        <v>7.1134084603007172E-2</v>
      </c>
      <c r="Y61" s="232">
        <f t="shared" ref="Y61:AB61" si="151">Y57/Y58</f>
        <v>6.8005100256796402E-2</v>
      </c>
      <c r="Z61" s="232">
        <f t="shared" si="151"/>
        <v>6.5306098980799823E-2</v>
      </c>
      <c r="AA61" s="232">
        <f t="shared" si="151"/>
        <v>6.7134741373480217E-2</v>
      </c>
      <c r="AB61" s="232">
        <f t="shared" si="151"/>
        <v>6.7264086812540536E-2</v>
      </c>
      <c r="AC61" s="232">
        <f t="shared" ref="AC61" si="152">AC57/AC58</f>
        <v>6.2659053461063749E-2</v>
      </c>
      <c r="AD61" s="232">
        <f>AD57/AD58</f>
        <v>6.0017328304434028E-2</v>
      </c>
      <c r="AE61" s="232">
        <f>AE57/AE58</f>
        <v>5.9379120909871998E-2</v>
      </c>
    </row>
    <row r="62" spans="1:47">
      <c r="A62" s="185" t="s">
        <v>16</v>
      </c>
      <c r="C62" s="228"/>
      <c r="E62" s="232"/>
      <c r="F62" s="232"/>
      <c r="G62" s="232"/>
      <c r="I62" s="232"/>
      <c r="K62" s="232"/>
      <c r="L62" s="232"/>
      <c r="M62" s="232"/>
      <c r="N62" s="40"/>
      <c r="W62" s="281"/>
    </row>
    <row r="63" spans="1:47" ht="15.75" thickBot="1">
      <c r="A63" s="185" t="s">
        <v>16</v>
      </c>
      <c r="C63" s="227" t="s">
        <v>80</v>
      </c>
      <c r="E63" s="7">
        <f t="shared" ref="E63:M63" si="153">E53</f>
        <v>2012</v>
      </c>
      <c r="F63" s="7">
        <f t="shared" si="153"/>
        <v>2015</v>
      </c>
      <c r="G63" s="7">
        <f t="shared" si="153"/>
        <v>2017</v>
      </c>
      <c r="H63" s="7">
        <f t="shared" si="153"/>
        <v>2019</v>
      </c>
      <c r="I63" s="7">
        <f t="shared" si="153"/>
        <v>2020</v>
      </c>
      <c r="J63" s="7">
        <f t="shared" si="153"/>
        <v>2021</v>
      </c>
      <c r="K63" s="7">
        <f t="shared" si="153"/>
        <v>2030</v>
      </c>
      <c r="L63" s="7">
        <f t="shared" si="153"/>
        <v>2040</v>
      </c>
      <c r="M63" s="7">
        <f t="shared" si="153"/>
        <v>2050</v>
      </c>
      <c r="N63" s="40"/>
      <c r="O63" s="288">
        <f>O53</f>
        <v>2015</v>
      </c>
      <c r="P63" s="288">
        <f t="shared" ref="P63:V63" si="154">P53</f>
        <v>2017</v>
      </c>
      <c r="Q63" s="288">
        <f t="shared" si="154"/>
        <v>2019</v>
      </c>
      <c r="R63" s="288">
        <f t="shared" si="154"/>
        <v>2020</v>
      </c>
      <c r="S63" s="288">
        <f t="shared" si="154"/>
        <v>2021</v>
      </c>
      <c r="T63" s="288">
        <f t="shared" si="154"/>
        <v>2030</v>
      </c>
      <c r="U63" s="288">
        <f t="shared" si="154"/>
        <v>2040</v>
      </c>
      <c r="V63" s="288">
        <f t="shared" si="154"/>
        <v>2050</v>
      </c>
      <c r="W63" s="281"/>
      <c r="X63" s="302">
        <f>X$12</f>
        <v>2015</v>
      </c>
      <c r="Y63" s="302">
        <f t="shared" ref="Y63:AE63" si="155">Y$12</f>
        <v>2017</v>
      </c>
      <c r="Z63" s="302">
        <f t="shared" si="155"/>
        <v>2019</v>
      </c>
      <c r="AA63" s="302">
        <f t="shared" si="155"/>
        <v>2020</v>
      </c>
      <c r="AB63" s="302">
        <f t="shared" si="155"/>
        <v>2021</v>
      </c>
      <c r="AC63" s="302">
        <f t="shared" si="155"/>
        <v>2030</v>
      </c>
      <c r="AD63" s="302">
        <f t="shared" si="155"/>
        <v>2040</v>
      </c>
      <c r="AE63" s="302">
        <f t="shared" si="155"/>
        <v>2050</v>
      </c>
    </row>
    <row r="64" spans="1:47">
      <c r="A64" s="185" t="s">
        <v>16</v>
      </c>
      <c r="C64" s="228" t="s">
        <v>168</v>
      </c>
      <c r="D64" s="185" t="s">
        <v>169</v>
      </c>
      <c r="E64" s="66">
        <f>[2]Calib_1011!$H$96*[2]Calib_1011!$H$97</f>
        <v>330</v>
      </c>
      <c r="F64" s="61">
        <f>IF($D$4,X64,O64)</f>
        <v>330</v>
      </c>
      <c r="G64" s="61">
        <f t="shared" ref="G64:M64" si="156">IF($D$4,Y64,P64)</f>
        <v>330</v>
      </c>
      <c r="H64" s="61">
        <f t="shared" si="156"/>
        <v>330</v>
      </c>
      <c r="I64" s="61">
        <f t="shared" si="156"/>
        <v>330</v>
      </c>
      <c r="J64" s="61">
        <f t="shared" si="156"/>
        <v>330</v>
      </c>
      <c r="K64" s="61">
        <f t="shared" si="156"/>
        <v>330</v>
      </c>
      <c r="L64" s="61">
        <f t="shared" si="156"/>
        <v>330</v>
      </c>
      <c r="M64" s="61">
        <f t="shared" si="156"/>
        <v>330</v>
      </c>
      <c r="N64" s="40"/>
      <c r="O64" s="74">
        <f>E64</f>
        <v>330</v>
      </c>
      <c r="P64" s="74">
        <f>O64</f>
        <v>330</v>
      </c>
      <c r="Q64" s="74">
        <f>P64</f>
        <v>330</v>
      </c>
      <c r="R64" s="186">
        <f t="shared" ref="R64:V64" si="157">Q64</f>
        <v>330</v>
      </c>
      <c r="S64" s="186">
        <f t="shared" si="157"/>
        <v>330</v>
      </c>
      <c r="T64" s="60">
        <f t="shared" si="157"/>
        <v>330</v>
      </c>
      <c r="U64" s="60">
        <f t="shared" si="157"/>
        <v>330</v>
      </c>
      <c r="V64" s="60">
        <f t="shared" si="157"/>
        <v>330</v>
      </c>
      <c r="W64" s="281"/>
      <c r="X64" s="74">
        <f>O64</f>
        <v>330</v>
      </c>
      <c r="Y64" s="74">
        <f t="shared" ref="Y64:AB64" si="158">P64</f>
        <v>330</v>
      </c>
      <c r="Z64" s="74">
        <f t="shared" si="158"/>
        <v>330</v>
      </c>
      <c r="AA64" s="74">
        <f t="shared" si="158"/>
        <v>330</v>
      </c>
      <c r="AB64" s="74">
        <f t="shared" si="158"/>
        <v>330</v>
      </c>
      <c r="AC64" s="60">
        <f>AA64</f>
        <v>330</v>
      </c>
      <c r="AD64" s="60">
        <f>AC64</f>
        <v>330</v>
      </c>
      <c r="AE64" s="60">
        <f>AD64</f>
        <v>330</v>
      </c>
    </row>
    <row r="65" spans="1:47">
      <c r="A65" s="185" t="s">
        <v>16</v>
      </c>
      <c r="C65" s="228"/>
      <c r="L65" s="185"/>
      <c r="N65" s="40"/>
      <c r="O65" s="8"/>
      <c r="P65" s="8"/>
      <c r="Q65" s="8"/>
      <c r="S65" s="281"/>
    </row>
    <row r="66" spans="1:47" ht="15.75" thickBot="1">
      <c r="A66" s="185" t="s">
        <v>16</v>
      </c>
      <c r="C66" s="227" t="s">
        <v>178</v>
      </c>
      <c r="L66" s="185"/>
      <c r="N66" s="40"/>
      <c r="O66" s="185">
        <f t="shared" ref="O66:V66" si="159">O53</f>
        <v>2015</v>
      </c>
      <c r="P66" s="281">
        <f t="shared" si="159"/>
        <v>2017</v>
      </c>
      <c r="Q66" s="281">
        <f t="shared" si="159"/>
        <v>2019</v>
      </c>
      <c r="R66" s="281">
        <f t="shared" si="159"/>
        <v>2020</v>
      </c>
      <c r="S66" s="281">
        <f t="shared" si="159"/>
        <v>2021</v>
      </c>
      <c r="T66" s="281">
        <f t="shared" si="159"/>
        <v>2030</v>
      </c>
      <c r="U66" s="281">
        <f t="shared" si="159"/>
        <v>2040</v>
      </c>
      <c r="V66" s="281">
        <f t="shared" si="159"/>
        <v>2050</v>
      </c>
    </row>
    <row r="67" spans="1:47">
      <c r="A67" s="185" t="s">
        <v>16</v>
      </c>
      <c r="C67" s="228" t="s">
        <v>179</v>
      </c>
      <c r="D67" s="185" t="s">
        <v>170</v>
      </c>
      <c r="E67" s="200">
        <f>[2]Calib_1011!$H$102</f>
        <v>33.5</v>
      </c>
      <c r="F67" s="74">
        <f t="shared" ref="F67:F70" si="160">IF($D$4,X67,O67)</f>
        <v>33.5</v>
      </c>
      <c r="G67" s="74">
        <f t="shared" ref="G67:G70" si="161">IF($D$4,Y67,P67)</f>
        <v>33.5</v>
      </c>
      <c r="H67" s="74">
        <f t="shared" ref="H67:H70" si="162">IF($D$4,Z67,Q67)</f>
        <v>33.5</v>
      </c>
      <c r="I67" s="74">
        <f t="shared" ref="I67:I70" si="163">IF($D$4,AA67,R67)</f>
        <v>33.5</v>
      </c>
      <c r="J67" s="74">
        <f t="shared" ref="J67:J70" si="164">IF($D$4,AB67,S67)</f>
        <v>33.5</v>
      </c>
      <c r="K67" s="74">
        <f t="shared" ref="K67:K70" si="165">IF($D$4,AC67,T67)</f>
        <v>33.5</v>
      </c>
      <c r="L67" s="74">
        <f t="shared" ref="L67:L70" si="166">IF($D$4,AD67,U67)</f>
        <v>33.5</v>
      </c>
      <c r="M67" s="74">
        <f t="shared" ref="M67:M70" si="167">IF($D$4,AE67,V67)</f>
        <v>33.5</v>
      </c>
      <c r="N67" s="40"/>
      <c r="O67" s="74">
        <f>E67</f>
        <v>33.5</v>
      </c>
      <c r="P67" s="73">
        <f>O67</f>
        <v>33.5</v>
      </c>
      <c r="Q67" s="74">
        <f t="shared" ref="Q67:V67" si="168">P67</f>
        <v>33.5</v>
      </c>
      <c r="R67" s="186">
        <f t="shared" si="168"/>
        <v>33.5</v>
      </c>
      <c r="S67" s="186">
        <f t="shared" si="168"/>
        <v>33.5</v>
      </c>
      <c r="T67" s="60">
        <f t="shared" si="168"/>
        <v>33.5</v>
      </c>
      <c r="U67" s="60">
        <f t="shared" si="168"/>
        <v>33.5</v>
      </c>
      <c r="V67" s="60">
        <f t="shared" si="168"/>
        <v>33.5</v>
      </c>
      <c r="X67" s="74">
        <f>O67</f>
        <v>33.5</v>
      </c>
      <c r="Y67" s="74">
        <f t="shared" ref="Y67:AB67" si="169">P67</f>
        <v>33.5</v>
      </c>
      <c r="Z67" s="74">
        <f t="shared" si="169"/>
        <v>33.5</v>
      </c>
      <c r="AA67" s="74">
        <f t="shared" si="169"/>
        <v>33.5</v>
      </c>
      <c r="AB67" s="74">
        <f t="shared" si="169"/>
        <v>33.5</v>
      </c>
      <c r="AC67" s="60">
        <f>AA67</f>
        <v>33.5</v>
      </c>
      <c r="AD67" s="60">
        <f>AC67</f>
        <v>33.5</v>
      </c>
      <c r="AE67" s="60">
        <f>AD67</f>
        <v>33.5</v>
      </c>
    </row>
    <row r="68" spans="1:47">
      <c r="A68" s="185" t="s">
        <v>16</v>
      </c>
      <c r="C68" s="228" t="s">
        <v>63</v>
      </c>
      <c r="D68" s="185" t="s">
        <v>170</v>
      </c>
      <c r="E68" s="60">
        <f>E70*1.5</f>
        <v>32.25</v>
      </c>
      <c r="F68" s="74">
        <f t="shared" si="160"/>
        <v>32.25</v>
      </c>
      <c r="G68" s="74">
        <f t="shared" si="161"/>
        <v>32.25</v>
      </c>
      <c r="H68" s="74">
        <f t="shared" si="162"/>
        <v>32.25</v>
      </c>
      <c r="I68" s="74">
        <f t="shared" si="163"/>
        <v>32.25</v>
      </c>
      <c r="J68" s="74">
        <f t="shared" si="164"/>
        <v>32.25</v>
      </c>
      <c r="K68" s="74">
        <f t="shared" si="165"/>
        <v>32.25</v>
      </c>
      <c r="L68" s="74">
        <f t="shared" si="166"/>
        <v>32.25</v>
      </c>
      <c r="M68" s="74">
        <f t="shared" si="167"/>
        <v>32.25</v>
      </c>
      <c r="N68" s="40"/>
      <c r="O68" s="74">
        <f t="shared" ref="O68:O69" si="170">E68</f>
        <v>32.25</v>
      </c>
      <c r="P68" s="74">
        <f t="shared" ref="P68:V68" si="171">O68</f>
        <v>32.25</v>
      </c>
      <c r="Q68" s="74">
        <f t="shared" si="171"/>
        <v>32.25</v>
      </c>
      <c r="R68" s="186">
        <f t="shared" si="171"/>
        <v>32.25</v>
      </c>
      <c r="S68" s="186">
        <f t="shared" si="171"/>
        <v>32.25</v>
      </c>
      <c r="T68" s="60">
        <f t="shared" si="171"/>
        <v>32.25</v>
      </c>
      <c r="U68" s="60">
        <f t="shared" si="171"/>
        <v>32.25</v>
      </c>
      <c r="V68" s="60">
        <f t="shared" si="171"/>
        <v>32.25</v>
      </c>
      <c r="X68" s="74">
        <f t="shared" ref="X68:X70" si="172">O68</f>
        <v>32.25</v>
      </c>
      <c r="Y68" s="74">
        <f t="shared" ref="Y68:Y70" si="173">P68</f>
        <v>32.25</v>
      </c>
      <c r="Z68" s="74">
        <f t="shared" ref="Z68:Z70" si="174">Q68</f>
        <v>32.25</v>
      </c>
      <c r="AA68" s="74">
        <f t="shared" ref="AA68:AA70" si="175">R68</f>
        <v>32.25</v>
      </c>
      <c r="AB68" s="74">
        <f t="shared" ref="AB68:AB70" si="176">S68</f>
        <v>32.25</v>
      </c>
      <c r="AC68" s="60">
        <f>AC70*1.5</f>
        <v>28.5</v>
      </c>
      <c r="AD68" s="60">
        <f>AD70*1.5</f>
        <v>28.5</v>
      </c>
      <c r="AE68" s="60">
        <f>AE70*1.5</f>
        <v>28.5</v>
      </c>
    </row>
    <row r="69" spans="1:47">
      <c r="A69" s="185" t="s">
        <v>16</v>
      </c>
      <c r="C69" s="228" t="s">
        <v>82</v>
      </c>
      <c r="D69" s="185" t="s">
        <v>170</v>
      </c>
      <c r="E69" s="60">
        <f>E70*2</f>
        <v>43</v>
      </c>
      <c r="F69" s="74">
        <f t="shared" si="160"/>
        <v>43</v>
      </c>
      <c r="G69" s="74">
        <f t="shared" si="161"/>
        <v>43</v>
      </c>
      <c r="H69" s="74">
        <f t="shared" si="162"/>
        <v>43</v>
      </c>
      <c r="I69" s="74">
        <f t="shared" si="163"/>
        <v>43</v>
      </c>
      <c r="J69" s="74">
        <f t="shared" si="164"/>
        <v>43</v>
      </c>
      <c r="K69" s="74">
        <f t="shared" si="165"/>
        <v>43</v>
      </c>
      <c r="L69" s="74">
        <f t="shared" si="166"/>
        <v>43</v>
      </c>
      <c r="M69" s="74">
        <f t="shared" si="167"/>
        <v>43</v>
      </c>
      <c r="N69" s="40"/>
      <c r="O69" s="74">
        <f t="shared" si="170"/>
        <v>43</v>
      </c>
      <c r="P69" s="74">
        <f t="shared" ref="P69:V69" si="177">O69</f>
        <v>43</v>
      </c>
      <c r="Q69" s="74">
        <f t="shared" si="177"/>
        <v>43</v>
      </c>
      <c r="R69" s="186">
        <f t="shared" si="177"/>
        <v>43</v>
      </c>
      <c r="S69" s="186">
        <f t="shared" si="177"/>
        <v>43</v>
      </c>
      <c r="T69" s="60">
        <f t="shared" si="177"/>
        <v>43</v>
      </c>
      <c r="U69" s="60">
        <f t="shared" si="177"/>
        <v>43</v>
      </c>
      <c r="V69" s="60">
        <f t="shared" si="177"/>
        <v>43</v>
      </c>
      <c r="X69" s="74">
        <f t="shared" si="172"/>
        <v>43</v>
      </c>
      <c r="Y69" s="74">
        <f t="shared" si="173"/>
        <v>43</v>
      </c>
      <c r="Z69" s="74">
        <f t="shared" si="174"/>
        <v>43</v>
      </c>
      <c r="AA69" s="74">
        <f t="shared" si="175"/>
        <v>43</v>
      </c>
      <c r="AB69" s="74">
        <f t="shared" si="176"/>
        <v>43</v>
      </c>
      <c r="AC69" s="60">
        <f>AC70*2</f>
        <v>38</v>
      </c>
      <c r="AD69" s="60">
        <f>AD70*2</f>
        <v>38</v>
      </c>
      <c r="AE69" s="60">
        <f>AE70*2</f>
        <v>38</v>
      </c>
    </row>
    <row r="70" spans="1:47">
      <c r="A70" s="185" t="s">
        <v>16</v>
      </c>
      <c r="C70" s="228" t="s">
        <v>180</v>
      </c>
      <c r="D70" s="185" t="s">
        <v>170</v>
      </c>
      <c r="E70" s="200">
        <f>[2]Calib_1011!$H$101</f>
        <v>21.5</v>
      </c>
      <c r="F70" s="74">
        <f t="shared" si="160"/>
        <v>21</v>
      </c>
      <c r="G70" s="74">
        <f t="shared" si="161"/>
        <v>19</v>
      </c>
      <c r="H70" s="74">
        <f t="shared" si="162"/>
        <v>19</v>
      </c>
      <c r="I70" s="74">
        <f t="shared" si="163"/>
        <v>19</v>
      </c>
      <c r="J70" s="74">
        <f t="shared" si="164"/>
        <v>19</v>
      </c>
      <c r="K70" s="74">
        <f t="shared" si="165"/>
        <v>19</v>
      </c>
      <c r="L70" s="74">
        <f t="shared" si="166"/>
        <v>19</v>
      </c>
      <c r="M70" s="74">
        <f t="shared" si="167"/>
        <v>19</v>
      </c>
      <c r="N70" s="40"/>
      <c r="O70" s="73">
        <v>21</v>
      </c>
      <c r="P70" s="327">
        <v>19</v>
      </c>
      <c r="Q70" s="73">
        <f t="shared" ref="Q70:V70" si="178">P70</f>
        <v>19</v>
      </c>
      <c r="R70" s="186">
        <f t="shared" si="178"/>
        <v>19</v>
      </c>
      <c r="S70" s="186">
        <f t="shared" si="178"/>
        <v>19</v>
      </c>
      <c r="T70" s="326">
        <f t="shared" si="178"/>
        <v>19</v>
      </c>
      <c r="U70" s="326">
        <f t="shared" si="178"/>
        <v>19</v>
      </c>
      <c r="V70" s="326">
        <f t="shared" si="178"/>
        <v>19</v>
      </c>
      <c r="X70" s="74">
        <f t="shared" si="172"/>
        <v>21</v>
      </c>
      <c r="Y70" s="73">
        <f t="shared" si="173"/>
        <v>19</v>
      </c>
      <c r="Z70" s="74">
        <f t="shared" si="174"/>
        <v>19</v>
      </c>
      <c r="AA70" s="74">
        <f t="shared" si="175"/>
        <v>19</v>
      </c>
      <c r="AB70" s="74">
        <f t="shared" si="176"/>
        <v>19</v>
      </c>
      <c r="AC70" s="60">
        <f>AA70</f>
        <v>19</v>
      </c>
      <c r="AD70" s="60">
        <f>AC70</f>
        <v>19</v>
      </c>
      <c r="AE70" s="60">
        <f>AD70</f>
        <v>19</v>
      </c>
    </row>
    <row r="71" spans="1:47">
      <c r="A71" s="185" t="s">
        <v>16</v>
      </c>
      <c r="C71" s="262" t="s">
        <v>630</v>
      </c>
      <c r="L71" s="185"/>
      <c r="N71" s="40"/>
    </row>
    <row r="72" spans="1:47" ht="15.75" thickBot="1">
      <c r="A72" s="185" t="s">
        <v>16</v>
      </c>
      <c r="C72" s="227" t="s">
        <v>177</v>
      </c>
      <c r="K72" s="285"/>
      <c r="L72" s="285"/>
      <c r="N72" s="40"/>
      <c r="O72" s="296">
        <f>O$12</f>
        <v>2015</v>
      </c>
      <c r="P72" s="296">
        <f t="shared" ref="P72:V113" si="179">P$12</f>
        <v>2017</v>
      </c>
      <c r="Q72" s="296">
        <f t="shared" si="179"/>
        <v>2019</v>
      </c>
      <c r="R72" s="296">
        <f t="shared" si="179"/>
        <v>2020</v>
      </c>
      <c r="S72" s="296">
        <f t="shared" si="179"/>
        <v>2021</v>
      </c>
      <c r="T72" s="296">
        <f t="shared" si="179"/>
        <v>2030</v>
      </c>
      <c r="U72" s="296">
        <f t="shared" si="179"/>
        <v>2040</v>
      </c>
      <c r="V72" s="296">
        <f t="shared" si="179"/>
        <v>2050</v>
      </c>
    </row>
    <row r="73" spans="1:47">
      <c r="A73" s="185" t="s">
        <v>16</v>
      </c>
      <c r="C73" s="228" t="s">
        <v>181</v>
      </c>
      <c r="E73" s="230">
        <f>[2]Calib_1011!$H$100</f>
        <v>0.55000000000000004</v>
      </c>
      <c r="F73" s="61">
        <f>IF($D$4,X73,O73)</f>
        <v>0.55000000000000004</v>
      </c>
      <c r="G73" s="61">
        <f t="shared" ref="G73:M73" si="180">IF($D$4,Y73,P73)</f>
        <v>0.55000000000000004</v>
      </c>
      <c r="H73" s="61">
        <f t="shared" si="180"/>
        <v>0.55000000000000004</v>
      </c>
      <c r="I73" s="61">
        <f t="shared" si="180"/>
        <v>0.55000000000000004</v>
      </c>
      <c r="J73" s="61">
        <f t="shared" si="180"/>
        <v>0.55000000000000004</v>
      </c>
      <c r="K73" s="61">
        <f t="shared" si="180"/>
        <v>0.55000000000000004</v>
      </c>
      <c r="L73" s="61">
        <f t="shared" si="180"/>
        <v>0.55000000000000004</v>
      </c>
      <c r="M73" s="61">
        <f t="shared" si="180"/>
        <v>0.55000000000000004</v>
      </c>
      <c r="N73" s="40"/>
      <c r="O73" s="231">
        <f>E73</f>
        <v>0.55000000000000004</v>
      </c>
      <c r="P73" s="231">
        <f t="shared" ref="P73:R73" si="181">F73</f>
        <v>0.55000000000000004</v>
      </c>
      <c r="Q73" s="231">
        <f t="shared" si="181"/>
        <v>0.55000000000000004</v>
      </c>
      <c r="R73" s="186">
        <f t="shared" si="181"/>
        <v>0.55000000000000004</v>
      </c>
      <c r="S73" s="186">
        <f t="shared" ref="S73" si="182">I73</f>
        <v>0.55000000000000004</v>
      </c>
      <c r="T73" s="34">
        <f t="shared" ref="T73:U73" si="183">J73</f>
        <v>0.55000000000000004</v>
      </c>
      <c r="U73" s="34">
        <f t="shared" si="183"/>
        <v>0.55000000000000004</v>
      </c>
      <c r="V73" s="34">
        <f t="shared" ref="V73" si="184">L73</f>
        <v>0.55000000000000004</v>
      </c>
      <c r="X73" s="231">
        <f>O73</f>
        <v>0.55000000000000004</v>
      </c>
      <c r="Y73" s="231">
        <f t="shared" ref="Y73:AB73" si="185">P73</f>
        <v>0.55000000000000004</v>
      </c>
      <c r="Z73" s="231">
        <f t="shared" si="185"/>
        <v>0.55000000000000004</v>
      </c>
      <c r="AA73" s="231">
        <f t="shared" si="185"/>
        <v>0.55000000000000004</v>
      </c>
      <c r="AB73" s="231">
        <f t="shared" si="185"/>
        <v>0.55000000000000004</v>
      </c>
      <c r="AC73" s="34">
        <f>AA73</f>
        <v>0.55000000000000004</v>
      </c>
      <c r="AD73" s="34">
        <f>AC73</f>
        <v>0.55000000000000004</v>
      </c>
      <c r="AE73" s="34">
        <f>AD73</f>
        <v>0.55000000000000004</v>
      </c>
    </row>
    <row r="74" spans="1:47">
      <c r="A74" s="185" t="s">
        <v>16</v>
      </c>
      <c r="C74" s="69" t="s">
        <v>192</v>
      </c>
      <c r="E74" s="7"/>
      <c r="F74" s="7"/>
      <c r="G74" s="7"/>
      <c r="I74" s="7"/>
      <c r="K74" s="7"/>
      <c r="L74" s="7"/>
      <c r="M74" s="7"/>
      <c r="N74" s="40"/>
      <c r="X74" s="185" t="s">
        <v>203</v>
      </c>
    </row>
    <row r="75" spans="1:47">
      <c r="A75" s="185" t="s">
        <v>16</v>
      </c>
      <c r="C75" s="38" t="str">
        <f>C54</f>
        <v>Low Income</v>
      </c>
      <c r="D75" s="185" t="s">
        <v>191</v>
      </c>
      <c r="E75" s="186">
        <f>E$25*E$13</f>
        <v>0.52325432882070078</v>
      </c>
      <c r="F75" s="61">
        <f>IF($D$4,X75,O75)</f>
        <v>0.51352953330264561</v>
      </c>
      <c r="G75" s="61">
        <f t="shared" ref="G75:M75" si="186">IF($D$4,Y75,P75)</f>
        <v>0.51510723782285484</v>
      </c>
      <c r="H75" s="61">
        <f t="shared" si="186"/>
        <v>0.51893420171073767</v>
      </c>
      <c r="I75" s="61">
        <f t="shared" si="186"/>
        <v>0.5399653125395153</v>
      </c>
      <c r="J75" s="61">
        <f t="shared" si="186"/>
        <v>0.58574259227605563</v>
      </c>
      <c r="K75" s="61">
        <f t="shared" si="186"/>
        <v>0.54536358088525261</v>
      </c>
      <c r="L75" s="61">
        <f t="shared" si="186"/>
        <v>0.48727283791694775</v>
      </c>
      <c r="M75" s="61">
        <f t="shared" si="186"/>
        <v>0.41422220663135084</v>
      </c>
      <c r="N75" s="40"/>
      <c r="O75" s="186">
        <f t="shared" ref="O75:V75" si="187">O25*O13</f>
        <v>0.51352953330264561</v>
      </c>
      <c r="P75" s="186">
        <f t="shared" si="187"/>
        <v>0.51510723782285484</v>
      </c>
      <c r="Q75" s="186">
        <f>Q25*Q13</f>
        <v>0.51893420171073767</v>
      </c>
      <c r="R75" s="186">
        <f t="shared" si="187"/>
        <v>0.5399653125395153</v>
      </c>
      <c r="S75" s="186">
        <f t="shared" si="187"/>
        <v>0.58574259227605563</v>
      </c>
      <c r="T75" s="186">
        <f t="shared" si="187"/>
        <v>0.54536358088525261</v>
      </c>
      <c r="U75" s="186">
        <f t="shared" si="187"/>
        <v>0.48727283791694775</v>
      </c>
      <c r="V75" s="186">
        <f t="shared" si="187"/>
        <v>0.41422220663135084</v>
      </c>
      <c r="X75" s="186">
        <f>O75</f>
        <v>0.51352953330264561</v>
      </c>
      <c r="Y75" s="186">
        <f t="shared" ref="Y75:AB75" si="188">P75</f>
        <v>0.51510723782285484</v>
      </c>
      <c r="Z75" s="186">
        <f t="shared" si="188"/>
        <v>0.51893420171073767</v>
      </c>
      <c r="AA75" s="186">
        <f t="shared" si="188"/>
        <v>0.5399653125395153</v>
      </c>
      <c r="AB75" s="186">
        <f t="shared" si="188"/>
        <v>0.58574259227605563</v>
      </c>
      <c r="AC75" s="186">
        <f>AC25*AC13</f>
        <v>1.3634089522131316</v>
      </c>
      <c r="AD75" s="186">
        <f>AD25*AD13</f>
        <v>0.97454567583389551</v>
      </c>
      <c r="AE75" s="186">
        <f>AE25*AE13</f>
        <v>0.82844441326270168</v>
      </c>
    </row>
    <row r="76" spans="1:47">
      <c r="A76" s="185" t="s">
        <v>16</v>
      </c>
      <c r="C76" s="38"/>
      <c r="E76" s="186"/>
      <c r="F76" s="186"/>
      <c r="G76" s="186"/>
      <c r="I76" s="186"/>
      <c r="K76" s="186"/>
      <c r="L76" s="186"/>
      <c r="M76" s="186"/>
      <c r="N76" s="40"/>
      <c r="O76" s="302">
        <f>O$12</f>
        <v>2015</v>
      </c>
      <c r="P76" s="302">
        <f t="shared" ref="P76:V76" si="189">P$12</f>
        <v>2017</v>
      </c>
      <c r="Q76" s="302">
        <f t="shared" si="189"/>
        <v>2019</v>
      </c>
      <c r="R76" s="302">
        <f t="shared" si="189"/>
        <v>2020</v>
      </c>
      <c r="S76" s="302">
        <f t="shared" si="189"/>
        <v>2021</v>
      </c>
      <c r="T76" s="302">
        <f t="shared" si="189"/>
        <v>2030</v>
      </c>
      <c r="U76" s="302">
        <f t="shared" si="189"/>
        <v>2040</v>
      </c>
      <c r="V76" s="302">
        <f t="shared" si="189"/>
        <v>2050</v>
      </c>
      <c r="X76" s="302">
        <f>X$12</f>
        <v>2015</v>
      </c>
      <c r="Y76" s="302">
        <f t="shared" ref="Y76:AE76" si="190">Y$12</f>
        <v>2017</v>
      </c>
      <c r="Z76" s="302">
        <f t="shared" si="190"/>
        <v>2019</v>
      </c>
      <c r="AA76" s="302">
        <f t="shared" si="190"/>
        <v>2020</v>
      </c>
      <c r="AB76" s="302">
        <f t="shared" si="190"/>
        <v>2021</v>
      </c>
      <c r="AC76" s="302">
        <f t="shared" si="190"/>
        <v>2030</v>
      </c>
      <c r="AD76" s="302">
        <f t="shared" si="190"/>
        <v>2040</v>
      </c>
      <c r="AE76" s="302">
        <f t="shared" si="190"/>
        <v>2050</v>
      </c>
    </row>
    <row r="77" spans="1:47">
      <c r="A77" s="185" t="s">
        <v>16</v>
      </c>
      <c r="C77" s="185" t="s">
        <v>83</v>
      </c>
      <c r="D77" s="185" t="s">
        <v>48</v>
      </c>
      <c r="E77" s="230">
        <f>[2]Calib_1011!$H$92</f>
        <v>2.035E-2</v>
      </c>
      <c r="F77" s="62">
        <f t="shared" ref="F77:F89" si="191">IF($D$4,X77,O77)</f>
        <v>0.23381516587677725</v>
      </c>
      <c r="G77" s="62">
        <f t="shared" ref="G77:G79" si="192">IF($D$4,Y77,P77)</f>
        <v>0.23381516587677725</v>
      </c>
      <c r="H77" s="62">
        <f t="shared" ref="H77:H79" si="193">IF($D$4,Z77,Q77)</f>
        <v>0.23381516587677725</v>
      </c>
      <c r="I77" s="62">
        <f t="shared" ref="I77:I79" si="194">IF($D$4,AA77,R77)</f>
        <v>0.23381516587677725</v>
      </c>
      <c r="J77" s="62">
        <f t="shared" ref="J77:J79" si="195">IF($D$4,AB77,S77)</f>
        <v>0.23381516587677725</v>
      </c>
      <c r="K77" s="62">
        <f t="shared" ref="K77:K79" si="196">IF($D$4,AC77,T77)</f>
        <v>0.23381516587677725</v>
      </c>
      <c r="L77" s="62">
        <f t="shared" ref="L77:L79" si="197">IF($D$4,AD77,U77)</f>
        <v>0.23381516587677725</v>
      </c>
      <c r="M77" s="62">
        <f t="shared" ref="M77:M79" si="198">IF($D$4,AE77,V77)</f>
        <v>0.23381516587677725</v>
      </c>
      <c r="N77" s="241"/>
      <c r="O77" s="62">
        <f>O$41*1000*O$35*O$30/O$67/O$64</f>
        <v>0.23381516587677725</v>
      </c>
      <c r="P77" s="62">
        <f t="shared" ref="P77:V77" si="199">P$41*1000*P$35*P$30/P$67/P$64</f>
        <v>0.23381516587677725</v>
      </c>
      <c r="Q77" s="62">
        <f t="shared" si="199"/>
        <v>0.23381516587677725</v>
      </c>
      <c r="R77" s="186">
        <f t="shared" si="199"/>
        <v>0.23381516587677725</v>
      </c>
      <c r="S77" s="186">
        <f t="shared" si="199"/>
        <v>0.23381516587677725</v>
      </c>
      <c r="T77" s="289">
        <f t="shared" si="199"/>
        <v>0.23381516587677725</v>
      </c>
      <c r="U77" s="289">
        <f t="shared" si="199"/>
        <v>0.23381516587677725</v>
      </c>
      <c r="V77" s="289">
        <f t="shared" si="199"/>
        <v>0.23381516587677725</v>
      </c>
      <c r="W77" s="240"/>
      <c r="X77" s="62">
        <f>O77</f>
        <v>0.23381516587677725</v>
      </c>
      <c r="Y77" s="62">
        <f t="shared" ref="Y77:AB77" si="200">P77</f>
        <v>0.23381516587677725</v>
      </c>
      <c r="Z77" s="62">
        <f t="shared" si="200"/>
        <v>0.23381516587677725</v>
      </c>
      <c r="AA77" s="62">
        <f t="shared" si="200"/>
        <v>0.23381516587677725</v>
      </c>
      <c r="AB77" s="62">
        <f t="shared" si="200"/>
        <v>0.23381516587677725</v>
      </c>
      <c r="AC77" s="62">
        <f>AC$41*1000*AC$35*AC$30/AC$67/AC$64</f>
        <v>0.21101818720379142</v>
      </c>
      <c r="AD77" s="62">
        <f>AD$41*1000*AD$35*AD$30/AD$67/AD$64</f>
        <v>0.19044391395142174</v>
      </c>
      <c r="AE77" s="62">
        <f>AE$41*1000*AE$35*AE$30/AE$67/AE$64</f>
        <v>0.17187563234115816</v>
      </c>
      <c r="AF77" s="240"/>
      <c r="AG77" s="240"/>
      <c r="AH77" s="240"/>
      <c r="AI77" s="240"/>
      <c r="AJ77" s="240"/>
      <c r="AK77" s="240"/>
      <c r="AL77" s="240"/>
      <c r="AM77" s="240"/>
      <c r="AN77" s="240"/>
      <c r="AO77" s="240"/>
      <c r="AP77" s="240"/>
      <c r="AQ77" s="240"/>
      <c r="AR77" s="240"/>
      <c r="AS77" s="240"/>
      <c r="AT77" s="240"/>
      <c r="AU77" s="240"/>
    </row>
    <row r="78" spans="1:47">
      <c r="A78" s="185" t="s">
        <v>16</v>
      </c>
      <c r="C78" s="185" t="s">
        <v>63</v>
      </c>
      <c r="D78" s="185" t="s">
        <v>48</v>
      </c>
      <c r="E78" s="292">
        <v>5.0000000000000001E-3</v>
      </c>
      <c r="F78" s="62">
        <f t="shared" si="191"/>
        <v>5.0000000000000001E-3</v>
      </c>
      <c r="G78" s="62">
        <f t="shared" si="192"/>
        <v>5.0000000000000001E-3</v>
      </c>
      <c r="H78" s="62">
        <f t="shared" si="193"/>
        <v>5.0000000000000001E-3</v>
      </c>
      <c r="I78" s="62">
        <f t="shared" si="194"/>
        <v>5.0000000000000001E-3</v>
      </c>
      <c r="J78" s="62">
        <f t="shared" si="195"/>
        <v>2.75E-2</v>
      </c>
      <c r="K78" s="62">
        <f t="shared" si="196"/>
        <v>0.05</v>
      </c>
      <c r="L78" s="62">
        <f t="shared" si="197"/>
        <v>0.1</v>
      </c>
      <c r="M78" s="62">
        <f t="shared" si="198"/>
        <v>0.15</v>
      </c>
      <c r="N78" s="241"/>
      <c r="O78" s="231">
        <f>E78</f>
        <v>5.0000000000000001E-3</v>
      </c>
      <c r="P78" s="231">
        <f>O78</f>
        <v>5.0000000000000001E-3</v>
      </c>
      <c r="Q78" s="231">
        <f>P78</f>
        <v>5.0000000000000001E-3</v>
      </c>
      <c r="R78" s="186">
        <f>Q78</f>
        <v>5.0000000000000001E-3</v>
      </c>
      <c r="S78" s="24">
        <f>AVERAGE(R78,T78)</f>
        <v>2.75E-2</v>
      </c>
      <c r="T78" s="290">
        <v>0.05</v>
      </c>
      <c r="U78" s="34">
        <v>0.1</v>
      </c>
      <c r="V78" s="34">
        <v>0.15</v>
      </c>
      <c r="W78" s="240"/>
      <c r="X78" s="62">
        <f t="shared" ref="X78:X90" si="201">O78</f>
        <v>5.0000000000000001E-3</v>
      </c>
      <c r="Y78" s="62">
        <f t="shared" ref="Y78:Y90" si="202">P78</f>
        <v>5.0000000000000001E-3</v>
      </c>
      <c r="Z78" s="62">
        <f t="shared" ref="Z78:Z90" si="203">Q78</f>
        <v>5.0000000000000001E-3</v>
      </c>
      <c r="AA78" s="62">
        <f t="shared" ref="AA78:AA90" si="204">R78</f>
        <v>5.0000000000000001E-3</v>
      </c>
      <c r="AB78" s="136">
        <f t="shared" ref="AB78:AB90" si="205">S78</f>
        <v>2.75E-2</v>
      </c>
      <c r="AC78" s="70">
        <v>7.0000000000000007E-2</v>
      </c>
      <c r="AD78" s="70">
        <v>0.15</v>
      </c>
      <c r="AE78" s="70">
        <v>0.25</v>
      </c>
      <c r="AF78" s="240"/>
      <c r="AG78" s="240"/>
      <c r="AH78" s="240"/>
      <c r="AI78" s="240"/>
      <c r="AJ78" s="240"/>
      <c r="AK78" s="240"/>
      <c r="AL78" s="240"/>
      <c r="AM78" s="240"/>
      <c r="AN78" s="240"/>
      <c r="AO78" s="240"/>
      <c r="AP78" s="240"/>
      <c r="AQ78" s="240"/>
      <c r="AR78" s="240"/>
      <c r="AS78" s="240"/>
      <c r="AT78" s="240"/>
      <c r="AU78" s="240"/>
    </row>
    <row r="79" spans="1:47">
      <c r="A79" s="185" t="s">
        <v>16</v>
      </c>
      <c r="C79" s="185" t="s">
        <v>82</v>
      </c>
      <c r="D79" s="185" t="s">
        <v>48</v>
      </c>
      <c r="E79" s="292">
        <v>0</v>
      </c>
      <c r="F79" s="62">
        <f t="shared" si="191"/>
        <v>0</v>
      </c>
      <c r="G79" s="62">
        <f t="shared" si="192"/>
        <v>0</v>
      </c>
      <c r="H79" s="62">
        <f t="shared" si="193"/>
        <v>5.0000000000000001E-3</v>
      </c>
      <c r="I79" s="62">
        <f t="shared" si="194"/>
        <v>5.0000000000000001E-3</v>
      </c>
      <c r="J79" s="62">
        <f t="shared" si="195"/>
        <v>5.0000000000000001E-3</v>
      </c>
      <c r="K79" s="62">
        <f t="shared" si="196"/>
        <v>5.0000000000000001E-3</v>
      </c>
      <c r="L79" s="62">
        <f t="shared" si="197"/>
        <v>5.0000000000000001E-3</v>
      </c>
      <c r="M79" s="62">
        <f t="shared" si="198"/>
        <v>5.0000000000000001E-3</v>
      </c>
      <c r="N79" s="241"/>
      <c r="O79" s="231">
        <f>E79</f>
        <v>0</v>
      </c>
      <c r="P79" s="231">
        <f>O79</f>
        <v>0</v>
      </c>
      <c r="Q79" s="231">
        <v>5.0000000000000001E-3</v>
      </c>
      <c r="R79" s="186">
        <v>5.0000000000000001E-3</v>
      </c>
      <c r="S79" s="186">
        <v>5.0000000000000001E-3</v>
      </c>
      <c r="T79" s="290">
        <v>5.0000000000000001E-3</v>
      </c>
      <c r="U79" s="290">
        <v>5.0000000000000001E-3</v>
      </c>
      <c r="V79" s="290">
        <v>5.0000000000000001E-3</v>
      </c>
      <c r="W79" s="240"/>
      <c r="X79" s="62">
        <f t="shared" si="201"/>
        <v>0</v>
      </c>
      <c r="Y79" s="62">
        <f t="shared" si="202"/>
        <v>0</v>
      </c>
      <c r="Z79" s="62">
        <f t="shared" si="203"/>
        <v>5.0000000000000001E-3</v>
      </c>
      <c r="AA79" s="62">
        <f t="shared" si="204"/>
        <v>5.0000000000000001E-3</v>
      </c>
      <c r="AB79" s="62">
        <f t="shared" si="205"/>
        <v>5.0000000000000001E-3</v>
      </c>
      <c r="AC79" s="34">
        <v>0</v>
      </c>
      <c r="AD79" s="34">
        <v>0</v>
      </c>
      <c r="AE79" s="34">
        <v>0</v>
      </c>
      <c r="AF79" s="240"/>
      <c r="AG79" s="240"/>
      <c r="AH79" s="240"/>
      <c r="AI79" s="240"/>
      <c r="AJ79" s="240"/>
      <c r="AK79" s="240"/>
      <c r="AL79" s="240"/>
      <c r="AM79" s="240"/>
      <c r="AN79" s="240"/>
      <c r="AO79" s="240"/>
      <c r="AP79" s="240"/>
      <c r="AQ79" s="240"/>
      <c r="AR79" s="240"/>
      <c r="AS79" s="240"/>
      <c r="AT79" s="240"/>
      <c r="AU79" s="240"/>
    </row>
    <row r="80" spans="1:47">
      <c r="A80" s="185" t="s">
        <v>16</v>
      </c>
      <c r="C80" s="185" t="s">
        <v>81</v>
      </c>
      <c r="D80" s="185" t="s">
        <v>48</v>
      </c>
      <c r="E80" s="33">
        <f>1-SUM(E77:E79)</f>
        <v>0.97465000000000002</v>
      </c>
      <c r="F80" s="33">
        <f t="shared" ref="F80:M80" si="206">1-SUM(F77:F79)</f>
        <v>0.7611848341232228</v>
      </c>
      <c r="G80" s="33">
        <f t="shared" si="206"/>
        <v>0.7611848341232228</v>
      </c>
      <c r="H80" s="33">
        <f t="shared" si="206"/>
        <v>0.75618483412322268</v>
      </c>
      <c r="I80" s="33">
        <f t="shared" si="206"/>
        <v>0.75618483412322268</v>
      </c>
      <c r="J80" s="33">
        <f t="shared" si="206"/>
        <v>0.73368483412322272</v>
      </c>
      <c r="K80" s="33">
        <f t="shared" si="206"/>
        <v>0.71118483412322275</v>
      </c>
      <c r="L80" s="33">
        <f t="shared" si="206"/>
        <v>0.66118483412322271</v>
      </c>
      <c r="M80" s="33">
        <f t="shared" si="206"/>
        <v>0.61118483412322278</v>
      </c>
      <c r="N80" s="241"/>
      <c r="O80" s="33">
        <f>1-SUM(O77:O79)</f>
        <v>0.7611848341232228</v>
      </c>
      <c r="P80" s="33">
        <f t="shared" ref="P80:R80" si="207">1-SUM(P77:P79)</f>
        <v>0.7611848341232228</v>
      </c>
      <c r="Q80" s="33">
        <f t="shared" si="207"/>
        <v>0.75618483412322268</v>
      </c>
      <c r="R80" s="33">
        <f t="shared" si="207"/>
        <v>0.75618483412322268</v>
      </c>
      <c r="S80" s="33">
        <f t="shared" ref="S80" si="208">1-SUM(S77:S79)</f>
        <v>0.73368483412322272</v>
      </c>
      <c r="T80" s="33">
        <f t="shared" ref="T80:U80" si="209">1-SUM(T77:T79)</f>
        <v>0.71118483412322275</v>
      </c>
      <c r="U80" s="33">
        <f t="shared" si="209"/>
        <v>0.66118483412322271</v>
      </c>
      <c r="V80" s="33">
        <f t="shared" ref="V80" si="210">1-SUM(V77:V79)</f>
        <v>0.61118483412322278</v>
      </c>
      <c r="W80" s="240"/>
      <c r="X80" s="62">
        <f t="shared" si="201"/>
        <v>0.7611848341232228</v>
      </c>
      <c r="Y80" s="62">
        <f t="shared" si="202"/>
        <v>0.7611848341232228</v>
      </c>
      <c r="Z80" s="62">
        <f t="shared" si="203"/>
        <v>0.75618483412322268</v>
      </c>
      <c r="AA80" s="62">
        <f t="shared" si="204"/>
        <v>0.75618483412322268</v>
      </c>
      <c r="AB80" s="62">
        <f t="shared" si="205"/>
        <v>0.73368483412322272</v>
      </c>
      <c r="AC80" s="33">
        <f>1-SUM(AC77:AC79)</f>
        <v>0.71898181279620854</v>
      </c>
      <c r="AD80" s="33">
        <f>1-SUM(AD77:AD79)</f>
        <v>0.65955608604857829</v>
      </c>
      <c r="AE80" s="33">
        <f>1-SUM(AE77:AE79)</f>
        <v>0.5781243676588419</v>
      </c>
      <c r="AF80" s="240"/>
      <c r="AG80" s="240"/>
      <c r="AH80" s="240"/>
      <c r="AI80" s="240"/>
      <c r="AJ80" s="240"/>
      <c r="AK80" s="240"/>
      <c r="AL80" s="240"/>
      <c r="AM80" s="240"/>
      <c r="AN80" s="240"/>
      <c r="AO80" s="240"/>
      <c r="AP80" s="240"/>
      <c r="AQ80" s="240"/>
      <c r="AR80" s="240"/>
      <c r="AS80" s="240"/>
      <c r="AT80" s="240"/>
      <c r="AU80" s="240"/>
    </row>
    <row r="81" spans="1:47">
      <c r="A81" s="185" t="s">
        <v>16</v>
      </c>
      <c r="C81" s="38" t="str">
        <f>C55</f>
        <v>Middle Income</v>
      </c>
      <c r="D81" s="185" t="s">
        <v>191</v>
      </c>
      <c r="E81" s="186">
        <f t="shared" ref="E81" si="211">E$26*E$14</f>
        <v>8.3197438282491429</v>
      </c>
      <c r="F81" s="186">
        <f t="shared" si="191"/>
        <v>8.826358475322154</v>
      </c>
      <c r="G81" s="186">
        <f t="shared" ref="G81:G84" si="212">IF($D$4,Y81,P81)</f>
        <v>9.2340547486185294</v>
      </c>
      <c r="H81" s="186">
        <f t="shared" ref="H81:H84" si="213">IF($D$4,Z81,Q81)</f>
        <v>9.7394791998722337</v>
      </c>
      <c r="I81" s="186">
        <f t="shared" ref="I81:I84" si="214">IF($D$4,AA81,R81)</f>
        <v>10.234967504004217</v>
      </c>
      <c r="J81" s="186">
        <f t="shared" ref="J81:J84" si="215">IF($D$4,AB81,S81)</f>
        <v>9.7914897670008187</v>
      </c>
      <c r="K81" s="186">
        <f t="shared" ref="K81:K84" si="216">IF($D$4,AC81,T81)</f>
        <v>11.452140388211879</v>
      </c>
      <c r="L81" s="186">
        <f t="shared" ref="L81:L84" si="217">IF($D$4,AD81,U81)</f>
        <v>13.05763913441525</v>
      </c>
      <c r="M81" s="186">
        <f t="shared" ref="M81:M84" si="218">IF($D$4,AE81,V81)</f>
        <v>14.405998359621464</v>
      </c>
      <c r="N81" s="40"/>
      <c r="O81" s="186">
        <f>O$26*O$14</f>
        <v>8.826358475322154</v>
      </c>
      <c r="P81" s="186">
        <f t="shared" ref="P81:V81" si="219">P$26*P$14</f>
        <v>9.2340547486185294</v>
      </c>
      <c r="Q81" s="186">
        <f t="shared" si="219"/>
        <v>9.7394791998722337</v>
      </c>
      <c r="R81" s="186">
        <f t="shared" si="219"/>
        <v>10.234967504004217</v>
      </c>
      <c r="S81" s="186">
        <f t="shared" si="219"/>
        <v>9.7914897670008187</v>
      </c>
      <c r="T81" s="291">
        <f t="shared" si="219"/>
        <v>11.452140388211879</v>
      </c>
      <c r="U81" s="291">
        <f t="shared" si="219"/>
        <v>13.05763913441525</v>
      </c>
      <c r="V81" s="291">
        <f t="shared" si="219"/>
        <v>14.405998359621464</v>
      </c>
      <c r="X81" s="62">
        <f t="shared" si="201"/>
        <v>8.826358475322154</v>
      </c>
      <c r="Y81" s="62">
        <f t="shared" si="202"/>
        <v>9.2340547486185294</v>
      </c>
      <c r="Z81" s="62">
        <f t="shared" si="203"/>
        <v>9.7394791998722337</v>
      </c>
      <c r="AA81" s="62">
        <f t="shared" si="204"/>
        <v>10.234967504004217</v>
      </c>
      <c r="AB81" s="62">
        <f t="shared" si="205"/>
        <v>9.7914897670008187</v>
      </c>
      <c r="AC81" s="186">
        <f>AC$26*AC$14</f>
        <v>10.879533368801283</v>
      </c>
      <c r="AD81" s="186">
        <f>AD$26*AD$14</f>
        <v>11.784519318809762</v>
      </c>
      <c r="AE81" s="186">
        <f>AE$26*AE$14</f>
        <v>12.351342843580449</v>
      </c>
    </row>
    <row r="82" spans="1:47">
      <c r="A82" s="185" t="s">
        <v>16</v>
      </c>
      <c r="C82" s="185" t="str">
        <f>C77</f>
        <v>Priv.veh.</v>
      </c>
      <c r="D82" s="185" t="s">
        <v>48</v>
      </c>
      <c r="E82" s="62">
        <f t="shared" ref="E82" si="220">E$42*1000*E$36*E$31/E$67/E$64</f>
        <v>0.53206565737051803</v>
      </c>
      <c r="F82" s="62">
        <f t="shared" si="191"/>
        <v>0.48950040478087659</v>
      </c>
      <c r="G82" s="62">
        <f t="shared" si="212"/>
        <v>0.48950040478087659</v>
      </c>
      <c r="H82" s="62">
        <f t="shared" si="213"/>
        <v>0.48950040478087659</v>
      </c>
      <c r="I82" s="62">
        <f t="shared" si="214"/>
        <v>0.48950040478087659</v>
      </c>
      <c r="J82" s="62">
        <f t="shared" si="215"/>
        <v>0.48950040478087659</v>
      </c>
      <c r="K82" s="62">
        <f t="shared" si="216"/>
        <v>0.48950040478087659</v>
      </c>
      <c r="L82" s="62">
        <f t="shared" si="217"/>
        <v>0.48950040478087659</v>
      </c>
      <c r="M82" s="62">
        <f t="shared" si="218"/>
        <v>0.48950040478087659</v>
      </c>
      <c r="N82" s="241"/>
      <c r="O82" s="62">
        <f>O$42*1000*O$36*O$31/O$67/O$64</f>
        <v>0.48950040478087659</v>
      </c>
      <c r="P82" s="62">
        <f t="shared" ref="P82:V82" si="221">P$42*1000*P$36*P$31/P$67/P$64</f>
        <v>0.48950040478087659</v>
      </c>
      <c r="Q82" s="62">
        <f t="shared" si="221"/>
        <v>0.48950040478087659</v>
      </c>
      <c r="R82" s="186">
        <f t="shared" si="221"/>
        <v>0.48950040478087659</v>
      </c>
      <c r="S82" s="186">
        <f t="shared" si="221"/>
        <v>0.48950040478087659</v>
      </c>
      <c r="T82" s="289">
        <f t="shared" si="221"/>
        <v>0.48950040478087659</v>
      </c>
      <c r="U82" s="289">
        <f t="shared" si="221"/>
        <v>0.48950040478087659</v>
      </c>
      <c r="V82" s="289">
        <f t="shared" si="221"/>
        <v>0.48950040478087659</v>
      </c>
      <c r="W82" s="240"/>
      <c r="X82" s="62">
        <f t="shared" si="201"/>
        <v>0.48950040478087659</v>
      </c>
      <c r="Y82" s="62">
        <f t="shared" si="202"/>
        <v>0.48950040478087659</v>
      </c>
      <c r="Z82" s="62">
        <f t="shared" si="203"/>
        <v>0.48950040478087659</v>
      </c>
      <c r="AA82" s="62">
        <f t="shared" si="204"/>
        <v>0.48950040478087659</v>
      </c>
      <c r="AB82" s="62">
        <f t="shared" si="205"/>
        <v>0.48950040478087659</v>
      </c>
      <c r="AC82" s="62">
        <f>AC$42*1000*AC$36*AC$31/AC$67/AC$64</f>
        <v>0.44177411531474098</v>
      </c>
      <c r="AD82" s="62">
        <f>AD$42*1000*AD$36*AD$31/AD$67/AD$64</f>
        <v>0.4196854095490038</v>
      </c>
      <c r="AE82" s="62">
        <f>AE$42*1000*AE$36*AE$31/AE$67/AE$64</f>
        <v>0.37876608211797597</v>
      </c>
      <c r="AF82" s="240"/>
      <c r="AG82" s="240"/>
      <c r="AH82" s="240"/>
      <c r="AI82" s="240"/>
      <c r="AJ82" s="240"/>
      <c r="AK82" s="240"/>
      <c r="AL82" s="240"/>
      <c r="AM82" s="240"/>
      <c r="AN82" s="240"/>
      <c r="AO82" s="240"/>
      <c r="AP82" s="240"/>
      <c r="AQ82" s="240"/>
      <c r="AR82" s="240"/>
      <c r="AS82" s="240"/>
      <c r="AT82" s="240"/>
      <c r="AU82" s="240"/>
    </row>
    <row r="83" spans="1:47">
      <c r="A83" s="185" t="s">
        <v>16</v>
      </c>
      <c r="C83" s="185" t="str">
        <f>C78</f>
        <v>BRT</v>
      </c>
      <c r="D83" s="185" t="s">
        <v>48</v>
      </c>
      <c r="E83" s="292">
        <v>0.01</v>
      </c>
      <c r="F83" s="62">
        <f t="shared" si="191"/>
        <v>0.01</v>
      </c>
      <c r="G83" s="62">
        <f t="shared" si="212"/>
        <v>0.01</v>
      </c>
      <c r="H83" s="62">
        <f t="shared" si="213"/>
        <v>0.01</v>
      </c>
      <c r="I83" s="62">
        <f t="shared" si="214"/>
        <v>0.01</v>
      </c>
      <c r="J83" s="62">
        <f t="shared" si="215"/>
        <v>3.0000000000000002E-2</v>
      </c>
      <c r="K83" s="62">
        <f t="shared" si="216"/>
        <v>0.05</v>
      </c>
      <c r="L83" s="62">
        <f t="shared" si="217"/>
        <v>0.1</v>
      </c>
      <c r="M83" s="62">
        <f t="shared" si="218"/>
        <v>0.15</v>
      </c>
      <c r="N83" s="241"/>
      <c r="O83" s="242">
        <f>E83</f>
        <v>0.01</v>
      </c>
      <c r="P83" s="242">
        <f>O83</f>
        <v>0.01</v>
      </c>
      <c r="Q83" s="242">
        <f t="shared" ref="Q83:U84" si="222">P83</f>
        <v>0.01</v>
      </c>
      <c r="R83" s="186">
        <f>Q83</f>
        <v>0.01</v>
      </c>
      <c r="S83" s="186">
        <f>AVERAGE(R83,T83)</f>
        <v>3.0000000000000002E-2</v>
      </c>
      <c r="T83" s="290">
        <v>0.05</v>
      </c>
      <c r="U83" s="34">
        <v>0.1</v>
      </c>
      <c r="V83" s="34">
        <v>0.15</v>
      </c>
      <c r="W83" s="240"/>
      <c r="X83" s="62">
        <f t="shared" si="201"/>
        <v>0.01</v>
      </c>
      <c r="Y83" s="62">
        <f t="shared" si="202"/>
        <v>0.01</v>
      </c>
      <c r="Z83" s="62">
        <f t="shared" si="203"/>
        <v>0.01</v>
      </c>
      <c r="AA83" s="62">
        <f t="shared" si="204"/>
        <v>0.01</v>
      </c>
      <c r="AB83" s="62">
        <f t="shared" si="205"/>
        <v>3.0000000000000002E-2</v>
      </c>
      <c r="AC83" s="70">
        <v>7.0000000000000007E-2</v>
      </c>
      <c r="AD83" s="70">
        <v>0.15</v>
      </c>
      <c r="AE83" s="70">
        <v>0.25</v>
      </c>
      <c r="AF83" s="240"/>
      <c r="AG83" s="240"/>
      <c r="AH83" s="240"/>
      <c r="AI83" s="240"/>
      <c r="AJ83" s="240"/>
      <c r="AK83" s="240"/>
      <c r="AL83" s="240"/>
      <c r="AM83" s="240"/>
      <c r="AN83" s="240"/>
      <c r="AO83" s="240"/>
      <c r="AP83" s="240"/>
      <c r="AQ83" s="240"/>
      <c r="AR83" s="240"/>
      <c r="AS83" s="240"/>
      <c r="AT83" s="240"/>
      <c r="AU83" s="240"/>
    </row>
    <row r="84" spans="1:47">
      <c r="A84" s="185" t="s">
        <v>16</v>
      </c>
      <c r="C84" s="185" t="str">
        <f>C79</f>
        <v>Gautrain</v>
      </c>
      <c r="D84" s="185" t="s">
        <v>48</v>
      </c>
      <c r="E84" s="292">
        <v>2E-3</v>
      </c>
      <c r="F84" s="137">
        <f t="shared" si="191"/>
        <v>2E-3</v>
      </c>
      <c r="G84" s="137">
        <f t="shared" si="212"/>
        <v>2E-3</v>
      </c>
      <c r="H84" s="137">
        <f t="shared" si="213"/>
        <v>2E-3</v>
      </c>
      <c r="I84" s="137">
        <f t="shared" si="214"/>
        <v>2E-3</v>
      </c>
      <c r="J84" s="137">
        <f t="shared" si="215"/>
        <v>2E-3</v>
      </c>
      <c r="K84" s="137">
        <f t="shared" si="216"/>
        <v>2E-3</v>
      </c>
      <c r="L84" s="137">
        <f t="shared" si="217"/>
        <v>2E-3</v>
      </c>
      <c r="M84" s="137">
        <f t="shared" si="218"/>
        <v>2E-3</v>
      </c>
      <c r="N84" s="241"/>
      <c r="O84" s="293">
        <f>E84</f>
        <v>2E-3</v>
      </c>
      <c r="P84" s="293">
        <f>O84</f>
        <v>2E-3</v>
      </c>
      <c r="Q84" s="293">
        <f t="shared" si="222"/>
        <v>2E-3</v>
      </c>
      <c r="R84" s="186">
        <f t="shared" si="222"/>
        <v>2E-3</v>
      </c>
      <c r="S84" s="186">
        <f t="shared" si="222"/>
        <v>2E-3</v>
      </c>
      <c r="T84" s="294">
        <f t="shared" si="222"/>
        <v>2E-3</v>
      </c>
      <c r="U84" s="294">
        <f t="shared" si="222"/>
        <v>2E-3</v>
      </c>
      <c r="V84" s="294">
        <f>U84</f>
        <v>2E-3</v>
      </c>
      <c r="W84" s="240"/>
      <c r="X84" s="62">
        <f t="shared" si="201"/>
        <v>2E-3</v>
      </c>
      <c r="Y84" s="62">
        <f t="shared" si="202"/>
        <v>2E-3</v>
      </c>
      <c r="Z84" s="62">
        <f t="shared" si="203"/>
        <v>2E-3</v>
      </c>
      <c r="AA84" s="62">
        <f t="shared" si="204"/>
        <v>2E-3</v>
      </c>
      <c r="AB84" s="62">
        <f t="shared" si="205"/>
        <v>2E-3</v>
      </c>
      <c r="AC84" s="72">
        <v>0.01</v>
      </c>
      <c r="AD84" s="72">
        <v>0.02</v>
      </c>
      <c r="AE84" s="72">
        <v>0.03</v>
      </c>
      <c r="AF84" s="240"/>
      <c r="AG84" s="240"/>
      <c r="AH84" s="240"/>
      <c r="AI84" s="240"/>
      <c r="AJ84" s="240"/>
      <c r="AK84" s="240"/>
      <c r="AL84" s="240"/>
      <c r="AM84" s="240"/>
      <c r="AN84" s="240"/>
      <c r="AO84" s="240"/>
      <c r="AP84" s="240"/>
      <c r="AQ84" s="240"/>
      <c r="AR84" s="240"/>
      <c r="AS84" s="240"/>
      <c r="AT84" s="240"/>
      <c r="AU84" s="240"/>
    </row>
    <row r="85" spans="1:47">
      <c r="A85" s="185" t="s">
        <v>16</v>
      </c>
      <c r="C85" s="185" t="str">
        <f>C80</f>
        <v>Bus, minibus, metro rail</v>
      </c>
      <c r="D85" s="185" t="s">
        <v>48</v>
      </c>
      <c r="E85" s="33">
        <f t="shared" ref="E85" si="223">1-SUM(E82:E84)</f>
        <v>0.45593434262948196</v>
      </c>
      <c r="F85" s="33">
        <f>1-SUM(F82:F84)</f>
        <v>0.49849959521912346</v>
      </c>
      <c r="G85" s="33">
        <f t="shared" ref="G85:M85" si="224">1-SUM(G82:G84)</f>
        <v>0.49849959521912346</v>
      </c>
      <c r="H85" s="33">
        <f t="shared" si="224"/>
        <v>0.49849959521912346</v>
      </c>
      <c r="I85" s="33">
        <f t="shared" si="224"/>
        <v>0.49849959521912346</v>
      </c>
      <c r="J85" s="33">
        <f t="shared" si="224"/>
        <v>0.47849959521912344</v>
      </c>
      <c r="K85" s="33">
        <f t="shared" si="224"/>
        <v>0.45849959521912342</v>
      </c>
      <c r="L85" s="33">
        <f t="shared" si="224"/>
        <v>0.40849959521912338</v>
      </c>
      <c r="M85" s="33">
        <f t="shared" si="224"/>
        <v>0.35849959521912345</v>
      </c>
      <c r="N85" s="241"/>
      <c r="O85" s="33">
        <f>1-SUM(O82:O84)</f>
        <v>0.49849959521912346</v>
      </c>
      <c r="P85" s="33">
        <f t="shared" ref="P85:R85" si="225">1-SUM(P82:P84)</f>
        <v>0.49849959521912346</v>
      </c>
      <c r="Q85" s="33">
        <f t="shared" si="225"/>
        <v>0.49849959521912346</v>
      </c>
      <c r="R85" s="33">
        <f t="shared" si="225"/>
        <v>0.49849959521912346</v>
      </c>
      <c r="S85" s="33">
        <f t="shared" ref="S85" si="226">1-SUM(S82:S84)</f>
        <v>0.47849959521912344</v>
      </c>
      <c r="T85" s="33">
        <f t="shared" ref="T85:U85" si="227">1-SUM(T82:T84)</f>
        <v>0.45849959521912342</v>
      </c>
      <c r="U85" s="33">
        <f t="shared" si="227"/>
        <v>0.40849959521912338</v>
      </c>
      <c r="V85" s="33">
        <f t="shared" ref="V85" si="228">1-SUM(V82:V84)</f>
        <v>0.35849959521912345</v>
      </c>
      <c r="W85" s="240"/>
      <c r="X85" s="62">
        <f t="shared" si="201"/>
        <v>0.49849959521912346</v>
      </c>
      <c r="Y85" s="62">
        <f t="shared" si="202"/>
        <v>0.49849959521912346</v>
      </c>
      <c r="Z85" s="62">
        <f t="shared" si="203"/>
        <v>0.49849959521912346</v>
      </c>
      <c r="AA85" s="62">
        <f t="shared" si="204"/>
        <v>0.49849959521912346</v>
      </c>
      <c r="AB85" s="62">
        <f t="shared" si="205"/>
        <v>0.47849959521912344</v>
      </c>
      <c r="AC85" s="33">
        <f>1-SUM(AC82:AC84)</f>
        <v>0.47822588468525895</v>
      </c>
      <c r="AD85" s="33">
        <f>1-SUM(AD82:AD84)</f>
        <v>0.41031459045099616</v>
      </c>
      <c r="AE85" s="33">
        <f>1-SUM(AE82:AE84)</f>
        <v>0.34123391788202406</v>
      </c>
      <c r="AF85" s="240"/>
      <c r="AG85" s="240"/>
      <c r="AH85" s="240"/>
      <c r="AI85" s="240"/>
      <c r="AJ85" s="240"/>
      <c r="AK85" s="240"/>
      <c r="AL85" s="240"/>
      <c r="AM85" s="240"/>
      <c r="AN85" s="240"/>
      <c r="AO85" s="240"/>
      <c r="AP85" s="240"/>
      <c r="AQ85" s="240"/>
      <c r="AR85" s="240"/>
      <c r="AS85" s="240"/>
      <c r="AT85" s="240"/>
      <c r="AU85" s="240"/>
    </row>
    <row r="86" spans="1:47">
      <c r="A86" s="185" t="s">
        <v>16</v>
      </c>
      <c r="C86" s="38" t="str">
        <f>C56</f>
        <v>High Income</v>
      </c>
      <c r="D86" s="185" t="s">
        <v>191</v>
      </c>
      <c r="E86" s="186">
        <f t="shared" ref="E86" si="229">E$27*E$15</f>
        <v>8.0383178513969256</v>
      </c>
      <c r="F86" s="186">
        <f t="shared" si="191"/>
        <v>9.5402930821095318</v>
      </c>
      <c r="G86" s="186">
        <f t="shared" ref="G86:G89" si="230">IF($D$4,Y86,P86)</f>
        <v>10.249512727937956</v>
      </c>
      <c r="H86" s="186">
        <f t="shared" ref="H86:H89" si="231">IF($D$4,Z86,Q86)</f>
        <v>10.785581249292237</v>
      </c>
      <c r="I86" s="186">
        <f t="shared" ref="I86:I89" si="232">IF($D$4,AA86,R86)</f>
        <v>9.2337100772937273</v>
      </c>
      <c r="J86" s="186">
        <f t="shared" ref="J86:J89" si="233">IF($D$4,AB86,S86)</f>
        <v>9.4755624191715704</v>
      </c>
      <c r="K86" s="186">
        <f t="shared" ref="K86:K89" si="234">IF($D$4,AC86,T86)</f>
        <v>13.184421872167183</v>
      </c>
      <c r="L86" s="186">
        <f t="shared" ref="L86:L89" si="235">IF($D$4,AD86,U86)</f>
        <v>17.224758364422527</v>
      </c>
      <c r="M86" s="186">
        <f t="shared" ref="M86:M89" si="236">IF($D$4,AE86,V86)</f>
        <v>21.219500844247147</v>
      </c>
      <c r="N86" s="40"/>
      <c r="O86" s="186">
        <f>O$27*O$15</f>
        <v>9.5402930821095318</v>
      </c>
      <c r="P86" s="186">
        <f t="shared" ref="P86:V86" si="237">P$27*P$15</f>
        <v>10.249512727937956</v>
      </c>
      <c r="Q86" s="186">
        <f t="shared" si="237"/>
        <v>10.785581249292237</v>
      </c>
      <c r="R86" s="186">
        <f t="shared" si="237"/>
        <v>9.2337100772937273</v>
      </c>
      <c r="S86" s="186">
        <f t="shared" si="237"/>
        <v>9.4755624191715704</v>
      </c>
      <c r="T86" s="291">
        <f t="shared" si="237"/>
        <v>13.184421872167183</v>
      </c>
      <c r="U86" s="291">
        <f t="shared" si="237"/>
        <v>17.224758364422527</v>
      </c>
      <c r="V86" s="291">
        <f t="shared" si="237"/>
        <v>21.219500844247147</v>
      </c>
      <c r="X86" s="62">
        <f t="shared" si="201"/>
        <v>9.5402930821095318</v>
      </c>
      <c r="Y86" s="62">
        <f t="shared" si="202"/>
        <v>10.249512727937956</v>
      </c>
      <c r="Z86" s="62">
        <f t="shared" si="203"/>
        <v>10.785581249292237</v>
      </c>
      <c r="AA86" s="62">
        <f t="shared" si="204"/>
        <v>9.2337100772937273</v>
      </c>
      <c r="AB86" s="62">
        <f t="shared" si="205"/>
        <v>9.4755624191715704</v>
      </c>
      <c r="AC86" s="186">
        <f>AC$27*AC$15</f>
        <v>12.854811325363004</v>
      </c>
      <c r="AD86" s="186">
        <f>AD$27*AD$15</f>
        <v>16.374285920179162</v>
      </c>
      <c r="AE86" s="186">
        <f>AE$27*AE$15</f>
        <v>19.66749329031088</v>
      </c>
    </row>
    <row r="87" spans="1:47">
      <c r="A87" s="185" t="s">
        <v>16</v>
      </c>
      <c r="C87" s="185" t="str">
        <f>C82</f>
        <v>Priv.veh.</v>
      </c>
      <c r="D87" s="185" t="s">
        <v>48</v>
      </c>
      <c r="E87" s="292">
        <f t="shared" ref="E87" si="238">E$43*1000*E$37*E$32/E$67/E$64</f>
        <v>0.75751090785568587</v>
      </c>
      <c r="F87" s="62">
        <f t="shared" si="191"/>
        <v>0.69691003522723105</v>
      </c>
      <c r="G87" s="62">
        <f t="shared" si="230"/>
        <v>0.69691003522723105</v>
      </c>
      <c r="H87" s="62">
        <f t="shared" si="231"/>
        <v>0.69691003522723105</v>
      </c>
      <c r="I87" s="62">
        <f t="shared" si="232"/>
        <v>0.69561638544480764</v>
      </c>
      <c r="J87" s="62">
        <f t="shared" si="233"/>
        <v>0.71119144186232286</v>
      </c>
      <c r="K87" s="62">
        <f t="shared" si="234"/>
        <v>0.72641438338744257</v>
      </c>
      <c r="L87" s="62">
        <f t="shared" si="235"/>
        <v>0.77931760118081295</v>
      </c>
      <c r="M87" s="62">
        <f t="shared" si="236"/>
        <v>0.82170196023217945</v>
      </c>
      <c r="N87" s="241"/>
      <c r="O87" s="62">
        <f>O$43*1000*O$37*O$32/O$67/O$64</f>
        <v>0.69691003522723105</v>
      </c>
      <c r="P87" s="62">
        <f t="shared" ref="P87:U87" si="239">P$43*1000*P$37*P$32/P$67/P$64</f>
        <v>0.69691003522723105</v>
      </c>
      <c r="Q87" s="62">
        <f t="shared" si="239"/>
        <v>0.69691003522723105</v>
      </c>
      <c r="R87" s="186">
        <f t="shared" si="239"/>
        <v>0.69561638544480764</v>
      </c>
      <c r="S87" s="186">
        <f t="shared" si="239"/>
        <v>0.71119144186232286</v>
      </c>
      <c r="T87" s="289">
        <f t="shared" si="239"/>
        <v>0.72641438338744257</v>
      </c>
      <c r="U87" s="289">
        <f t="shared" si="239"/>
        <v>0.77931760118081295</v>
      </c>
      <c r="V87" s="289">
        <f>V$43*1000*V$37*V$32/V$67/V$64</f>
        <v>0.82170196023217945</v>
      </c>
      <c r="W87" s="240"/>
      <c r="X87" s="62">
        <f t="shared" si="201"/>
        <v>0.69691003522723105</v>
      </c>
      <c r="Y87" s="62">
        <f t="shared" si="202"/>
        <v>0.69691003522723105</v>
      </c>
      <c r="Z87" s="62">
        <f t="shared" si="203"/>
        <v>0.69691003522723105</v>
      </c>
      <c r="AA87" s="62">
        <f t="shared" si="204"/>
        <v>0.69561638544480764</v>
      </c>
      <c r="AB87" s="62">
        <f t="shared" si="205"/>
        <v>0.71119144186232286</v>
      </c>
      <c r="AC87" s="62">
        <f>AC$43*1000*AC$37*AC$32/AC$67/AC$64</f>
        <v>0.66127032641347017</v>
      </c>
      <c r="AD87" s="62">
        <f>AD$43*1000*AD$37*AD$32/AD$67/AD$64</f>
        <v>0.62862010404680502</v>
      </c>
      <c r="AE87" s="62">
        <f>AE$43*1000*AE$37*AE$32/AE$67/AE$64</f>
        <v>0.59758198640949389</v>
      </c>
      <c r="AF87" s="240"/>
      <c r="AG87" s="240"/>
      <c r="AH87" s="240"/>
      <c r="AI87" s="240"/>
      <c r="AJ87" s="240"/>
      <c r="AK87" s="240"/>
      <c r="AL87" s="240"/>
      <c r="AM87" s="240"/>
      <c r="AN87" s="240"/>
      <c r="AO87" s="240"/>
      <c r="AP87" s="240"/>
      <c r="AQ87" s="240"/>
      <c r="AR87" s="240"/>
      <c r="AS87" s="240"/>
      <c r="AT87" s="240"/>
      <c r="AU87" s="240"/>
    </row>
    <row r="88" spans="1:47">
      <c r="A88" s="185" t="s">
        <v>16</v>
      </c>
      <c r="C88" s="185" t="str">
        <f>C83</f>
        <v>BRT</v>
      </c>
      <c r="D88" s="185" t="s">
        <v>48</v>
      </c>
      <c r="E88" s="292">
        <v>0</v>
      </c>
      <c r="F88" s="62">
        <f t="shared" si="191"/>
        <v>5.0000000000000001E-3</v>
      </c>
      <c r="G88" s="62">
        <f t="shared" si="230"/>
        <v>5.0000000000000001E-3</v>
      </c>
      <c r="H88" s="62">
        <f t="shared" si="231"/>
        <v>5.0000000000000001E-3</v>
      </c>
      <c r="I88" s="62">
        <f t="shared" si="232"/>
        <v>5.0000000000000001E-3</v>
      </c>
      <c r="J88" s="62">
        <f t="shared" si="233"/>
        <v>5.0000000000000001E-3</v>
      </c>
      <c r="K88" s="62">
        <f t="shared" si="234"/>
        <v>0.03</v>
      </c>
      <c r="L88" s="62">
        <f t="shared" si="235"/>
        <v>3.5000000000000003E-2</v>
      </c>
      <c r="M88" s="62">
        <f t="shared" si="236"/>
        <v>0.04</v>
      </c>
      <c r="N88" s="241"/>
      <c r="O88" s="231">
        <f>E89</f>
        <v>5.0000000000000001E-3</v>
      </c>
      <c r="P88" s="231">
        <f>O88</f>
        <v>5.0000000000000001E-3</v>
      </c>
      <c r="Q88" s="231">
        <v>5.0000000000000001E-3</v>
      </c>
      <c r="R88" s="186">
        <v>5.0000000000000001E-3</v>
      </c>
      <c r="S88" s="186">
        <v>5.0000000000000001E-3</v>
      </c>
      <c r="T88" s="34">
        <v>0.03</v>
      </c>
      <c r="U88" s="34">
        <v>3.5000000000000003E-2</v>
      </c>
      <c r="V88" s="34">
        <v>0.04</v>
      </c>
      <c r="W88" s="240"/>
      <c r="X88" s="62">
        <f t="shared" si="201"/>
        <v>5.0000000000000001E-3</v>
      </c>
      <c r="Y88" s="62">
        <f t="shared" si="202"/>
        <v>5.0000000000000001E-3</v>
      </c>
      <c r="Z88" s="62">
        <f t="shared" si="203"/>
        <v>5.0000000000000001E-3</v>
      </c>
      <c r="AA88" s="62">
        <f t="shared" si="204"/>
        <v>5.0000000000000001E-3</v>
      </c>
      <c r="AB88" s="62">
        <f t="shared" si="205"/>
        <v>5.0000000000000001E-3</v>
      </c>
      <c r="AC88" s="70">
        <v>0.03</v>
      </c>
      <c r="AD88" s="70">
        <v>0.05</v>
      </c>
      <c r="AE88" s="70">
        <v>0.1</v>
      </c>
      <c r="AF88" s="240"/>
      <c r="AG88" s="240"/>
      <c r="AH88" s="240"/>
      <c r="AI88" s="240"/>
      <c r="AJ88" s="240"/>
      <c r="AK88" s="240"/>
      <c r="AL88" s="240"/>
      <c r="AM88" s="240"/>
      <c r="AN88" s="240"/>
      <c r="AO88" s="240"/>
      <c r="AP88" s="240"/>
      <c r="AQ88" s="240"/>
      <c r="AR88" s="240"/>
      <c r="AS88" s="240"/>
      <c r="AT88" s="240"/>
      <c r="AU88" s="240"/>
    </row>
    <row r="89" spans="1:47">
      <c r="A89" s="185" t="s">
        <v>16</v>
      </c>
      <c r="C89" s="185" t="str">
        <f>C84</f>
        <v>Gautrain</v>
      </c>
      <c r="D89" s="185" t="s">
        <v>48</v>
      </c>
      <c r="E89" s="292">
        <v>5.0000000000000001E-3</v>
      </c>
      <c r="F89" s="62">
        <f t="shared" si="191"/>
        <v>5.0000000000000001E-3</v>
      </c>
      <c r="G89" s="62">
        <f t="shared" si="230"/>
        <v>5.0000000000000001E-3</v>
      </c>
      <c r="H89" s="62">
        <f t="shared" si="231"/>
        <v>5.0000000000000001E-3</v>
      </c>
      <c r="I89" s="62">
        <f t="shared" si="232"/>
        <v>5.0000000000000001E-3</v>
      </c>
      <c r="J89" s="62">
        <f t="shared" si="233"/>
        <v>5.0000000000000001E-3</v>
      </c>
      <c r="K89" s="62">
        <f t="shared" si="234"/>
        <v>5.0000000000000001E-3</v>
      </c>
      <c r="L89" s="62">
        <f t="shared" si="235"/>
        <v>5.0000000000000001E-3</v>
      </c>
      <c r="M89" s="62">
        <f t="shared" si="236"/>
        <v>5.0000000000000001E-3</v>
      </c>
      <c r="N89" s="241"/>
      <c r="O89" s="231">
        <f>E89</f>
        <v>5.0000000000000001E-3</v>
      </c>
      <c r="P89" s="231">
        <f>O89</f>
        <v>5.0000000000000001E-3</v>
      </c>
      <c r="Q89" s="231">
        <v>5.0000000000000001E-3</v>
      </c>
      <c r="R89" s="186">
        <v>5.0000000000000001E-3</v>
      </c>
      <c r="S89" s="186">
        <v>5.0000000000000001E-3</v>
      </c>
      <c r="T89" s="295">
        <v>5.0000000000000001E-3</v>
      </c>
      <c r="U89" s="295">
        <v>5.0000000000000001E-3</v>
      </c>
      <c r="V89" s="295">
        <v>5.0000000000000001E-3</v>
      </c>
      <c r="W89" s="240"/>
      <c r="X89" s="62">
        <f t="shared" si="201"/>
        <v>5.0000000000000001E-3</v>
      </c>
      <c r="Y89" s="62">
        <f t="shared" si="202"/>
        <v>5.0000000000000001E-3</v>
      </c>
      <c r="Z89" s="62">
        <f t="shared" si="203"/>
        <v>5.0000000000000001E-3</v>
      </c>
      <c r="AA89" s="62">
        <f t="shared" si="204"/>
        <v>5.0000000000000001E-3</v>
      </c>
      <c r="AB89" s="62">
        <f t="shared" si="205"/>
        <v>5.0000000000000001E-3</v>
      </c>
      <c r="AC89" s="72">
        <v>0.01</v>
      </c>
      <c r="AD89" s="72">
        <v>0.03</v>
      </c>
      <c r="AE89" s="72">
        <v>0.05</v>
      </c>
      <c r="AF89" s="240"/>
      <c r="AG89" s="240"/>
      <c r="AH89" s="240"/>
      <c r="AI89" s="240"/>
      <c r="AJ89" s="240"/>
      <c r="AK89" s="240"/>
      <c r="AL89" s="240"/>
      <c r="AM89" s="240"/>
      <c r="AN89" s="240"/>
      <c r="AO89" s="240"/>
      <c r="AP89" s="240"/>
      <c r="AQ89" s="240"/>
      <c r="AR89" s="240"/>
      <c r="AS89" s="240"/>
      <c r="AT89" s="240"/>
      <c r="AU89" s="240"/>
    </row>
    <row r="90" spans="1:47">
      <c r="A90" s="185" t="s">
        <v>16</v>
      </c>
      <c r="C90" s="185" t="str">
        <f>C85</f>
        <v>Bus, minibus, metro rail</v>
      </c>
      <c r="D90" s="185" t="s">
        <v>48</v>
      </c>
      <c r="E90" s="33">
        <f>1-SUM(E87:E89)</f>
        <v>0.23748909214431413</v>
      </c>
      <c r="F90" s="33">
        <f>1-SUM(F87:F89)</f>
        <v>0.29308996477276894</v>
      </c>
      <c r="G90" s="33">
        <f t="shared" ref="G90:M90" si="240">1-SUM(G87:G89)</f>
        <v>0.29308996477276894</v>
      </c>
      <c r="H90" s="33">
        <f t="shared" si="240"/>
        <v>0.29308996477276894</v>
      </c>
      <c r="I90" s="33">
        <f t="shared" si="240"/>
        <v>0.29438361455519235</v>
      </c>
      <c r="J90" s="33">
        <f t="shared" si="240"/>
        <v>0.27880855813767713</v>
      </c>
      <c r="K90" s="33">
        <f t="shared" si="240"/>
        <v>0.23858561661255739</v>
      </c>
      <c r="L90" s="33">
        <f t="shared" si="240"/>
        <v>0.18068239881918702</v>
      </c>
      <c r="M90" s="33">
        <f t="shared" si="240"/>
        <v>0.13329803976782051</v>
      </c>
      <c r="N90" s="241"/>
      <c r="O90" s="33">
        <f t="shared" ref="O90:V90" si="241">1-SUM(O87:O89)</f>
        <v>0.29308996477276894</v>
      </c>
      <c r="P90" s="33">
        <f t="shared" si="241"/>
        <v>0.29308996477276894</v>
      </c>
      <c r="Q90" s="33">
        <f t="shared" si="241"/>
        <v>0.29308996477276894</v>
      </c>
      <c r="R90" s="33">
        <f t="shared" si="241"/>
        <v>0.29438361455519235</v>
      </c>
      <c r="S90" s="33">
        <f t="shared" si="241"/>
        <v>0.27880855813767713</v>
      </c>
      <c r="T90" s="33">
        <f t="shared" si="241"/>
        <v>0.23858561661255739</v>
      </c>
      <c r="U90" s="33">
        <f t="shared" si="241"/>
        <v>0.18068239881918702</v>
      </c>
      <c r="V90" s="33">
        <f t="shared" si="241"/>
        <v>0.13329803976782051</v>
      </c>
      <c r="W90" s="240"/>
      <c r="X90" s="62">
        <f t="shared" si="201"/>
        <v>0.29308996477276894</v>
      </c>
      <c r="Y90" s="62">
        <f t="shared" si="202"/>
        <v>0.29308996477276894</v>
      </c>
      <c r="Z90" s="62">
        <f t="shared" si="203"/>
        <v>0.29308996477276894</v>
      </c>
      <c r="AA90" s="62">
        <f t="shared" si="204"/>
        <v>0.29438361455519235</v>
      </c>
      <c r="AB90" s="62">
        <f t="shared" si="205"/>
        <v>0.27880855813767713</v>
      </c>
      <c r="AC90" s="33">
        <f>1-SUM(AC87:AC89)</f>
        <v>0.2987296735865298</v>
      </c>
      <c r="AD90" s="33">
        <f>1-SUM(AD87:AD89)</f>
        <v>0.29137989595319491</v>
      </c>
      <c r="AE90" s="33">
        <f>1-SUM(AE87:AE89)</f>
        <v>0.25241801359050609</v>
      </c>
      <c r="AF90" s="240"/>
      <c r="AG90" s="240"/>
      <c r="AH90" s="240"/>
      <c r="AI90" s="240"/>
      <c r="AJ90" s="240"/>
      <c r="AK90" s="240"/>
      <c r="AL90" s="240"/>
      <c r="AM90" s="240"/>
      <c r="AN90" s="240"/>
      <c r="AO90" s="240"/>
      <c r="AP90" s="240"/>
      <c r="AQ90" s="240"/>
      <c r="AR90" s="240"/>
      <c r="AS90" s="240"/>
      <c r="AT90" s="240"/>
      <c r="AU90" s="240"/>
    </row>
    <row r="91" spans="1:47">
      <c r="A91" s="185" t="s">
        <v>16</v>
      </c>
      <c r="C91" s="228"/>
      <c r="E91" s="232"/>
      <c r="F91" s="232"/>
      <c r="G91" s="232"/>
      <c r="I91" s="232"/>
      <c r="K91" s="232"/>
      <c r="L91" s="232"/>
      <c r="M91" s="232"/>
      <c r="N91" s="40"/>
      <c r="R91" s="232"/>
      <c r="T91" s="232"/>
      <c r="U91" s="232"/>
      <c r="V91" s="232"/>
      <c r="AA91" s="232"/>
      <c r="AC91" s="232"/>
      <c r="AD91" s="232"/>
      <c r="AE91" s="232"/>
    </row>
    <row r="92" spans="1:47">
      <c r="A92" s="185" t="s">
        <v>16</v>
      </c>
      <c r="C92" s="69" t="s">
        <v>193</v>
      </c>
      <c r="E92" s="7"/>
      <c r="F92" s="7"/>
      <c r="G92" s="7"/>
      <c r="I92" s="7"/>
      <c r="K92" s="7"/>
      <c r="L92" s="7"/>
      <c r="M92" s="7"/>
      <c r="N92" s="40"/>
      <c r="R92" s="7"/>
      <c r="T92" s="7"/>
      <c r="U92" s="7"/>
      <c r="V92" s="7"/>
      <c r="AA92" s="7"/>
      <c r="AC92" s="7"/>
      <c r="AD92" s="7"/>
      <c r="AE92" s="7"/>
    </row>
    <row r="93" spans="1:47">
      <c r="A93" s="185" t="s">
        <v>16</v>
      </c>
      <c r="C93" s="38" t="str">
        <f>C75</f>
        <v>Low Income</v>
      </c>
      <c r="D93" s="185" t="s">
        <v>191</v>
      </c>
      <c r="E93" s="186">
        <f t="shared" ref="E93" si="242">(1-E$25)*E$13</f>
        <v>25.639462112214339</v>
      </c>
      <c r="F93" s="186">
        <f t="shared" ref="F93:F103" si="243">IF($D$4,X93,O93)</f>
        <v>25.162947131829636</v>
      </c>
      <c r="G93" s="186">
        <f t="shared" ref="G93:G95" si="244">IF($D$4,Y93,P93)</f>
        <v>25.240254653319884</v>
      </c>
      <c r="H93" s="186">
        <f t="shared" ref="H93:H95" si="245">IF($D$4,Z93,Q93)</f>
        <v>25.427775883826147</v>
      </c>
      <c r="I93" s="186">
        <f t="shared" ref="I93:I95" si="246">IF($D$4,AA93,R93)</f>
        <v>26.458300314436251</v>
      </c>
      <c r="J93" s="186">
        <f t="shared" ref="J93:J95" si="247">IF($D$4,AB93,S93)</f>
        <v>28.701387021526727</v>
      </c>
      <c r="K93" s="186">
        <f t="shared" ref="K93:K95" si="248">IF($D$4,AC93,T93)</f>
        <v>26.722815463377376</v>
      </c>
      <c r="L93" s="186">
        <f t="shared" ref="L93:L95" si="249">IF($D$4,AD93,U93)</f>
        <v>23.87636905793044</v>
      </c>
      <c r="M93" s="186">
        <f t="shared" ref="M93:M95" si="250">IF($D$4,AE93,V93)</f>
        <v>20.296888124936192</v>
      </c>
      <c r="N93" s="40"/>
      <c r="O93" s="186">
        <f>(1-O$25)*O$13</f>
        <v>25.162947131829636</v>
      </c>
      <c r="P93" s="186">
        <f>(1-P$25)*P$13</f>
        <v>25.240254653319884</v>
      </c>
      <c r="Q93" s="186">
        <f t="shared" ref="Q93:V93" si="251">(1-Q$25)*Q$13</f>
        <v>25.427775883826147</v>
      </c>
      <c r="R93" s="186">
        <f t="shared" si="251"/>
        <v>26.458300314436251</v>
      </c>
      <c r="S93" s="186">
        <f t="shared" si="251"/>
        <v>28.701387021526727</v>
      </c>
      <c r="T93" s="186">
        <f t="shared" si="251"/>
        <v>26.722815463377376</v>
      </c>
      <c r="U93" s="186">
        <f t="shared" si="251"/>
        <v>23.87636905793044</v>
      </c>
      <c r="V93" s="186">
        <f t="shared" si="251"/>
        <v>20.296888124936192</v>
      </c>
      <c r="X93" s="186">
        <f>O93</f>
        <v>25.162947131829636</v>
      </c>
      <c r="Y93" s="186">
        <f t="shared" ref="Y93:AB93" si="252">P93</f>
        <v>25.240254653319884</v>
      </c>
      <c r="Z93" s="186">
        <f t="shared" si="252"/>
        <v>25.427775883826147</v>
      </c>
      <c r="AA93" s="186">
        <f t="shared" si="252"/>
        <v>26.458300314436251</v>
      </c>
      <c r="AB93" s="186">
        <f t="shared" si="252"/>
        <v>28.701387021526727</v>
      </c>
      <c r="AC93" s="186">
        <f>(1-AC$25)*AC$13</f>
        <v>25.9047700920495</v>
      </c>
      <c r="AD93" s="186">
        <f>(1-AD$25)*AD$13</f>
        <v>23.389096220013492</v>
      </c>
      <c r="AE93" s="186">
        <f>(1-AE$25)*AE$13</f>
        <v>19.882665918304841</v>
      </c>
    </row>
    <row r="94" spans="1:47">
      <c r="A94" s="185" t="s">
        <v>16</v>
      </c>
      <c r="C94" s="185" t="s">
        <v>63</v>
      </c>
      <c r="D94" s="185" t="s">
        <v>48</v>
      </c>
      <c r="E94" s="292">
        <v>0</v>
      </c>
      <c r="F94" s="62">
        <f t="shared" si="243"/>
        <v>0</v>
      </c>
      <c r="G94" s="62">
        <f t="shared" si="244"/>
        <v>5.0000000000000001E-3</v>
      </c>
      <c r="H94" s="62">
        <f t="shared" si="245"/>
        <v>0.01</v>
      </c>
      <c r="I94" s="62">
        <f t="shared" si="246"/>
        <v>0.01</v>
      </c>
      <c r="J94" s="62">
        <f t="shared" si="247"/>
        <v>3.0000000000000002E-2</v>
      </c>
      <c r="K94" s="62">
        <f t="shared" si="248"/>
        <v>0.05</v>
      </c>
      <c r="L94" s="62">
        <f t="shared" si="249"/>
        <v>0.1</v>
      </c>
      <c r="M94" s="62">
        <f t="shared" si="250"/>
        <v>0.15</v>
      </c>
      <c r="N94" s="241"/>
      <c r="O94" s="231">
        <f>E94</f>
        <v>0</v>
      </c>
      <c r="P94" s="231">
        <v>5.0000000000000001E-3</v>
      </c>
      <c r="Q94" s="231">
        <v>0.01</v>
      </c>
      <c r="R94" s="231">
        <f>Q94</f>
        <v>0.01</v>
      </c>
      <c r="S94" s="231">
        <f>AVERAGE(R94,T94)</f>
        <v>3.0000000000000002E-2</v>
      </c>
      <c r="T94" s="34">
        <v>0.05</v>
      </c>
      <c r="U94" s="34">
        <v>0.1</v>
      </c>
      <c r="V94" s="34">
        <v>0.15</v>
      </c>
      <c r="W94" s="240"/>
      <c r="X94" s="186">
        <f t="shared" ref="X94:X103" si="253">O94</f>
        <v>0</v>
      </c>
      <c r="Y94" s="186">
        <f t="shared" ref="Y94:Y103" si="254">P94</f>
        <v>5.0000000000000001E-3</v>
      </c>
      <c r="Z94" s="186">
        <f t="shared" ref="Z94:Z103" si="255">Q94</f>
        <v>0.01</v>
      </c>
      <c r="AA94" s="186">
        <f t="shared" ref="AA94:AA103" si="256">R94</f>
        <v>0.01</v>
      </c>
      <c r="AB94" s="186">
        <f t="shared" ref="AB94:AB103" si="257">S94</f>
        <v>3.0000000000000002E-2</v>
      </c>
      <c r="AC94" s="70">
        <f>AC78</f>
        <v>7.0000000000000007E-2</v>
      </c>
      <c r="AD94" s="70">
        <v>0.2</v>
      </c>
      <c r="AE94" s="70">
        <v>0.4</v>
      </c>
      <c r="AF94" s="240"/>
      <c r="AG94" s="240"/>
      <c r="AH94" s="240"/>
      <c r="AI94" s="240"/>
      <c r="AJ94" s="240"/>
      <c r="AK94" s="240"/>
      <c r="AL94" s="240"/>
      <c r="AM94" s="240"/>
      <c r="AN94" s="240"/>
      <c r="AO94" s="240"/>
      <c r="AP94" s="240"/>
      <c r="AQ94" s="240"/>
      <c r="AR94" s="240"/>
      <c r="AS94" s="240"/>
      <c r="AT94" s="240"/>
      <c r="AU94" s="240"/>
    </row>
    <row r="95" spans="1:47">
      <c r="A95" s="185" t="s">
        <v>16</v>
      </c>
      <c r="C95" s="185" t="s">
        <v>82</v>
      </c>
      <c r="D95" s="185" t="s">
        <v>48</v>
      </c>
      <c r="E95" s="292">
        <v>0</v>
      </c>
      <c r="F95" s="62">
        <f t="shared" si="243"/>
        <v>0</v>
      </c>
      <c r="G95" s="62">
        <f t="shared" si="244"/>
        <v>0</v>
      </c>
      <c r="H95" s="62">
        <f t="shared" si="245"/>
        <v>0</v>
      </c>
      <c r="I95" s="62">
        <f t="shared" si="246"/>
        <v>0</v>
      </c>
      <c r="J95" s="62">
        <f t="shared" si="247"/>
        <v>0</v>
      </c>
      <c r="K95" s="62">
        <f t="shared" si="248"/>
        <v>0</v>
      </c>
      <c r="L95" s="62">
        <f t="shared" si="249"/>
        <v>0</v>
      </c>
      <c r="M95" s="62">
        <f t="shared" si="250"/>
        <v>0</v>
      </c>
      <c r="N95" s="241"/>
      <c r="O95" s="231">
        <f>E95</f>
        <v>0</v>
      </c>
      <c r="P95" s="231">
        <f>O95</f>
        <v>0</v>
      </c>
      <c r="Q95" s="231">
        <f>P95</f>
        <v>0</v>
      </c>
      <c r="R95" s="231">
        <f>Q95</f>
        <v>0</v>
      </c>
      <c r="S95" s="231">
        <f t="shared" ref="S95:V95" si="258">R95</f>
        <v>0</v>
      </c>
      <c r="T95" s="34">
        <f t="shared" si="258"/>
        <v>0</v>
      </c>
      <c r="U95" s="34">
        <f t="shared" si="258"/>
        <v>0</v>
      </c>
      <c r="V95" s="34">
        <f t="shared" si="258"/>
        <v>0</v>
      </c>
      <c r="W95" s="240"/>
      <c r="X95" s="186">
        <f t="shared" si="253"/>
        <v>0</v>
      </c>
      <c r="Y95" s="186">
        <f t="shared" si="254"/>
        <v>0</v>
      </c>
      <c r="Z95" s="186">
        <f t="shared" si="255"/>
        <v>0</v>
      </c>
      <c r="AA95" s="186">
        <f t="shared" si="256"/>
        <v>0</v>
      </c>
      <c r="AB95" s="186">
        <f t="shared" si="257"/>
        <v>0</v>
      </c>
      <c r="AC95" s="34">
        <v>0</v>
      </c>
      <c r="AD95" s="34">
        <v>0</v>
      </c>
      <c r="AE95" s="34">
        <v>0</v>
      </c>
      <c r="AF95" s="240"/>
      <c r="AG95" s="240"/>
      <c r="AH95" s="240"/>
      <c r="AI95" s="240"/>
      <c r="AJ95" s="240"/>
      <c r="AK95" s="240"/>
      <c r="AL95" s="240"/>
      <c r="AM95" s="240"/>
      <c r="AN95" s="240"/>
      <c r="AO95" s="240"/>
      <c r="AP95" s="240"/>
      <c r="AQ95" s="240"/>
      <c r="AR95" s="240"/>
      <c r="AS95" s="240"/>
      <c r="AT95" s="240"/>
      <c r="AU95" s="240"/>
    </row>
    <row r="96" spans="1:47">
      <c r="A96" s="185" t="s">
        <v>16</v>
      </c>
      <c r="C96" s="185" t="s">
        <v>81</v>
      </c>
      <c r="D96" s="185" t="s">
        <v>48</v>
      </c>
      <c r="E96" s="33">
        <f>1-SUM(E94:E95)</f>
        <v>1</v>
      </c>
      <c r="F96" s="33">
        <f>1-SUM(F94:F95)</f>
        <v>1</v>
      </c>
      <c r="G96" s="33">
        <f t="shared" ref="G96:M96" si="259">1-SUM(G94:G95)</f>
        <v>0.995</v>
      </c>
      <c r="H96" s="33">
        <f t="shared" si="259"/>
        <v>0.99</v>
      </c>
      <c r="I96" s="33">
        <f t="shared" si="259"/>
        <v>0.99</v>
      </c>
      <c r="J96" s="33">
        <f t="shared" si="259"/>
        <v>0.97</v>
      </c>
      <c r="K96" s="33">
        <f t="shared" si="259"/>
        <v>0.95</v>
      </c>
      <c r="L96" s="33">
        <f t="shared" si="259"/>
        <v>0.9</v>
      </c>
      <c r="M96" s="33">
        <f t="shared" si="259"/>
        <v>0.85</v>
      </c>
      <c r="N96" s="241"/>
      <c r="O96" s="33">
        <f>1-SUM(O94:O95)</f>
        <v>1</v>
      </c>
      <c r="P96" s="33">
        <f t="shared" ref="P96:V96" si="260">1-SUM(P94:P95)</f>
        <v>0.995</v>
      </c>
      <c r="Q96" s="33">
        <f t="shared" si="260"/>
        <v>0.99</v>
      </c>
      <c r="R96" s="33">
        <f t="shared" si="260"/>
        <v>0.99</v>
      </c>
      <c r="S96" s="33">
        <f t="shared" si="260"/>
        <v>0.97</v>
      </c>
      <c r="T96" s="33">
        <f t="shared" si="260"/>
        <v>0.95</v>
      </c>
      <c r="U96" s="33">
        <f t="shared" si="260"/>
        <v>0.9</v>
      </c>
      <c r="V96" s="33">
        <f t="shared" si="260"/>
        <v>0.85</v>
      </c>
      <c r="W96" s="240"/>
      <c r="X96" s="186">
        <f>O96</f>
        <v>1</v>
      </c>
      <c r="Y96" s="186">
        <f t="shared" si="254"/>
        <v>0.995</v>
      </c>
      <c r="Z96" s="186">
        <f t="shared" si="255"/>
        <v>0.99</v>
      </c>
      <c r="AA96" s="186">
        <f t="shared" si="256"/>
        <v>0.99</v>
      </c>
      <c r="AB96" s="186">
        <f t="shared" si="257"/>
        <v>0.97</v>
      </c>
      <c r="AC96" s="33">
        <f>1-SUM(AC94:AC95)</f>
        <v>0.92999999999999994</v>
      </c>
      <c r="AD96" s="33">
        <f>1-SUM(AD94:AD95)</f>
        <v>0.8</v>
      </c>
      <c r="AE96" s="33">
        <f>1-SUM(AE94:AE95)</f>
        <v>0.6</v>
      </c>
      <c r="AF96" s="240"/>
      <c r="AG96" s="240"/>
      <c r="AH96" s="240"/>
      <c r="AI96" s="240"/>
      <c r="AJ96" s="240"/>
      <c r="AK96" s="240"/>
      <c r="AL96" s="240"/>
      <c r="AM96" s="240"/>
      <c r="AN96" s="240"/>
      <c r="AO96" s="240"/>
      <c r="AP96" s="240"/>
      <c r="AQ96" s="240"/>
      <c r="AR96" s="240"/>
      <c r="AS96" s="240"/>
      <c r="AT96" s="240"/>
      <c r="AU96" s="240"/>
    </row>
    <row r="97" spans="1:47">
      <c r="A97" s="185" t="s">
        <v>16</v>
      </c>
      <c r="C97" s="38" t="str">
        <f>C81</f>
        <v>Middle Income</v>
      </c>
      <c r="D97" s="185" t="s">
        <v>191</v>
      </c>
      <c r="E97" s="186">
        <f t="shared" ref="E97" si="261">(1-E$26)*E$14</f>
        <v>7.3778860363718808</v>
      </c>
      <c r="F97" s="186">
        <f t="shared" si="243"/>
        <v>7.8271480818894563</v>
      </c>
      <c r="G97" s="186">
        <f t="shared" ref="G97:G99" si="262">IF($D$4,Y97,P97)</f>
        <v>8.1886900600956771</v>
      </c>
      <c r="H97" s="186">
        <f t="shared" ref="H97:H99" si="263">IF($D$4,Z97,Q97)</f>
        <v>8.636896648943301</v>
      </c>
      <c r="I97" s="186">
        <f t="shared" ref="I97:I99" si="264">IF($D$4,AA97,R97)</f>
        <v>9.0762919375131723</v>
      </c>
      <c r="J97" s="186">
        <f t="shared" ref="J97:J99" si="265">IF($D$4,AB97,S97)</f>
        <v>8.683019227340349</v>
      </c>
      <c r="K97" s="186">
        <f t="shared" ref="K97:K99" si="266">IF($D$4,AC97,T97)</f>
        <v>10.155671665018081</v>
      </c>
      <c r="L97" s="186">
        <f t="shared" ref="L97:L99" si="267">IF($D$4,AD97,U97)</f>
        <v>11.57941583617956</v>
      </c>
      <c r="M97" s="186">
        <f t="shared" ref="M97:M99" si="268">IF($D$4,AE97,V97)</f>
        <v>12.775130620796389</v>
      </c>
      <c r="N97" s="40"/>
      <c r="O97" s="186">
        <f>(1-O$26)*O$14</f>
        <v>7.8271480818894563</v>
      </c>
      <c r="P97" s="186">
        <f t="shared" ref="P97:V97" si="269">(1-P$26)*P$14</f>
        <v>8.1886900600956771</v>
      </c>
      <c r="Q97" s="186">
        <f t="shared" si="269"/>
        <v>8.636896648943301</v>
      </c>
      <c r="R97" s="186">
        <f t="shared" si="269"/>
        <v>9.0762919375131723</v>
      </c>
      <c r="S97" s="186">
        <f t="shared" si="269"/>
        <v>8.683019227340349</v>
      </c>
      <c r="T97" s="186">
        <f t="shared" si="269"/>
        <v>10.155671665018081</v>
      </c>
      <c r="U97" s="186">
        <f t="shared" si="269"/>
        <v>11.57941583617956</v>
      </c>
      <c r="V97" s="186">
        <f t="shared" si="269"/>
        <v>12.775130620796389</v>
      </c>
      <c r="X97" s="186">
        <f t="shared" si="253"/>
        <v>7.8271480818894563</v>
      </c>
      <c r="Y97" s="186">
        <f t="shared" si="254"/>
        <v>8.1886900600956771</v>
      </c>
      <c r="Z97" s="186">
        <f t="shared" si="255"/>
        <v>8.636896648943301</v>
      </c>
      <c r="AA97" s="186">
        <f t="shared" si="256"/>
        <v>9.0762919375131723</v>
      </c>
      <c r="AB97" s="186">
        <f t="shared" si="257"/>
        <v>8.683019227340349</v>
      </c>
      <c r="AC97" s="186">
        <f>(1-AC$26)*AC$14</f>
        <v>10.728278684428677</v>
      </c>
      <c r="AD97" s="186">
        <f>(1-AD$26)*AD$14</f>
        <v>12.85253565178505</v>
      </c>
      <c r="AE97" s="186">
        <f>(1-AE$26)*AE$14</f>
        <v>14.829786136837404</v>
      </c>
    </row>
    <row r="98" spans="1:47">
      <c r="A98" s="185" t="s">
        <v>16</v>
      </c>
      <c r="C98" s="185" t="str">
        <f>C94</f>
        <v>BRT</v>
      </c>
      <c r="D98" s="185" t="s">
        <v>48</v>
      </c>
      <c r="E98" s="292">
        <v>0</v>
      </c>
      <c r="F98" s="62">
        <f t="shared" si="243"/>
        <v>0</v>
      </c>
      <c r="G98" s="62">
        <f t="shared" si="262"/>
        <v>5.0000000000000001E-3</v>
      </c>
      <c r="H98" s="62">
        <f t="shared" si="263"/>
        <v>0.01</v>
      </c>
      <c r="I98" s="62">
        <f t="shared" si="264"/>
        <v>0.01</v>
      </c>
      <c r="J98" s="62">
        <f t="shared" si="265"/>
        <v>3.0000000000000002E-2</v>
      </c>
      <c r="K98" s="62">
        <f t="shared" si="266"/>
        <v>0.05</v>
      </c>
      <c r="L98" s="62">
        <f t="shared" si="267"/>
        <v>0.1</v>
      </c>
      <c r="M98" s="62">
        <f t="shared" si="268"/>
        <v>0.15</v>
      </c>
      <c r="N98" s="241"/>
      <c r="O98" s="231">
        <f>E98</f>
        <v>0</v>
      </c>
      <c r="P98" s="231">
        <v>5.0000000000000001E-3</v>
      </c>
      <c r="Q98" s="231">
        <v>0.01</v>
      </c>
      <c r="R98" s="231">
        <f>Q98</f>
        <v>0.01</v>
      </c>
      <c r="S98" s="231">
        <f>AVERAGE(R98,T98)</f>
        <v>3.0000000000000002E-2</v>
      </c>
      <c r="T98" s="34">
        <v>0.05</v>
      </c>
      <c r="U98" s="34">
        <v>0.1</v>
      </c>
      <c r="V98" s="34">
        <v>0.15</v>
      </c>
      <c r="W98" s="240"/>
      <c r="X98" s="186">
        <f t="shared" si="253"/>
        <v>0</v>
      </c>
      <c r="Y98" s="186">
        <f t="shared" si="254"/>
        <v>5.0000000000000001E-3</v>
      </c>
      <c r="Z98" s="186">
        <f t="shared" si="255"/>
        <v>0.01</v>
      </c>
      <c r="AA98" s="186">
        <f t="shared" si="256"/>
        <v>0.01</v>
      </c>
      <c r="AB98" s="186">
        <f t="shared" si="257"/>
        <v>3.0000000000000002E-2</v>
      </c>
      <c r="AC98" s="70">
        <f>AC83</f>
        <v>7.0000000000000007E-2</v>
      </c>
      <c r="AD98" s="70">
        <v>0.2</v>
      </c>
      <c r="AE98" s="70">
        <v>0.4</v>
      </c>
      <c r="AF98" s="240"/>
      <c r="AG98" s="240"/>
      <c r="AH98" s="240"/>
      <c r="AI98" s="240"/>
      <c r="AJ98" s="240"/>
      <c r="AK98" s="240"/>
      <c r="AL98" s="240"/>
      <c r="AM98" s="240"/>
      <c r="AN98" s="240"/>
      <c r="AO98" s="240"/>
      <c r="AP98" s="240"/>
      <c r="AQ98" s="240"/>
      <c r="AR98" s="240"/>
      <c r="AS98" s="240"/>
      <c r="AT98" s="240"/>
      <c r="AU98" s="240"/>
    </row>
    <row r="99" spans="1:47">
      <c r="A99" s="185" t="s">
        <v>16</v>
      </c>
      <c r="C99" s="185" t="str">
        <f>C95</f>
        <v>Gautrain</v>
      </c>
      <c r="D99" s="185" t="s">
        <v>48</v>
      </c>
      <c r="E99" s="292">
        <v>2E-3</v>
      </c>
      <c r="F99" s="62">
        <f t="shared" si="243"/>
        <v>2E-3</v>
      </c>
      <c r="G99" s="62">
        <f t="shared" si="262"/>
        <v>2E-3</v>
      </c>
      <c r="H99" s="62">
        <f t="shared" si="263"/>
        <v>2E-3</v>
      </c>
      <c r="I99" s="62">
        <f t="shared" si="264"/>
        <v>2E-3</v>
      </c>
      <c r="J99" s="62">
        <f t="shared" si="265"/>
        <v>2E-3</v>
      </c>
      <c r="K99" s="62">
        <f t="shared" si="266"/>
        <v>2E-3</v>
      </c>
      <c r="L99" s="62">
        <f t="shared" si="267"/>
        <v>2E-3</v>
      </c>
      <c r="M99" s="62">
        <f t="shared" si="268"/>
        <v>2E-3</v>
      </c>
      <c r="N99" s="241"/>
      <c r="O99" s="231">
        <f>E99</f>
        <v>2E-3</v>
      </c>
      <c r="P99" s="231">
        <f>O99</f>
        <v>2E-3</v>
      </c>
      <c r="Q99" s="231">
        <f>P99</f>
        <v>2E-3</v>
      </c>
      <c r="R99" s="231">
        <f>Q99</f>
        <v>2E-3</v>
      </c>
      <c r="S99" s="231">
        <f t="shared" ref="S99:V99" si="270">R99</f>
        <v>2E-3</v>
      </c>
      <c r="T99" s="48">
        <f t="shared" si="270"/>
        <v>2E-3</v>
      </c>
      <c r="U99" s="48">
        <f t="shared" si="270"/>
        <v>2E-3</v>
      </c>
      <c r="V99" s="48">
        <f t="shared" si="270"/>
        <v>2E-3</v>
      </c>
      <c r="W99" s="240"/>
      <c r="X99" s="186">
        <f t="shared" si="253"/>
        <v>2E-3</v>
      </c>
      <c r="Y99" s="186">
        <f t="shared" si="254"/>
        <v>2E-3</v>
      </c>
      <c r="Z99" s="186">
        <f t="shared" si="255"/>
        <v>2E-3</v>
      </c>
      <c r="AA99" s="186">
        <f t="shared" si="256"/>
        <v>2E-3</v>
      </c>
      <c r="AB99" s="186">
        <f t="shared" si="257"/>
        <v>2E-3</v>
      </c>
      <c r="AC99" s="70">
        <f>AC84</f>
        <v>0.01</v>
      </c>
      <c r="AD99" s="70">
        <f>AD84</f>
        <v>0.02</v>
      </c>
      <c r="AE99" s="70">
        <f>AE84</f>
        <v>0.03</v>
      </c>
      <c r="AF99" s="240"/>
      <c r="AG99" s="240"/>
      <c r="AH99" s="240"/>
      <c r="AI99" s="240"/>
      <c r="AJ99" s="240"/>
      <c r="AK99" s="240"/>
      <c r="AL99" s="240"/>
      <c r="AM99" s="240"/>
      <c r="AN99" s="240"/>
      <c r="AO99" s="240"/>
      <c r="AP99" s="240"/>
      <c r="AQ99" s="240"/>
      <c r="AR99" s="240"/>
      <c r="AS99" s="240"/>
      <c r="AT99" s="240"/>
      <c r="AU99" s="240"/>
    </row>
    <row r="100" spans="1:47">
      <c r="A100" s="185" t="s">
        <v>16</v>
      </c>
      <c r="C100" s="185" t="str">
        <f>C96</f>
        <v>Bus, minibus, metro rail</v>
      </c>
      <c r="D100" s="185" t="s">
        <v>48</v>
      </c>
      <c r="E100" s="33">
        <f t="shared" ref="E100" si="271">1-SUM(E98:E99)</f>
        <v>0.998</v>
      </c>
      <c r="F100" s="33">
        <f>1-SUM(F98:F99)</f>
        <v>0.998</v>
      </c>
      <c r="G100" s="33">
        <f t="shared" ref="G100:M100" si="272">1-SUM(G98:G99)</f>
        <v>0.99299999999999999</v>
      </c>
      <c r="H100" s="33">
        <f t="shared" si="272"/>
        <v>0.98799999999999999</v>
      </c>
      <c r="I100" s="33">
        <f t="shared" si="272"/>
        <v>0.98799999999999999</v>
      </c>
      <c r="J100" s="33">
        <f t="shared" si="272"/>
        <v>0.96799999999999997</v>
      </c>
      <c r="K100" s="33">
        <f t="shared" si="272"/>
        <v>0.94799999999999995</v>
      </c>
      <c r="L100" s="33">
        <f t="shared" si="272"/>
        <v>0.89800000000000002</v>
      </c>
      <c r="M100" s="33">
        <f t="shared" si="272"/>
        <v>0.84799999999999998</v>
      </c>
      <c r="N100" s="241"/>
      <c r="O100" s="33">
        <f>1-SUM(O98:O99)</f>
        <v>0.998</v>
      </c>
      <c r="P100" s="33">
        <f t="shared" ref="P100:V100" si="273">1-SUM(P98:P99)</f>
        <v>0.99299999999999999</v>
      </c>
      <c r="Q100" s="33">
        <f t="shared" si="273"/>
        <v>0.98799999999999999</v>
      </c>
      <c r="R100" s="33">
        <f t="shared" si="273"/>
        <v>0.98799999999999999</v>
      </c>
      <c r="S100" s="33">
        <f t="shared" si="273"/>
        <v>0.96799999999999997</v>
      </c>
      <c r="T100" s="33">
        <f t="shared" si="273"/>
        <v>0.94799999999999995</v>
      </c>
      <c r="U100" s="33">
        <f t="shared" si="273"/>
        <v>0.89800000000000002</v>
      </c>
      <c r="V100" s="33">
        <f t="shared" si="273"/>
        <v>0.84799999999999998</v>
      </c>
      <c r="W100" s="240"/>
      <c r="X100" s="186">
        <f t="shared" si="253"/>
        <v>0.998</v>
      </c>
      <c r="Y100" s="186">
        <f t="shared" si="254"/>
        <v>0.99299999999999999</v>
      </c>
      <c r="Z100" s="186">
        <f t="shared" si="255"/>
        <v>0.98799999999999999</v>
      </c>
      <c r="AA100" s="186">
        <f t="shared" si="256"/>
        <v>0.98799999999999999</v>
      </c>
      <c r="AB100" s="186">
        <f t="shared" si="257"/>
        <v>0.96799999999999997</v>
      </c>
      <c r="AC100" s="33">
        <f>1-SUM(AC98:AC99)</f>
        <v>0.92</v>
      </c>
      <c r="AD100" s="33">
        <f>1-SUM(AD98:AD99)</f>
        <v>0.78</v>
      </c>
      <c r="AE100" s="33">
        <f>1-SUM(AE98:AE99)</f>
        <v>0.56999999999999995</v>
      </c>
      <c r="AF100" s="240"/>
      <c r="AG100" s="240"/>
      <c r="AH100" s="240"/>
      <c r="AI100" s="240"/>
      <c r="AJ100" s="240"/>
      <c r="AK100" s="240"/>
      <c r="AL100" s="240"/>
      <c r="AM100" s="240"/>
      <c r="AN100" s="240"/>
      <c r="AO100" s="240"/>
      <c r="AP100" s="240"/>
      <c r="AQ100" s="240"/>
      <c r="AR100" s="240"/>
      <c r="AS100" s="240"/>
      <c r="AT100" s="240"/>
      <c r="AU100" s="240"/>
    </row>
    <row r="101" spans="1:47">
      <c r="A101" s="185" t="s">
        <v>16</v>
      </c>
      <c r="C101" s="38" t="str">
        <f>C86</f>
        <v>High Income</v>
      </c>
      <c r="D101" s="185" t="s">
        <v>191</v>
      </c>
      <c r="E101" s="186">
        <f t="shared" ref="E101" si="274">(1-E$27)*E$15</f>
        <v>2.4267687250170886</v>
      </c>
      <c r="F101" s="186">
        <f t="shared" si="243"/>
        <v>2.880215152867692</v>
      </c>
      <c r="G101" s="186">
        <f t="shared" ref="G101:G103" si="275">IF($D$4,Y101,P101)</f>
        <v>3.0943286138531914</v>
      </c>
      <c r="H101" s="186">
        <f t="shared" ref="H101:H103" si="276">IF($D$4,Z101,Q101)</f>
        <v>3.2561677381747867</v>
      </c>
      <c r="I101" s="186">
        <f t="shared" ref="I101:I103" si="277">IF($D$4,AA101,R101)</f>
        <v>2.787657722138642</v>
      </c>
      <c r="J101" s="186">
        <f t="shared" ref="J101:J103" si="278">IF($D$4,AB101,S101)</f>
        <v>2.8606729611714323</v>
      </c>
      <c r="K101" s="186">
        <f t="shared" ref="K101:K103" si="279">IF($D$4,AC101,T101)</f>
        <v>3.9803778910342884</v>
      </c>
      <c r="L101" s="186">
        <f t="shared" ref="L101:L103" si="280">IF($D$4,AD101,U101)</f>
        <v>5.2001557623766832</v>
      </c>
      <c r="M101" s="186">
        <f t="shared" ref="M101:M103" si="281">IF($D$4,AE101,V101)</f>
        <v>6.4061687981576556</v>
      </c>
      <c r="N101" s="40"/>
      <c r="O101" s="186">
        <f>(1-O$27)*O$15</f>
        <v>2.880215152867692</v>
      </c>
      <c r="P101" s="186">
        <f t="shared" ref="P101:V101" si="282">(1-P$27)*P$15</f>
        <v>3.0943286138531914</v>
      </c>
      <c r="Q101" s="186">
        <f t="shared" si="282"/>
        <v>3.2561677381747867</v>
      </c>
      <c r="R101" s="186">
        <f t="shared" si="282"/>
        <v>2.787657722138642</v>
      </c>
      <c r="S101" s="186">
        <f t="shared" si="282"/>
        <v>2.8606729611714323</v>
      </c>
      <c r="T101" s="186">
        <f t="shared" si="282"/>
        <v>3.9803778910342884</v>
      </c>
      <c r="U101" s="186">
        <f t="shared" si="282"/>
        <v>5.2001557623766832</v>
      </c>
      <c r="V101" s="186">
        <f t="shared" si="282"/>
        <v>6.4061687981576556</v>
      </c>
      <c r="X101" s="186">
        <f t="shared" si="253"/>
        <v>2.880215152867692</v>
      </c>
      <c r="Y101" s="186">
        <f t="shared" si="254"/>
        <v>3.0943286138531914</v>
      </c>
      <c r="Z101" s="186">
        <f t="shared" si="255"/>
        <v>3.2561677381747867</v>
      </c>
      <c r="AA101" s="186">
        <f t="shared" si="256"/>
        <v>2.787657722138642</v>
      </c>
      <c r="AB101" s="186">
        <f t="shared" si="257"/>
        <v>2.8606729611714323</v>
      </c>
      <c r="AC101" s="186">
        <f>(1-AC$27)*AC$15</f>
        <v>4.3099884378384692</v>
      </c>
      <c r="AD101" s="186">
        <f>(1-AD$27)*AD$15</f>
        <v>6.050628206620047</v>
      </c>
      <c r="AE101" s="186">
        <f>(1-AE$27)*AE$15</f>
        <v>7.958176352093921</v>
      </c>
    </row>
    <row r="102" spans="1:47">
      <c r="A102" s="185" t="s">
        <v>16</v>
      </c>
      <c r="C102" s="185" t="str">
        <f>C98</f>
        <v>BRT</v>
      </c>
      <c r="D102" s="185" t="s">
        <v>48</v>
      </c>
      <c r="E102" s="292">
        <v>0.01</v>
      </c>
      <c r="F102" s="62">
        <f t="shared" si="243"/>
        <v>0.01</v>
      </c>
      <c r="G102" s="62">
        <f t="shared" si="275"/>
        <v>5.0000000000000001E-3</v>
      </c>
      <c r="H102" s="62">
        <f t="shared" si="276"/>
        <v>0.01</v>
      </c>
      <c r="I102" s="62">
        <f t="shared" si="277"/>
        <v>0.01</v>
      </c>
      <c r="J102" s="62">
        <f t="shared" si="278"/>
        <v>0.02</v>
      </c>
      <c r="K102" s="62">
        <f t="shared" si="279"/>
        <v>0.03</v>
      </c>
      <c r="L102" s="62">
        <f t="shared" si="280"/>
        <v>0.03</v>
      </c>
      <c r="M102" s="62">
        <f t="shared" si="281"/>
        <v>0.03</v>
      </c>
      <c r="N102" s="241"/>
      <c r="O102" s="231">
        <f>E102</f>
        <v>0.01</v>
      </c>
      <c r="P102" s="231">
        <v>5.0000000000000001E-3</v>
      </c>
      <c r="Q102" s="231">
        <v>0.01</v>
      </c>
      <c r="R102" s="231">
        <f>Q102</f>
        <v>0.01</v>
      </c>
      <c r="S102" s="231">
        <f>AVERAGE(R102,T102)</f>
        <v>0.02</v>
      </c>
      <c r="T102" s="34">
        <v>0.03</v>
      </c>
      <c r="U102" s="34">
        <v>0.03</v>
      </c>
      <c r="V102" s="34">
        <v>0.03</v>
      </c>
      <c r="W102" s="240"/>
      <c r="X102" s="186">
        <f t="shared" si="253"/>
        <v>0.01</v>
      </c>
      <c r="Y102" s="186">
        <f t="shared" si="254"/>
        <v>5.0000000000000001E-3</v>
      </c>
      <c r="Z102" s="186">
        <f t="shared" si="255"/>
        <v>0.01</v>
      </c>
      <c r="AA102" s="186">
        <f t="shared" si="256"/>
        <v>0.01</v>
      </c>
      <c r="AB102" s="186">
        <f t="shared" si="257"/>
        <v>0.02</v>
      </c>
      <c r="AC102" s="70">
        <v>7.0000000000000007E-2</v>
      </c>
      <c r="AD102" s="70">
        <v>0.2</v>
      </c>
      <c r="AE102" s="70">
        <v>0.4</v>
      </c>
      <c r="AF102" s="240"/>
      <c r="AG102" s="240"/>
      <c r="AH102" s="240"/>
      <c r="AI102" s="240"/>
      <c r="AJ102" s="240"/>
      <c r="AK102" s="240"/>
      <c r="AL102" s="240"/>
      <c r="AM102" s="240"/>
      <c r="AN102" s="240"/>
      <c r="AO102" s="240"/>
      <c r="AP102" s="240"/>
      <c r="AQ102" s="240"/>
      <c r="AR102" s="240"/>
      <c r="AS102" s="240"/>
      <c r="AT102" s="240"/>
      <c r="AU102" s="240"/>
    </row>
    <row r="103" spans="1:47">
      <c r="A103" s="185" t="s">
        <v>16</v>
      </c>
      <c r="C103" s="185" t="str">
        <f>C99</f>
        <v>Gautrain</v>
      </c>
      <c r="D103" s="185" t="s">
        <v>48</v>
      </c>
      <c r="E103" s="292">
        <v>5.0000000000000001E-3</v>
      </c>
      <c r="F103" s="136">
        <f t="shared" si="243"/>
        <v>5.0000000000000001E-3</v>
      </c>
      <c r="G103" s="136">
        <f t="shared" si="275"/>
        <v>5.0000000000000001E-3</v>
      </c>
      <c r="H103" s="136">
        <f t="shared" si="276"/>
        <v>5.0000000000000001E-3</v>
      </c>
      <c r="I103" s="136">
        <f t="shared" si="277"/>
        <v>5.0000000000000001E-3</v>
      </c>
      <c r="J103" s="136">
        <f t="shared" si="278"/>
        <v>5.0000000000000001E-3</v>
      </c>
      <c r="K103" s="136">
        <f t="shared" si="279"/>
        <v>5.0000000000000001E-3</v>
      </c>
      <c r="L103" s="136">
        <f t="shared" si="280"/>
        <v>5.0000000000000001E-3</v>
      </c>
      <c r="M103" s="136">
        <f t="shared" si="281"/>
        <v>5.0000000000000001E-3</v>
      </c>
      <c r="N103" s="241"/>
      <c r="O103" s="231">
        <f>E103</f>
        <v>5.0000000000000001E-3</v>
      </c>
      <c r="P103" s="231">
        <f>O103</f>
        <v>5.0000000000000001E-3</v>
      </c>
      <c r="Q103" s="231">
        <f>P103</f>
        <v>5.0000000000000001E-3</v>
      </c>
      <c r="R103" s="231">
        <v>5.0000000000000001E-3</v>
      </c>
      <c r="S103" s="231">
        <f>AVERAGE(R103,T103)</f>
        <v>5.0000000000000001E-3</v>
      </c>
      <c r="T103" s="48">
        <f>R103</f>
        <v>5.0000000000000001E-3</v>
      </c>
      <c r="U103" s="48">
        <f>T103</f>
        <v>5.0000000000000001E-3</v>
      </c>
      <c r="V103" s="48">
        <f>U103</f>
        <v>5.0000000000000001E-3</v>
      </c>
      <c r="W103" s="240"/>
      <c r="X103" s="186">
        <f t="shared" si="253"/>
        <v>5.0000000000000001E-3</v>
      </c>
      <c r="Y103" s="186">
        <f t="shared" si="254"/>
        <v>5.0000000000000001E-3</v>
      </c>
      <c r="Z103" s="186">
        <f t="shared" si="255"/>
        <v>5.0000000000000001E-3</v>
      </c>
      <c r="AA103" s="186">
        <f t="shared" si="256"/>
        <v>5.0000000000000001E-3</v>
      </c>
      <c r="AB103" s="186">
        <f t="shared" si="257"/>
        <v>5.0000000000000001E-3</v>
      </c>
      <c r="AC103" s="70">
        <f>AC89</f>
        <v>0.01</v>
      </c>
      <c r="AD103" s="70">
        <f>AD89</f>
        <v>0.03</v>
      </c>
      <c r="AE103" s="70">
        <f>AE89</f>
        <v>0.05</v>
      </c>
      <c r="AF103" s="240"/>
      <c r="AG103" s="240"/>
      <c r="AH103" s="240"/>
      <c r="AI103" s="240"/>
      <c r="AJ103" s="240"/>
      <c r="AK103" s="240"/>
      <c r="AL103" s="240"/>
      <c r="AM103" s="240"/>
      <c r="AN103" s="240"/>
      <c r="AO103" s="240"/>
      <c r="AP103" s="240"/>
      <c r="AQ103" s="240"/>
      <c r="AR103" s="240"/>
      <c r="AS103" s="240"/>
      <c r="AT103" s="240"/>
      <c r="AU103" s="240"/>
    </row>
    <row r="104" spans="1:47">
      <c r="A104" s="185" t="s">
        <v>16</v>
      </c>
      <c r="C104" s="185" t="str">
        <f>C100</f>
        <v>Bus, minibus, metro rail</v>
      </c>
      <c r="D104" s="185" t="s">
        <v>48</v>
      </c>
      <c r="E104" s="33">
        <f t="shared" ref="E104" si="283">1-SUM(E102:E103)</f>
        <v>0.98499999999999999</v>
      </c>
      <c r="F104" s="33">
        <f>1-SUM(F102:F103)</f>
        <v>0.98499999999999999</v>
      </c>
      <c r="G104" s="33">
        <f t="shared" ref="G104:M104" si="284">1-SUM(G102:G103)</f>
        <v>0.99</v>
      </c>
      <c r="H104" s="33">
        <f t="shared" si="284"/>
        <v>0.98499999999999999</v>
      </c>
      <c r="I104" s="33">
        <f t="shared" si="284"/>
        <v>0.98499999999999999</v>
      </c>
      <c r="J104" s="33">
        <f t="shared" si="284"/>
        <v>0.97499999999999998</v>
      </c>
      <c r="K104" s="33">
        <f t="shared" si="284"/>
        <v>0.96499999999999997</v>
      </c>
      <c r="L104" s="33">
        <f t="shared" si="284"/>
        <v>0.96499999999999997</v>
      </c>
      <c r="M104" s="33">
        <f t="shared" si="284"/>
        <v>0.96499999999999997</v>
      </c>
      <c r="N104" s="241"/>
      <c r="O104" s="33">
        <f>1-SUM(O102:O103)</f>
        <v>0.98499999999999999</v>
      </c>
      <c r="P104" s="33">
        <f t="shared" ref="P104:V104" si="285">1-SUM(P102:P103)</f>
        <v>0.99</v>
      </c>
      <c r="Q104" s="33">
        <f t="shared" si="285"/>
        <v>0.98499999999999999</v>
      </c>
      <c r="R104" s="33">
        <f t="shared" si="285"/>
        <v>0.98499999999999999</v>
      </c>
      <c r="S104" s="33">
        <f t="shared" si="285"/>
        <v>0.97499999999999998</v>
      </c>
      <c r="T104" s="33">
        <f t="shared" si="285"/>
        <v>0.96499999999999997</v>
      </c>
      <c r="U104" s="33">
        <f t="shared" si="285"/>
        <v>0.96499999999999997</v>
      </c>
      <c r="V104" s="33">
        <f t="shared" si="285"/>
        <v>0.96499999999999997</v>
      </c>
      <c r="W104" s="240"/>
      <c r="X104" s="33">
        <f>1-SUM(X102:X103)</f>
        <v>0.98499999999999999</v>
      </c>
      <c r="Y104" s="33">
        <f t="shared" ref="Y104:AB104" si="286">1-SUM(Y102:Y103)</f>
        <v>0.99</v>
      </c>
      <c r="Z104" s="33">
        <f t="shared" si="286"/>
        <v>0.98499999999999999</v>
      </c>
      <c r="AA104" s="33">
        <f t="shared" si="286"/>
        <v>0.98499999999999999</v>
      </c>
      <c r="AB104" s="33">
        <f t="shared" si="286"/>
        <v>0.97499999999999998</v>
      </c>
      <c r="AC104" s="33">
        <f>1-SUM(AC102:AC103)</f>
        <v>0.92</v>
      </c>
      <c r="AD104" s="33">
        <f>1-SUM(AD102:AD103)</f>
        <v>0.77</v>
      </c>
      <c r="AE104" s="33">
        <f>1-SUM(AE102:AE103)</f>
        <v>0.55000000000000004</v>
      </c>
      <c r="AF104" s="240"/>
      <c r="AG104" s="240"/>
      <c r="AH104" s="240"/>
      <c r="AI104" s="240"/>
      <c r="AJ104" s="240"/>
      <c r="AK104" s="240"/>
      <c r="AL104" s="240"/>
      <c r="AM104" s="240"/>
      <c r="AN104" s="240"/>
      <c r="AO104" s="240"/>
      <c r="AP104" s="240"/>
      <c r="AQ104" s="240"/>
      <c r="AR104" s="240"/>
      <c r="AS104" s="240"/>
      <c r="AT104" s="240"/>
      <c r="AU104" s="240"/>
    </row>
    <row r="105" spans="1:47">
      <c r="A105" s="185" t="s">
        <v>16</v>
      </c>
      <c r="C105" s="228"/>
      <c r="E105" s="232"/>
      <c r="F105" s="232"/>
      <c r="G105" s="232"/>
      <c r="I105" s="232"/>
      <c r="K105" s="232"/>
      <c r="L105" s="232"/>
      <c r="M105" s="232"/>
      <c r="N105" s="40"/>
    </row>
    <row r="106" spans="1:47" ht="15.75" thickBot="1">
      <c r="A106" s="185" t="s">
        <v>16</v>
      </c>
      <c r="C106" s="227" t="s">
        <v>194</v>
      </c>
      <c r="F106" s="232"/>
      <c r="G106" s="232"/>
      <c r="I106" s="232"/>
      <c r="K106" s="232"/>
      <c r="L106" s="232"/>
      <c r="M106" s="232"/>
      <c r="N106" s="40"/>
    </row>
    <row r="107" spans="1:47">
      <c r="A107" s="185" t="s">
        <v>16</v>
      </c>
      <c r="C107" s="228" t="str">
        <f>C54</f>
        <v>Low Income</v>
      </c>
      <c r="D107" s="185" t="s">
        <v>173</v>
      </c>
      <c r="E107" s="186">
        <f t="shared" ref="E107" si="287">E25*E13*E30*E41</f>
        <v>1.0500945174312</v>
      </c>
      <c r="F107" s="186">
        <f t="shared" ref="F107:F108" si="288">IF($D$4,X107,O107)</f>
        <v>0.94813201981803652</v>
      </c>
      <c r="G107" s="186">
        <f t="shared" ref="G107:G108" si="289">IF($D$4,Y107,P107)</f>
        <v>0.95104494317767596</v>
      </c>
      <c r="H107" s="186">
        <f t="shared" ref="H107:H108" si="290">IF($D$4,Z107,Q107)</f>
        <v>0.95811068480591965</v>
      </c>
      <c r="I107" s="186">
        <f t="shared" ref="I107:I108" si="291">IF($D$4,AA107,R107)</f>
        <v>0.99694052475857964</v>
      </c>
      <c r="J107" s="186">
        <f t="shared" ref="J107:J108" si="292">IF($D$4,AB107,S107)</f>
        <v>1.0814593340649219</v>
      </c>
      <c r="K107" s="186">
        <f t="shared" ref="K107:K108" si="293">IF($D$4,AC107,T107)</f>
        <v>1.0069073732808969</v>
      </c>
      <c r="L107" s="186">
        <f t="shared" ref="L107:L108" si="294">IF($D$4,AD107,U107)</f>
        <v>0.89965415824368189</v>
      </c>
      <c r="M107" s="186">
        <f t="shared" ref="M107:M108" si="295">IF($D$4,AE107,V107)</f>
        <v>0.76478043025309184</v>
      </c>
      <c r="N107" s="40"/>
      <c r="O107" s="186">
        <f t="shared" ref="O107:V109" si="296">O25*O13*O30*O41</f>
        <v>0.94813201981803652</v>
      </c>
      <c r="P107" s="186">
        <f t="shared" si="296"/>
        <v>0.95104494317767596</v>
      </c>
      <c r="Q107" s="186">
        <f t="shared" si="296"/>
        <v>0.95811068480591965</v>
      </c>
      <c r="R107" s="186">
        <f t="shared" si="296"/>
        <v>0.99694052475857964</v>
      </c>
      <c r="S107" s="186">
        <f t="shared" si="296"/>
        <v>1.0814593340649219</v>
      </c>
      <c r="T107" s="303">
        <f t="shared" si="296"/>
        <v>1.0069073732808969</v>
      </c>
      <c r="U107" s="303">
        <f t="shared" si="296"/>
        <v>0.89965415824368189</v>
      </c>
      <c r="V107" s="303">
        <f t="shared" si="296"/>
        <v>0.76478043025309184</v>
      </c>
      <c r="X107" s="186">
        <f>O107</f>
        <v>0.94813201981803652</v>
      </c>
      <c r="Y107" s="186">
        <f t="shared" ref="Y107:AB107" si="297">P107</f>
        <v>0.95104494317767596</v>
      </c>
      <c r="Z107" s="186">
        <f t="shared" si="297"/>
        <v>0.95811068480591965</v>
      </c>
      <c r="AA107" s="186">
        <f t="shared" si="297"/>
        <v>0.99694052475857964</v>
      </c>
      <c r="AB107" s="186">
        <f t="shared" si="297"/>
        <v>1.0814593340649219</v>
      </c>
      <c r="AC107" s="303">
        <f t="shared" ref="AC107:AE109" si="298">AC25*AC13*AC30*AC41</f>
        <v>2.2718347609650231</v>
      </c>
      <c r="AD107" s="303">
        <f t="shared" si="298"/>
        <v>1.4655478694559356</v>
      </c>
      <c r="AE107" s="303">
        <f t="shared" si="298"/>
        <v>1.1243677847754923</v>
      </c>
    </row>
    <row r="108" spans="1:47">
      <c r="A108" s="185" t="s">
        <v>16</v>
      </c>
      <c r="C108" s="228" t="str">
        <f>C55</f>
        <v>Middle Income</v>
      </c>
      <c r="D108" s="185" t="s">
        <v>173</v>
      </c>
      <c r="E108" s="186">
        <f>E26*E14*E31*E42</f>
        <v>34.954725291964877</v>
      </c>
      <c r="F108" s="186">
        <f t="shared" si="288"/>
        <v>34.116567387912205</v>
      </c>
      <c r="G108" s="186">
        <f t="shared" si="289"/>
        <v>35.69243782424283</v>
      </c>
      <c r="H108" s="186">
        <f t="shared" si="290"/>
        <v>37.646057473717377</v>
      </c>
      <c r="I108" s="186">
        <f t="shared" si="291"/>
        <v>39.561270884220072</v>
      </c>
      <c r="J108" s="186">
        <f t="shared" si="292"/>
        <v>37.847094177958098</v>
      </c>
      <c r="K108" s="186">
        <f t="shared" si="293"/>
        <v>44.266015297548982</v>
      </c>
      <c r="L108" s="186">
        <f t="shared" si="294"/>
        <v>50.471757599903945</v>
      </c>
      <c r="M108" s="186">
        <f t="shared" si="295"/>
        <v>55.683577230669819</v>
      </c>
      <c r="N108" s="40"/>
      <c r="O108" s="186">
        <f t="shared" si="296"/>
        <v>34.116567387912205</v>
      </c>
      <c r="P108" s="186">
        <f t="shared" si="296"/>
        <v>35.69243782424283</v>
      </c>
      <c r="Q108" s="186">
        <f t="shared" si="296"/>
        <v>37.646057473717377</v>
      </c>
      <c r="R108" s="186">
        <f t="shared" si="296"/>
        <v>39.561270884220072</v>
      </c>
      <c r="S108" s="186">
        <f t="shared" si="296"/>
        <v>37.847094177958098</v>
      </c>
      <c r="T108" s="303">
        <f t="shared" si="296"/>
        <v>44.266015297548982</v>
      </c>
      <c r="U108" s="303">
        <f t="shared" si="296"/>
        <v>50.471757599903945</v>
      </c>
      <c r="V108" s="303">
        <f t="shared" si="296"/>
        <v>55.683577230669819</v>
      </c>
      <c r="X108" s="186">
        <f t="shared" ref="X108:X111" si="299">O108</f>
        <v>34.116567387912205</v>
      </c>
      <c r="Y108" s="186">
        <f t="shared" ref="Y108:Y111" si="300">P108</f>
        <v>35.69243782424283</v>
      </c>
      <c r="Z108" s="186">
        <f t="shared" ref="Z108:Z111" si="301">Q108</f>
        <v>37.646057473717377</v>
      </c>
      <c r="AA108" s="186">
        <f t="shared" ref="AA108:AA111" si="302">R108</f>
        <v>39.561270884220072</v>
      </c>
      <c r="AB108" s="186">
        <f t="shared" ref="AB108:AB111" si="303">S108</f>
        <v>37.847094177958098</v>
      </c>
      <c r="AC108" s="303">
        <f t="shared" si="298"/>
        <v>37.952574865736047</v>
      </c>
      <c r="AD108" s="303">
        <f t="shared" si="298"/>
        <v>39.054083912926401</v>
      </c>
      <c r="AE108" s="303">
        <f t="shared" si="298"/>
        <v>36.941622822088767</v>
      </c>
    </row>
    <row r="109" spans="1:47">
      <c r="A109" s="185" t="s">
        <v>16</v>
      </c>
      <c r="C109" s="228" t="str">
        <f>C56</f>
        <v>High Income</v>
      </c>
      <c r="D109" s="185" t="s">
        <v>173</v>
      </c>
      <c r="E109" s="186">
        <f>E27*E15*E32*E43</f>
        <v>48.082249446867998</v>
      </c>
      <c r="F109" s="186">
        <f t="shared" ref="F109:F111" si="304">IF($D$4,X109,O109)</f>
        <v>52.501189854698488</v>
      </c>
      <c r="G109" s="186">
        <f t="shared" ref="G109:G111" si="305">IF($D$4,Y109,P109)</f>
        <v>56.404096710269307</v>
      </c>
      <c r="H109" s="186">
        <f t="shared" ref="H109:H111" si="306">IF($D$4,Z109,Q109)</f>
        <v>59.354135558397175</v>
      </c>
      <c r="I109" s="186">
        <f t="shared" ref="I109:I111" si="307">IF($D$4,AA109,R109)</f>
        <v>50.719708508491159</v>
      </c>
      <c r="J109" s="186">
        <f t="shared" ref="J109:J111" si="308">IF($D$4,AB109,S109)</f>
        <v>53.213549665915608</v>
      </c>
      <c r="K109" s="186">
        <f t="shared" ref="K109:K111" si="309">IF($D$4,AC109,T109)</f>
        <v>75.626889273675047</v>
      </c>
      <c r="L109" s="186">
        <f t="shared" ref="L109:L111" si="310">IF($D$4,AD109,U109)</f>
        <v>105.99816194257959</v>
      </c>
      <c r="M109" s="186">
        <f t="shared" ref="M109:M111" si="311">IF($D$4,AE109,V109)</f>
        <v>137.68296116190467</v>
      </c>
      <c r="N109" s="40"/>
      <c r="O109" s="186">
        <f t="shared" si="296"/>
        <v>52.501189854698488</v>
      </c>
      <c r="P109" s="186">
        <f t="shared" si="296"/>
        <v>56.404096710269307</v>
      </c>
      <c r="Q109" s="186">
        <f t="shared" si="296"/>
        <v>59.354135558397175</v>
      </c>
      <c r="R109" s="186">
        <f t="shared" si="296"/>
        <v>50.719708508491159</v>
      </c>
      <c r="S109" s="186">
        <f t="shared" si="296"/>
        <v>53.213549665915608</v>
      </c>
      <c r="T109" s="303">
        <f t="shared" si="296"/>
        <v>75.626889273675047</v>
      </c>
      <c r="U109" s="303">
        <f t="shared" si="296"/>
        <v>105.99816194257959</v>
      </c>
      <c r="V109" s="303">
        <f t="shared" si="296"/>
        <v>137.68296116190467</v>
      </c>
      <c r="X109" s="186">
        <f t="shared" si="299"/>
        <v>52.501189854698488</v>
      </c>
      <c r="Y109" s="186">
        <f t="shared" si="300"/>
        <v>56.404096710269307</v>
      </c>
      <c r="Z109" s="186">
        <f t="shared" si="301"/>
        <v>59.354135558397175</v>
      </c>
      <c r="AA109" s="186">
        <f t="shared" si="302"/>
        <v>50.719708508491159</v>
      </c>
      <c r="AB109" s="186">
        <f t="shared" si="303"/>
        <v>53.213549665915608</v>
      </c>
      <c r="AC109" s="303">
        <f t="shared" si="298"/>
        <v>67.12363277330779</v>
      </c>
      <c r="AD109" s="303">
        <f t="shared" si="298"/>
        <v>81.27956057123049</v>
      </c>
      <c r="AE109" s="303">
        <f t="shared" si="298"/>
        <v>92.806248909471179</v>
      </c>
    </row>
    <row r="110" spans="1:47">
      <c r="A110" s="185" t="s">
        <v>16</v>
      </c>
      <c r="C110" s="228" t="str">
        <f>C57</f>
        <v>Other (gov/company/car rental)</v>
      </c>
      <c r="D110" s="185" t="s">
        <v>173</v>
      </c>
      <c r="E110" s="186">
        <f t="shared" ref="E110" si="312">E50</f>
        <v>6.8311858080285788</v>
      </c>
      <c r="F110" s="186">
        <f t="shared" si="304"/>
        <v>7.0618553137404447</v>
      </c>
      <c r="G110" s="186">
        <f t="shared" si="305"/>
        <v>7.1431116327627917</v>
      </c>
      <c r="H110" s="186">
        <f t="shared" si="306"/>
        <v>7.1987258831010505</v>
      </c>
      <c r="I110" s="186">
        <f t="shared" si="307"/>
        <v>6.9413335627146884</v>
      </c>
      <c r="J110" s="186">
        <f t="shared" si="308"/>
        <v>7.0137618618333031</v>
      </c>
      <c r="K110" s="186">
        <f t="shared" si="309"/>
        <v>7.8647387632198074</v>
      </c>
      <c r="L110" s="186">
        <f t="shared" si="310"/>
        <v>8.946499088287089</v>
      </c>
      <c r="M110" s="186">
        <f t="shared" si="311"/>
        <v>10.29005627089416</v>
      </c>
      <c r="N110" s="42"/>
      <c r="O110" s="186">
        <f>O50</f>
        <v>7.0618553137404447</v>
      </c>
      <c r="P110" s="186">
        <f t="shared" ref="P110:V110" si="313">P50</f>
        <v>7.1431116327627917</v>
      </c>
      <c r="Q110" s="186">
        <f t="shared" si="313"/>
        <v>7.1987258831010505</v>
      </c>
      <c r="R110" s="186">
        <f t="shared" si="313"/>
        <v>6.9413335627146884</v>
      </c>
      <c r="S110" s="186">
        <f t="shared" si="313"/>
        <v>7.0137618618333031</v>
      </c>
      <c r="T110" s="303">
        <f t="shared" si="313"/>
        <v>7.8647387632198074</v>
      </c>
      <c r="U110" s="303">
        <f t="shared" si="313"/>
        <v>8.946499088287089</v>
      </c>
      <c r="V110" s="303">
        <f t="shared" si="313"/>
        <v>10.29005627089416</v>
      </c>
      <c r="X110" s="186">
        <f t="shared" si="299"/>
        <v>7.0618553137404447</v>
      </c>
      <c r="Y110" s="186">
        <f t="shared" si="300"/>
        <v>7.1431116327627917</v>
      </c>
      <c r="Z110" s="186">
        <f t="shared" si="301"/>
        <v>7.1987258831010505</v>
      </c>
      <c r="AA110" s="186">
        <f t="shared" si="302"/>
        <v>6.9413335627146884</v>
      </c>
      <c r="AB110" s="186">
        <f t="shared" si="303"/>
        <v>7.0137618618333031</v>
      </c>
      <c r="AC110" s="303">
        <f>AC50</f>
        <v>7.4798501365972285</v>
      </c>
      <c r="AD110" s="303">
        <f>AD50</f>
        <v>7.887761272431983</v>
      </c>
      <c r="AE110" s="303">
        <f>AE50</f>
        <v>8.1685719852681036</v>
      </c>
    </row>
    <row r="111" spans="1:47">
      <c r="A111" s="185" t="s">
        <v>16</v>
      </c>
      <c r="C111" s="228" t="s">
        <v>5</v>
      </c>
      <c r="D111" s="185" t="s">
        <v>173</v>
      </c>
      <c r="E111" s="186">
        <f t="shared" ref="E111" si="314">SUM(E107:E110)</f>
        <v>90.918255064292651</v>
      </c>
      <c r="F111" s="186">
        <f t="shared" si="304"/>
        <v>94.627744576169164</v>
      </c>
      <c r="G111" s="186">
        <f t="shared" si="305"/>
        <v>100.19069111045262</v>
      </c>
      <c r="H111" s="186">
        <f t="shared" si="306"/>
        <v>105.15702960002152</v>
      </c>
      <c r="I111" s="186">
        <f t="shared" si="307"/>
        <v>98.219253480184491</v>
      </c>
      <c r="J111" s="186">
        <f t="shared" si="308"/>
        <v>99.155865039771925</v>
      </c>
      <c r="K111" s="186">
        <f t="shared" si="309"/>
        <v>128.76455070772474</v>
      </c>
      <c r="L111" s="186">
        <f t="shared" si="310"/>
        <v>166.3160727890143</v>
      </c>
      <c r="M111" s="186">
        <f t="shared" si="311"/>
        <v>204.42137509372174</v>
      </c>
      <c r="N111" s="40"/>
      <c r="O111" s="186">
        <f>SUM(O107:O110)</f>
        <v>94.627744576169164</v>
      </c>
      <c r="P111" s="186">
        <f t="shared" ref="P111:V111" si="315">SUM(P107:P110)</f>
        <v>100.19069111045262</v>
      </c>
      <c r="Q111" s="186">
        <f t="shared" si="315"/>
        <v>105.15702960002152</v>
      </c>
      <c r="R111" s="186">
        <f t="shared" si="315"/>
        <v>98.219253480184491</v>
      </c>
      <c r="S111" s="186">
        <f t="shared" si="315"/>
        <v>99.155865039771925</v>
      </c>
      <c r="T111" s="303">
        <f t="shared" si="315"/>
        <v>128.76455070772474</v>
      </c>
      <c r="U111" s="303">
        <f t="shared" si="315"/>
        <v>166.3160727890143</v>
      </c>
      <c r="V111" s="303">
        <f t="shared" si="315"/>
        <v>204.42137509372174</v>
      </c>
      <c r="X111" s="186">
        <f t="shared" si="299"/>
        <v>94.627744576169164</v>
      </c>
      <c r="Y111" s="186">
        <f t="shared" si="300"/>
        <v>100.19069111045262</v>
      </c>
      <c r="Z111" s="186">
        <f t="shared" si="301"/>
        <v>105.15702960002152</v>
      </c>
      <c r="AA111" s="186">
        <f t="shared" si="302"/>
        <v>98.219253480184491</v>
      </c>
      <c r="AB111" s="186">
        <f t="shared" si="303"/>
        <v>99.155865039771925</v>
      </c>
      <c r="AC111" s="303">
        <f>SUM(AC107:AC110)</f>
        <v>114.8278925366061</v>
      </c>
      <c r="AD111" s="303">
        <f>SUM(AD107:AD110)</f>
        <v>129.68695362604481</v>
      </c>
      <c r="AE111" s="303">
        <f>SUM(AE107:AE110)</f>
        <v>139.04081150160354</v>
      </c>
    </row>
    <row r="112" spans="1:47">
      <c r="A112" s="185" t="s">
        <v>16</v>
      </c>
      <c r="C112" s="228"/>
      <c r="E112" s="233">
        <f>SUM(E149:E151)</f>
        <v>90.918255064292637</v>
      </c>
      <c r="F112" s="233">
        <f t="shared" ref="F112:L112" si="316">SUM(F149:F151)</f>
        <v>96.867586282761309</v>
      </c>
      <c r="G112" s="233">
        <f t="shared" si="316"/>
        <v>100.19069111045262</v>
      </c>
      <c r="H112" s="233">
        <f t="shared" si="316"/>
        <v>105.15702960002152</v>
      </c>
      <c r="I112" s="233">
        <f t="shared" si="316"/>
        <v>98.219253480184477</v>
      </c>
      <c r="J112" s="233">
        <f t="shared" si="316"/>
        <v>99.155865039771925</v>
      </c>
      <c r="K112" s="233">
        <f t="shared" si="316"/>
        <v>128.76455070772474</v>
      </c>
      <c r="L112" s="233">
        <f t="shared" si="316"/>
        <v>166.31607278901427</v>
      </c>
      <c r="M112" s="233">
        <f>SUM(M149:M151)</f>
        <v>204.42137509372174</v>
      </c>
      <c r="N112" s="40"/>
    </row>
    <row r="113" spans="1:47" ht="15.75" thickBot="1">
      <c r="A113" s="185" t="s">
        <v>16</v>
      </c>
      <c r="C113" s="227" t="s">
        <v>182</v>
      </c>
      <c r="F113" s="296">
        <f>F$12</f>
        <v>2015</v>
      </c>
      <c r="G113" s="296">
        <f t="shared" ref="G113:M113" si="317">G$12</f>
        <v>2017</v>
      </c>
      <c r="H113" s="296">
        <f t="shared" si="317"/>
        <v>2019</v>
      </c>
      <c r="I113" s="296">
        <f t="shared" si="317"/>
        <v>2020</v>
      </c>
      <c r="J113" s="296">
        <f t="shared" si="317"/>
        <v>2021</v>
      </c>
      <c r="K113" s="296">
        <f t="shared" si="317"/>
        <v>2030</v>
      </c>
      <c r="L113" s="296">
        <f t="shared" si="317"/>
        <v>2040</v>
      </c>
      <c r="M113" s="296">
        <f t="shared" si="317"/>
        <v>2050</v>
      </c>
      <c r="N113" s="40"/>
      <c r="O113" s="296">
        <f>O$12</f>
        <v>2015</v>
      </c>
      <c r="P113" s="296">
        <f t="shared" si="179"/>
        <v>2017</v>
      </c>
      <c r="Q113" s="296">
        <f t="shared" si="179"/>
        <v>2019</v>
      </c>
      <c r="R113" s="296">
        <f t="shared" si="179"/>
        <v>2020</v>
      </c>
      <c r="S113" s="296">
        <f t="shared" si="179"/>
        <v>2021</v>
      </c>
      <c r="T113" s="296">
        <f t="shared" si="179"/>
        <v>2030</v>
      </c>
      <c r="U113" s="296">
        <f t="shared" si="179"/>
        <v>2040</v>
      </c>
      <c r="V113" s="296">
        <f t="shared" si="179"/>
        <v>2050</v>
      </c>
    </row>
    <row r="114" spans="1:47">
      <c r="A114" s="185" t="s">
        <v>16</v>
      </c>
      <c r="C114" s="38" t="str">
        <f>C93</f>
        <v>Low Income</v>
      </c>
      <c r="E114" s="186"/>
      <c r="F114" s="186"/>
      <c r="G114" s="186"/>
      <c r="H114" s="186"/>
      <c r="I114" s="186"/>
      <c r="J114" s="186"/>
      <c r="K114" s="186"/>
      <c r="L114" s="186"/>
      <c r="M114" s="186"/>
      <c r="N114" s="40"/>
    </row>
    <row r="115" spans="1:47">
      <c r="A115" s="185" t="s">
        <v>16</v>
      </c>
      <c r="C115" s="185" t="s">
        <v>63</v>
      </c>
      <c r="D115" s="185" t="s">
        <v>136</v>
      </c>
      <c r="E115" s="186">
        <f t="shared" ref="E115:G115" si="318">E$64*(1-E$73)*E68*(E75*E78+E93*E94)/1000</f>
        <v>1.2529651937567192E-2</v>
      </c>
      <c r="F115" s="186">
        <f t="shared" si="318"/>
        <v>1.2296785630890161E-2</v>
      </c>
      <c r="G115" s="186">
        <f t="shared" si="318"/>
        <v>0.61672823758459472</v>
      </c>
      <c r="H115" s="186">
        <f t="shared" ref="H115:J115" si="319">H$64*(1-H$73)*H68*(H75*H78+H93*H94)/1000</f>
        <v>1.2301941755901284</v>
      </c>
      <c r="I115" s="186">
        <f t="shared" si="319"/>
        <v>1.2800508818208238</v>
      </c>
      <c r="J115" s="186">
        <f t="shared" si="319"/>
        <v>4.2007787521205122</v>
      </c>
      <c r="K115" s="186">
        <f>K$64*(1-K$73)*K68*(K75*K78+K93*K94)/1000</f>
        <v>6.5295358982677119</v>
      </c>
      <c r="L115" s="186">
        <f>L$64*(1-L$73)*L68*(L75*L78+L93*L94)/1000</f>
        <v>11.668052649445011</v>
      </c>
      <c r="M115" s="186">
        <f>M$64*(1-M$73)*M68*(M75*M78+M93*M94)/1000</f>
        <v>14.878214440000258</v>
      </c>
      <c r="N115" s="241"/>
      <c r="O115" s="186">
        <f>O$64*(1-O$73)*O68*(O75*O78+O93*O94)/1000</f>
        <v>1.2296785630890161E-2</v>
      </c>
      <c r="P115" s="186">
        <f t="shared" ref="P115:S115" si="320">P$64*(1-P$73)*P68*(P75*P78+P93*P94)/1000</f>
        <v>0.61672823758459472</v>
      </c>
      <c r="Q115" s="186">
        <f t="shared" si="320"/>
        <v>1.2301941755901284</v>
      </c>
      <c r="R115" s="186">
        <f t="shared" si="320"/>
        <v>1.2800508818208238</v>
      </c>
      <c r="S115" s="186">
        <f t="shared" si="320"/>
        <v>4.2007787521205122</v>
      </c>
      <c r="T115" s="303">
        <f>T$64*(1-T$73)*T68*(T75*T78+T93*T94)/1000</f>
        <v>6.5295358982677119</v>
      </c>
      <c r="U115" s="303">
        <f>U$64*(1-U$73)*U68*(U75*U78+U93*U94)/1000</f>
        <v>11.668052649445011</v>
      </c>
      <c r="V115" s="303">
        <f>V$64*(1-V$73)*V68*(V75*V78+V93*V94)/1000</f>
        <v>14.878214440000258</v>
      </c>
      <c r="W115" s="240"/>
      <c r="X115" s="186">
        <f>O115</f>
        <v>1.2296785630890161E-2</v>
      </c>
      <c r="Y115" s="186">
        <f t="shared" ref="Y115:AB117" si="321">P115</f>
        <v>0.61672823758459472</v>
      </c>
      <c r="Z115" s="186">
        <f t="shared" si="321"/>
        <v>1.2301941755901284</v>
      </c>
      <c r="AA115" s="186">
        <f t="shared" si="321"/>
        <v>1.2800508818208238</v>
      </c>
      <c r="AB115" s="186">
        <f t="shared" si="321"/>
        <v>4.2007787521205122</v>
      </c>
      <c r="AC115" s="303">
        <f>AC$64*(1-AC$73)*AC68*(AC75*AC78+AC93*AC94)/1000</f>
        <v>8.0784025532056347</v>
      </c>
      <c r="AD115" s="303">
        <f>AD$64*(1-AD$73)*AD68*(AD75*AD78+AD93*AD94)/1000</f>
        <v>20.416378635912618</v>
      </c>
      <c r="AE115" s="303">
        <f>AE$64*(1-AE$73)*AE68*(AE75*AE78+AE93*AE94)/1000</f>
        <v>34.535911100106027</v>
      </c>
      <c r="AF115" s="240"/>
      <c r="AG115" s="240"/>
      <c r="AH115" s="240"/>
      <c r="AI115" s="240"/>
      <c r="AJ115" s="240"/>
      <c r="AK115" s="240"/>
      <c r="AL115" s="240"/>
      <c r="AM115" s="240"/>
      <c r="AN115" s="240"/>
      <c r="AO115" s="240"/>
      <c r="AP115" s="240"/>
      <c r="AQ115" s="240"/>
      <c r="AR115" s="240"/>
      <c r="AS115" s="240"/>
      <c r="AT115" s="240"/>
      <c r="AU115" s="240"/>
    </row>
    <row r="116" spans="1:47">
      <c r="A116" s="185" t="s">
        <v>16</v>
      </c>
      <c r="C116" s="185" t="s">
        <v>82</v>
      </c>
      <c r="D116" s="185" t="s">
        <v>136</v>
      </c>
      <c r="E116" s="186">
        <f t="shared" ref="E116:G116" si="322">E$64*(1-E$73)*E69*(E75*E79+E93*E95)/1000</f>
        <v>0</v>
      </c>
      <c r="F116" s="186">
        <f t="shared" si="322"/>
        <v>0</v>
      </c>
      <c r="G116" s="186">
        <f t="shared" si="322"/>
        <v>0</v>
      </c>
      <c r="H116" s="186">
        <f t="shared" ref="H116:J116" si="323">H$64*(1-H$73)*H69*(H75*H79+H93*H95)/1000</f>
        <v>1.6568271725119574E-2</v>
      </c>
      <c r="I116" s="186">
        <f t="shared" si="323"/>
        <v>1.7239742516105373E-2</v>
      </c>
      <c r="J116" s="186">
        <f t="shared" si="323"/>
        <v>1.8701296614893764E-2</v>
      </c>
      <c r="K116" s="186">
        <f>K$64*(1-K$73)*K69*(K75*K79+K93*K95)/1000</f>
        <v>1.7412095728713901E-2</v>
      </c>
      <c r="L116" s="186">
        <f>L$64*(1-L$73)*L69*(L75*L79+L93*L95)/1000</f>
        <v>1.5557403532593349E-2</v>
      </c>
      <c r="M116" s="186">
        <f>M$64*(1-M$73)*M69*(M75*M79+M93*M95)/1000</f>
        <v>1.3225079502222454E-2</v>
      </c>
      <c r="N116" s="241"/>
      <c r="O116" s="186">
        <f>O$64*(1-O$73)*O69*(O75*O79+O93*O95)/1000</f>
        <v>0</v>
      </c>
      <c r="P116" s="186">
        <f t="shared" ref="P116:S116" si="324">P$64*(1-P$73)*P69*(P75*P79+P93*P95)/1000</f>
        <v>0</v>
      </c>
      <c r="Q116" s="186">
        <f t="shared" si="324"/>
        <v>1.6568271725119574E-2</v>
      </c>
      <c r="R116" s="186">
        <f t="shared" si="324"/>
        <v>1.7239742516105373E-2</v>
      </c>
      <c r="S116" s="186">
        <f t="shared" si="324"/>
        <v>1.8701296614893764E-2</v>
      </c>
      <c r="T116" s="303">
        <f>T$64*(1-T$73)*T69*(T75*T79+T93*T95)/1000</f>
        <v>1.7412095728713901E-2</v>
      </c>
      <c r="U116" s="303">
        <f>U$64*(1-U$73)*U69*(U75*U79+U93*U95)/1000</f>
        <v>1.5557403532593349E-2</v>
      </c>
      <c r="V116" s="303">
        <f>V$64*(1-V$73)*V69*(V75*V79+V93*V95)/1000</f>
        <v>1.3225079502222454E-2</v>
      </c>
      <c r="W116" s="240"/>
      <c r="X116" s="186">
        <f t="shared" ref="X116:X117" si="325">O116</f>
        <v>0</v>
      </c>
      <c r="Y116" s="186">
        <f t="shared" si="321"/>
        <v>0</v>
      </c>
      <c r="Z116" s="186">
        <f t="shared" si="321"/>
        <v>1.6568271725119574E-2</v>
      </c>
      <c r="AA116" s="186">
        <f t="shared" si="321"/>
        <v>1.7239742516105373E-2</v>
      </c>
      <c r="AB116" s="186">
        <f t="shared" si="321"/>
        <v>1.8701296614893764E-2</v>
      </c>
      <c r="AC116" s="303">
        <f>AC$64*(1-AC$73)*AC69*(AC75*AC79+AC93*AC95)/1000</f>
        <v>0</v>
      </c>
      <c r="AD116" s="303">
        <f>AD$64*(1-AD$73)*AD69*(AD75*AD79+AD93*AD95)/1000</f>
        <v>0</v>
      </c>
      <c r="AE116" s="303">
        <f>AE$64*(1-AE$73)*AE69*(AE75*AE79+AE93*AE95)/1000</f>
        <v>0</v>
      </c>
      <c r="AF116" s="240"/>
      <c r="AG116" s="240"/>
      <c r="AH116" s="240"/>
      <c r="AI116" s="240"/>
      <c r="AJ116" s="240"/>
      <c r="AK116" s="240"/>
      <c r="AL116" s="240"/>
      <c r="AM116" s="240"/>
      <c r="AN116" s="240"/>
      <c r="AO116" s="240"/>
      <c r="AP116" s="240"/>
      <c r="AQ116" s="240"/>
      <c r="AR116" s="240"/>
      <c r="AS116" s="240"/>
      <c r="AT116" s="240"/>
      <c r="AU116" s="240"/>
    </row>
    <row r="117" spans="1:47">
      <c r="A117" s="185" t="s">
        <v>16</v>
      </c>
      <c r="C117" s="185" t="s">
        <v>81</v>
      </c>
      <c r="D117" s="185" t="s">
        <v>136</v>
      </c>
      <c r="E117" s="186">
        <f>E$64*(1-E$73)*E70*(E75*E80+E93*E96)/1000</f>
        <v>83.488662693565644</v>
      </c>
      <c r="F117" s="186">
        <f t="shared" ref="F117:G117" si="326">F$64*(1-F$73)*F70*(F75*F80+F93*F96)/1000</f>
        <v>79.689643879259748</v>
      </c>
      <c r="G117" s="186">
        <f t="shared" si="326"/>
        <v>71.965588674551967</v>
      </c>
      <c r="H117" s="186">
        <f t="shared" ref="H117:J117" si="327">H$64*(1-H$73)*H70*(H75*H80+H93*H96)/1000</f>
        <v>72.134210263454193</v>
      </c>
      <c r="I117" s="186">
        <f t="shared" si="327"/>
        <v>75.057630160612362</v>
      </c>
      <c r="J117" s="186">
        <f t="shared" si="327"/>
        <v>79.764075490246867</v>
      </c>
      <c r="K117" s="186">
        <f>K$64*(1-K$73)*K70*(K75*K80+K93*K96)/1000</f>
        <v>72.72283356790561</v>
      </c>
      <c r="L117" s="186">
        <f>L$64*(1-L$73)*L70*(L75*L80+L93*L96)/1000</f>
        <v>61.53948133101207</v>
      </c>
      <c r="M117" s="186">
        <f>M$64*(1-M$73)*M70*(M75*M80+M93*M96)/1000</f>
        <v>49.3918281697607</v>
      </c>
      <c r="N117" s="241"/>
      <c r="O117" s="186">
        <f>O$64*(1-O$73)*O70*(O75*O80+O93*O96)/1000</f>
        <v>79.689643879259748</v>
      </c>
      <c r="P117" s="186">
        <f t="shared" ref="P117:S117" si="328">P$64*(1-P$73)*P70*(P75*P80+P93*P96)/1000</f>
        <v>71.965588674551967</v>
      </c>
      <c r="Q117" s="186">
        <f t="shared" si="328"/>
        <v>72.134210263454193</v>
      </c>
      <c r="R117" s="186">
        <f t="shared" si="328"/>
        <v>75.057630160612362</v>
      </c>
      <c r="S117" s="186">
        <f t="shared" si="328"/>
        <v>79.764075490246867</v>
      </c>
      <c r="T117" s="303">
        <f>T$64*(1-T$73)*T70*(T75*T80+T93*T96)/1000</f>
        <v>72.72283356790561</v>
      </c>
      <c r="U117" s="303">
        <f>U$64*(1-U$73)*U70*(U75*U80+U93*U96)/1000</f>
        <v>61.53948133101207</v>
      </c>
      <c r="V117" s="303">
        <f>V$64*(1-V$73)*V70*(V75*V80+V93*V96)/1000</f>
        <v>49.3918281697607</v>
      </c>
      <c r="W117" s="240"/>
      <c r="X117" s="186">
        <f t="shared" si="325"/>
        <v>79.689643879259748</v>
      </c>
      <c r="Y117" s="186">
        <f t="shared" si="321"/>
        <v>71.965588674551967</v>
      </c>
      <c r="Z117" s="186">
        <f t="shared" si="321"/>
        <v>72.134210263454193</v>
      </c>
      <c r="AA117" s="186">
        <f t="shared" si="321"/>
        <v>75.057630160612362</v>
      </c>
      <c r="AB117" s="186">
        <f t="shared" si="321"/>
        <v>79.764075490246867</v>
      </c>
      <c r="AC117" s="303">
        <f>AC$64*(1-AC$73)*AC70*(AC75*AC80+AC93*AC96)/1000</f>
        <v>70.739808393973746</v>
      </c>
      <c r="AD117" s="303">
        <f>AD$64*(1-AD$73)*AD70*(AD75*AD80+AD93*AD96)/1000</f>
        <v>54.607436578304466</v>
      </c>
      <c r="AE117" s="303">
        <f>AE$64*(1-AE$73)*AE70*(AE75*AE80+AE93*AE96)/1000</f>
        <v>35.010705354165658</v>
      </c>
      <c r="AF117" s="240"/>
      <c r="AG117" s="240"/>
      <c r="AH117" s="240"/>
      <c r="AI117" s="240"/>
      <c r="AJ117" s="240"/>
      <c r="AK117" s="240"/>
      <c r="AL117" s="240"/>
      <c r="AM117" s="240"/>
      <c r="AN117" s="240"/>
      <c r="AO117" s="240"/>
      <c r="AP117" s="240"/>
      <c r="AQ117" s="240"/>
      <c r="AR117" s="240"/>
      <c r="AS117" s="240"/>
      <c r="AT117" s="240"/>
      <c r="AU117" s="240"/>
    </row>
    <row r="118" spans="1:47">
      <c r="A118" s="185" t="s">
        <v>16</v>
      </c>
      <c r="C118" s="38" t="str">
        <f>C97</f>
        <v>Middle Income</v>
      </c>
      <c r="E118" s="186"/>
      <c r="F118" s="186"/>
      <c r="G118" s="186"/>
      <c r="H118" s="186"/>
      <c r="I118" s="186"/>
      <c r="J118" s="186"/>
      <c r="K118" s="186"/>
      <c r="L118" s="186"/>
      <c r="M118" s="186"/>
      <c r="N118" s="40"/>
      <c r="O118" s="186"/>
      <c r="P118" s="186"/>
      <c r="Q118" s="186"/>
      <c r="R118" s="186"/>
      <c r="S118" s="186"/>
      <c r="T118" s="186"/>
      <c r="U118" s="186"/>
      <c r="V118" s="186"/>
      <c r="X118" s="186"/>
      <c r="AA118" s="186"/>
      <c r="AC118" s="186"/>
      <c r="AD118" s="186"/>
      <c r="AE118" s="186"/>
    </row>
    <row r="119" spans="1:47">
      <c r="A119" s="185" t="s">
        <v>16</v>
      </c>
      <c r="C119" s="185" t="str">
        <f>C115</f>
        <v>BRT</v>
      </c>
      <c r="D119" s="185" t="s">
        <v>136</v>
      </c>
      <c r="E119" s="186">
        <f t="shared" ref="E119:G119" si="329">E$64*(1-E$73)*E68*(E81*E83+E97*E98)/1000</f>
        <v>0.39844293161463668</v>
      </c>
      <c r="F119" s="186">
        <f t="shared" si="329"/>
        <v>0.42270534033127205</v>
      </c>
      <c r="G119" s="186">
        <f t="shared" si="329"/>
        <v>0.63831372590005553</v>
      </c>
      <c r="H119" s="186">
        <f t="shared" ref="H119:J119" si="330">H$64*(1-H$73)*H68*(H81*H83+H97*H98)/1000</f>
        <v>0.88006760986958676</v>
      </c>
      <c r="I119" s="186">
        <f t="shared" si="330"/>
        <v>0.92484035372856965</v>
      </c>
      <c r="J119" s="186">
        <f t="shared" si="330"/>
        <v>2.654301986625724</v>
      </c>
      <c r="K119" s="186">
        <f>K$64*(1-K$73)*K68*(K81*K83+K97*K98)/1000</f>
        <v>5.1741256449712454</v>
      </c>
      <c r="L119" s="186">
        <f>L$64*(1-L$73)*L68*(L81*L83+L97*L98)/1000</f>
        <v>11.798993588604986</v>
      </c>
      <c r="M119" s="186">
        <f>M$64*(1-M$73)*M68*(M81*M83+M97*M98)/1000</f>
        <v>19.526073649251543</v>
      </c>
      <c r="N119" s="241"/>
      <c r="O119" s="186">
        <f>O$64*(1-O$73)*O68*(O81*O83+O97*O98)/1000</f>
        <v>0.42270534033127205</v>
      </c>
      <c r="P119" s="186">
        <f t="shared" ref="P119:S119" si="331">P$64*(1-P$73)*P68*(P81*P83+P97*P98)/1000</f>
        <v>0.63831372590005553</v>
      </c>
      <c r="Q119" s="186">
        <f t="shared" si="331"/>
        <v>0.88006760986958676</v>
      </c>
      <c r="R119" s="186">
        <f t="shared" si="331"/>
        <v>0.92484035372856965</v>
      </c>
      <c r="S119" s="186">
        <f t="shared" si="331"/>
        <v>2.654301986625724</v>
      </c>
      <c r="T119" s="303">
        <f>T$64*(1-T$73)*T68*(T81*T83+T97*T98)/1000</f>
        <v>5.1741256449712454</v>
      </c>
      <c r="U119" s="303">
        <f>U$64*(1-U$73)*U68*(U81*U83+U97*U98)/1000</f>
        <v>11.798993588604986</v>
      </c>
      <c r="V119" s="303">
        <f>V$64*(1-V$73)*V68*(V81*V83+V97*V98)/1000</f>
        <v>19.526073649251543</v>
      </c>
      <c r="W119" s="240"/>
      <c r="X119" s="186">
        <f>O119</f>
        <v>0.42270534033127205</v>
      </c>
      <c r="Y119" s="186">
        <f t="shared" ref="Y119:AB119" si="332">P119</f>
        <v>0.63831372590005553</v>
      </c>
      <c r="Z119" s="186">
        <f t="shared" si="332"/>
        <v>0.88006760986958676</v>
      </c>
      <c r="AA119" s="186">
        <f t="shared" si="332"/>
        <v>0.92484035372856965</v>
      </c>
      <c r="AB119" s="186">
        <f t="shared" si="332"/>
        <v>2.654301986625724</v>
      </c>
      <c r="AC119" s="303">
        <f>AC$64*(1-AC$73)*AC68*(AC81*AC83+AC97*AC98)/1000</f>
        <v>6.4014763793597744</v>
      </c>
      <c r="AD119" s="303">
        <f>AD$64*(1-AD$73)*AD68*(AD81*AD83+AD97*AD98)/1000</f>
        <v>18.360283585508345</v>
      </c>
      <c r="AE119" s="303">
        <f>AE$64*(1-AE$73)*AE68*(AE81*AE83+AE97*AE98)/1000</f>
        <v>38.173837638487875</v>
      </c>
      <c r="AF119" s="240"/>
      <c r="AG119" s="240"/>
      <c r="AH119" s="240"/>
      <c r="AI119" s="240"/>
      <c r="AJ119" s="240"/>
      <c r="AK119" s="240"/>
      <c r="AL119" s="240"/>
      <c r="AM119" s="240"/>
      <c r="AN119" s="240"/>
      <c r="AO119" s="240"/>
      <c r="AP119" s="240"/>
      <c r="AQ119" s="240"/>
      <c r="AR119" s="240"/>
      <c r="AS119" s="240"/>
      <c r="AT119" s="240"/>
      <c r="AU119" s="240"/>
    </row>
    <row r="120" spans="1:47">
      <c r="A120" s="185" t="s">
        <v>16</v>
      </c>
      <c r="C120" s="185" t="str">
        <f>C116</f>
        <v>Gautrain</v>
      </c>
      <c r="D120" s="185" t="s">
        <v>136</v>
      </c>
      <c r="E120" s="186">
        <f t="shared" ref="E120:G120" si="333">E$64*(1-E$73)*E69*(E81*E84+E97*E99)/1000</f>
        <v>0.20047443100107509</v>
      </c>
      <c r="F120" s="186">
        <f t="shared" si="333"/>
        <v>0.21268193224214943</v>
      </c>
      <c r="G120" s="186">
        <f t="shared" si="333"/>
        <v>0.22250587395208909</v>
      </c>
      <c r="H120" s="186">
        <f t="shared" ref="H120:J120" si="334">H$64*(1-H$73)*H69*(H81*H84+H97*H99)/1000</f>
        <v>0.23468469596522318</v>
      </c>
      <c r="I120" s="186">
        <f t="shared" si="334"/>
        <v>0.24662409432761853</v>
      </c>
      <c r="J120" s="186">
        <f t="shared" si="334"/>
        <v>0.23593795436673104</v>
      </c>
      <c r="K120" s="186">
        <f>K$64*(1-K$73)*K69*(K81*K84+K97*K99)/1000</f>
        <v>0.27595336773179974</v>
      </c>
      <c r="L120" s="186">
        <f>L$64*(1-L$73)*L69*(L81*L84+L97*L99)/1000</f>
        <v>0.3146398290294663</v>
      </c>
      <c r="M120" s="186">
        <f>M$64*(1-M$73)*M69*(M81*M84+M97*M99)/1000</f>
        <v>0.34713019820891633</v>
      </c>
      <c r="N120" s="241"/>
      <c r="O120" s="186">
        <f>O$64*(1-O$73)*O69*(O81*O84+O97*O99)/1000</f>
        <v>0.21268193224214943</v>
      </c>
      <c r="P120" s="186">
        <f t="shared" ref="P120:S120" si="335">P$64*(1-P$73)*P69*(P81*P84+P97*P99)/1000</f>
        <v>0.22250587395208909</v>
      </c>
      <c r="Q120" s="186">
        <f t="shared" si="335"/>
        <v>0.23468469596522318</v>
      </c>
      <c r="R120" s="186">
        <f t="shared" si="335"/>
        <v>0.24662409432761853</v>
      </c>
      <c r="S120" s="186">
        <f t="shared" si="335"/>
        <v>0.23593795436673104</v>
      </c>
      <c r="T120" s="303">
        <f>T$64*(1-T$73)*T69*(T81*T84+T97*T99)/1000</f>
        <v>0.27595336773179974</v>
      </c>
      <c r="U120" s="303">
        <f>U$64*(1-U$73)*U69*(U81*U84+U97*U99)/1000</f>
        <v>0.3146398290294663</v>
      </c>
      <c r="V120" s="303">
        <f>V$64*(1-V$73)*V69*(V81*V84+V97*V99)/1000</f>
        <v>0.34713019820891633</v>
      </c>
      <c r="W120" s="240"/>
      <c r="X120" s="186">
        <f t="shared" ref="X120:X121" si="336">O120</f>
        <v>0.21268193224214943</v>
      </c>
      <c r="Y120" s="186">
        <f t="shared" ref="Y120:Y121" si="337">P120</f>
        <v>0.22250587395208909</v>
      </c>
      <c r="Z120" s="186">
        <f t="shared" ref="Z120:Z121" si="338">Q120</f>
        <v>0.23468469596522318</v>
      </c>
      <c r="AA120" s="186">
        <f t="shared" ref="AA120:AA121" si="339">R120</f>
        <v>0.24662409432761853</v>
      </c>
      <c r="AB120" s="186">
        <f t="shared" ref="AB120:AB121" si="340">S120</f>
        <v>0.23593795436673104</v>
      </c>
      <c r="AC120" s="303">
        <f>AC$64*(1-AC$73)*AC69*(AC81*AC84+AC97*AC99)/1000</f>
        <v>1.2193288341637665</v>
      </c>
      <c r="AD120" s="303">
        <f>AD$64*(1-AD$73)*AD69*(AD81*AD84+AD97*AD99)/1000</f>
        <v>2.7805380239813302</v>
      </c>
      <c r="AE120" s="303">
        <f>AE$64*(1-AE$73)*AE69*(AE81*AE84+AE97*AE99)/1000</f>
        <v>4.6014933250949381</v>
      </c>
      <c r="AF120" s="240"/>
      <c r="AG120" s="240"/>
      <c r="AH120" s="240"/>
      <c r="AI120" s="240"/>
      <c r="AJ120" s="240"/>
      <c r="AK120" s="240"/>
      <c r="AL120" s="240"/>
      <c r="AM120" s="240"/>
      <c r="AN120" s="240"/>
      <c r="AO120" s="240"/>
      <c r="AP120" s="240"/>
      <c r="AQ120" s="240"/>
      <c r="AR120" s="240"/>
      <c r="AS120" s="240"/>
      <c r="AT120" s="240"/>
      <c r="AU120" s="240"/>
    </row>
    <row r="121" spans="1:47">
      <c r="A121" s="185" t="s">
        <v>16</v>
      </c>
      <c r="C121" s="185" t="str">
        <f>C117</f>
        <v>Bus, minibus, metro rail</v>
      </c>
      <c r="D121" s="185" t="s">
        <v>136</v>
      </c>
      <c r="E121" s="186">
        <f t="shared" ref="E121:G121" si="341">E$64*(1-E$73)*E70*(E81*E85+E97*E100)/1000</f>
        <v>35.619555224746598</v>
      </c>
      <c r="F121" s="186">
        <f t="shared" si="341"/>
        <v>38.081344183480468</v>
      </c>
      <c r="G121" s="186">
        <f t="shared" si="341"/>
        <v>35.930509643817174</v>
      </c>
      <c r="H121" s="186">
        <f t="shared" ref="H121:J121" si="342">H$64*(1-H$73)*H70*(H81*H85+H97*H100)/1000</f>
        <v>37.775315095275261</v>
      </c>
      <c r="I121" s="186">
        <f t="shared" si="342"/>
        <v>39.697104385081929</v>
      </c>
      <c r="J121" s="186">
        <f t="shared" si="342"/>
        <v>36.934525515865701</v>
      </c>
      <c r="K121" s="186">
        <f>K$64*(1-K$73)*K70*(K81*K85+K97*K100)/1000</f>
        <v>41.979344855432338</v>
      </c>
      <c r="L121" s="186">
        <f>L$64*(1-L$73)*L70*(L81*L85+L97*L100)/1000</f>
        <v>44.388841669101751</v>
      </c>
      <c r="M121" s="186">
        <f>M$64*(1-M$73)*M70*(M81*M85+M97*M100)/1000</f>
        <v>45.137948861805931</v>
      </c>
      <c r="N121" s="241"/>
      <c r="O121" s="186">
        <f>O$64*(1-O$73)*O70*(O81*O85+O97*O100)/1000</f>
        <v>38.081344183480468</v>
      </c>
      <c r="P121" s="186">
        <f t="shared" ref="P121:S121" si="343">P$64*(1-P$73)*P70*(P81*P85+P97*P100)/1000</f>
        <v>35.930509643817174</v>
      </c>
      <c r="Q121" s="186">
        <f t="shared" si="343"/>
        <v>37.775315095275261</v>
      </c>
      <c r="R121" s="186">
        <f t="shared" si="343"/>
        <v>39.697104385081929</v>
      </c>
      <c r="S121" s="186">
        <f t="shared" si="343"/>
        <v>36.934525515865701</v>
      </c>
      <c r="T121" s="303">
        <f>T$64*(1-T$73)*T70*(T81*T85+T97*T100)/1000</f>
        <v>41.979344855432338</v>
      </c>
      <c r="U121" s="303">
        <f>U$64*(1-U$73)*U70*(U81*U85+U97*U100)/1000</f>
        <v>44.388841669101751</v>
      </c>
      <c r="V121" s="303">
        <f>V$64*(1-V$73)*V70*(V81*V85+V97*V100)/1000</f>
        <v>45.137948861805931</v>
      </c>
      <c r="W121" s="240"/>
      <c r="X121" s="186">
        <f t="shared" si="336"/>
        <v>38.081344183480468</v>
      </c>
      <c r="Y121" s="186">
        <f t="shared" si="337"/>
        <v>35.930509643817174</v>
      </c>
      <c r="Z121" s="186">
        <f t="shared" si="338"/>
        <v>37.775315095275261</v>
      </c>
      <c r="AA121" s="186">
        <f t="shared" si="339"/>
        <v>39.697104385081929</v>
      </c>
      <c r="AB121" s="186">
        <f t="shared" si="340"/>
        <v>36.934525515865701</v>
      </c>
      <c r="AC121" s="303">
        <f>AC$64*(1-AC$73)*AC70*(AC81*AC85+AC97*AC100)/1000</f>
        <v>42.528161561298617</v>
      </c>
      <c r="AD121" s="303">
        <f>AD$64*(1-AD$73)*AD70*(AD81*AD85+AD97*AD100)/1000</f>
        <v>41.928443741351089</v>
      </c>
      <c r="AE121" s="303">
        <f>AE$64*(1-AE$73)*AE70*(AE81*AE85+AE97*AE100)/1000</f>
        <v>35.741845598289601</v>
      </c>
      <c r="AF121" s="240"/>
      <c r="AG121" s="240"/>
      <c r="AH121" s="240"/>
      <c r="AI121" s="240"/>
      <c r="AJ121" s="240"/>
      <c r="AK121" s="240"/>
      <c r="AL121" s="240"/>
      <c r="AM121" s="240"/>
      <c r="AN121" s="240"/>
      <c r="AO121" s="240"/>
      <c r="AP121" s="240"/>
      <c r="AQ121" s="240"/>
      <c r="AR121" s="240"/>
      <c r="AS121" s="240"/>
      <c r="AT121" s="240"/>
      <c r="AU121" s="240"/>
    </row>
    <row r="122" spans="1:47">
      <c r="A122" s="185" t="s">
        <v>16</v>
      </c>
      <c r="C122" s="38" t="str">
        <f>C101</f>
        <v>High Income</v>
      </c>
      <c r="E122" s="186"/>
      <c r="F122" s="186"/>
      <c r="G122" s="186"/>
      <c r="H122" s="186"/>
      <c r="I122" s="186"/>
      <c r="J122" s="186"/>
      <c r="K122" s="186"/>
      <c r="L122" s="186"/>
      <c r="M122" s="186"/>
      <c r="N122" s="40"/>
      <c r="O122" s="186"/>
      <c r="P122" s="186"/>
      <c r="Q122" s="186"/>
      <c r="R122" s="186"/>
      <c r="S122" s="186"/>
      <c r="T122" s="186"/>
      <c r="U122" s="186"/>
      <c r="V122" s="186"/>
      <c r="X122" s="186"/>
      <c r="AA122" s="186"/>
      <c r="AC122" s="186"/>
      <c r="AD122" s="186"/>
      <c r="AE122" s="186"/>
    </row>
    <row r="123" spans="1:47">
      <c r="A123" s="185" t="s">
        <v>16</v>
      </c>
      <c r="C123" s="185" t="str">
        <f>C119</f>
        <v>BRT</v>
      </c>
      <c r="D123" s="185" t="s">
        <v>136</v>
      </c>
      <c r="E123" s="186">
        <f t="shared" ref="E123:G123" si="344">E$64*(1-E$73)*E68*(E86*E88+E101*E102)/1000</f>
        <v>0.11622098770197462</v>
      </c>
      <c r="F123" s="186">
        <f t="shared" si="344"/>
        <v>0.36638538447406388</v>
      </c>
      <c r="G123" s="186">
        <f t="shared" si="344"/>
        <v>0.31952662083002764</v>
      </c>
      <c r="H123" s="186">
        <f t="shared" ref="H123:J123" si="345">H$64*(1-H$73)*H68*(H86*H88+H101*H102)/1000</f>
        <v>0.41420942719344656</v>
      </c>
      <c r="I123" s="186">
        <f t="shared" si="345"/>
        <v>0.35461137175496876</v>
      </c>
      <c r="J123" s="186">
        <f t="shared" si="345"/>
        <v>0.50090067225697787</v>
      </c>
      <c r="K123" s="186">
        <f>K$64*(1-K$73)*K68*(K86*K88+K101*K102)/1000</f>
        <v>2.466131149978267</v>
      </c>
      <c r="L123" s="186">
        <f>L$64*(1-L$73)*L68*(L86*L88+L101*L102)/1000</f>
        <v>3.6343291105352922</v>
      </c>
      <c r="M123" s="186">
        <f>M$64*(1-M$73)*M68*(M86*M88+M101*M102)/1000</f>
        <v>4.9853119735925064</v>
      </c>
      <c r="N123" s="241"/>
      <c r="O123" s="186">
        <f>O$64*(1-O$73)*O68*(O86*O88+O101*O102)/1000</f>
        <v>0.36638538447406388</v>
      </c>
      <c r="P123" s="186">
        <f t="shared" ref="P123:S123" si="346">P$64*(1-P$73)*P68*(P86*P88+P101*P102)/1000</f>
        <v>0.31952662083002764</v>
      </c>
      <c r="Q123" s="186">
        <f t="shared" si="346"/>
        <v>0.41420942719344656</v>
      </c>
      <c r="R123" s="186">
        <f t="shared" si="346"/>
        <v>0.35461137175496876</v>
      </c>
      <c r="S123" s="186">
        <f t="shared" si="346"/>
        <v>0.50090067225697787</v>
      </c>
      <c r="T123" s="303">
        <f>T$64*(1-T$73)*T68*(T86*T88+T101*T102)/1000</f>
        <v>2.466131149978267</v>
      </c>
      <c r="U123" s="303">
        <f>U$64*(1-U$73)*U68*(U86*U88+U101*U102)/1000</f>
        <v>3.6343291105352922</v>
      </c>
      <c r="V123" s="303">
        <f>V$64*(1-V$73)*V68*(V86*V88+V101*V102)/1000</f>
        <v>4.9853119735925064</v>
      </c>
      <c r="W123" s="240"/>
      <c r="X123" s="186">
        <f>O123</f>
        <v>0.36638538447406388</v>
      </c>
      <c r="Y123" s="186">
        <f t="shared" ref="Y123:AB123" si="347">P123</f>
        <v>0.31952662083002764</v>
      </c>
      <c r="Z123" s="186">
        <f t="shared" si="347"/>
        <v>0.41420942719344656</v>
      </c>
      <c r="AA123" s="186">
        <f t="shared" si="347"/>
        <v>0.35461137175496876</v>
      </c>
      <c r="AB123" s="186">
        <f t="shared" si="347"/>
        <v>0.50090067225697787</v>
      </c>
      <c r="AC123" s="303">
        <f>AC$64*(1-AC$73)*AC68*(AC86*AC88+AC101*AC102)/1000</f>
        <v>2.9090096565759569</v>
      </c>
      <c r="AD123" s="303">
        <f>AD$64*(1-AD$73)*AD68*(AD86*AD88+AD101*AD102)/1000</f>
        <v>8.5865578247774508</v>
      </c>
      <c r="AE123" s="303">
        <f>AE$64*(1-AE$73)*AE68*(AE86*AE88+AE101*AE102)/1000</f>
        <v>21.796171594251618</v>
      </c>
      <c r="AF123" s="240"/>
      <c r="AG123" s="240"/>
      <c r="AH123" s="240"/>
      <c r="AI123" s="240"/>
      <c r="AJ123" s="240"/>
      <c r="AK123" s="240"/>
      <c r="AL123" s="240"/>
      <c r="AM123" s="240"/>
      <c r="AN123" s="240"/>
      <c r="AO123" s="240"/>
      <c r="AP123" s="240"/>
      <c r="AQ123" s="240"/>
      <c r="AR123" s="240"/>
      <c r="AS123" s="240"/>
      <c r="AT123" s="240"/>
      <c r="AU123" s="240"/>
    </row>
    <row r="124" spans="1:47">
      <c r="A124" s="185" t="s">
        <v>16</v>
      </c>
      <c r="C124" s="185" t="str">
        <f>C120</f>
        <v>Gautrain</v>
      </c>
      <c r="D124" s="185" t="s">
        <v>136</v>
      </c>
      <c r="E124" s="186">
        <f t="shared" ref="E124:G124" si="348">E$64*(1-E$73)*E69*(E86*E89+E101*E103)/1000</f>
        <v>0.33412405166845843</v>
      </c>
      <c r="F124" s="186">
        <f t="shared" si="348"/>
        <v>0.39655577667223524</v>
      </c>
      <c r="G124" s="186">
        <f t="shared" si="348"/>
        <v>0.42603549444003685</v>
      </c>
      <c r="H124" s="186">
        <f t="shared" ref="H124:J124" si="349">H$64*(1-H$73)*H69*(H86*H89+H101*H103)/1000</f>
        <v>0.44831794079735332</v>
      </c>
      <c r="I124" s="186">
        <f t="shared" si="349"/>
        <v>0.38381222041637691</v>
      </c>
      <c r="J124" s="186">
        <f t="shared" si="349"/>
        <v>0.3938651551059012</v>
      </c>
      <c r="K124" s="186">
        <f>K$64*(1-K$73)*K69*(K86*K89+K101*K103)/1000</f>
        <v>0.54802914443961492</v>
      </c>
      <c r="L124" s="186">
        <f>L$64*(1-L$73)*L69*(L86*L89+L101*L103)/1000</f>
        <v>0.71597144578338168</v>
      </c>
      <c r="M124" s="186">
        <f>M$64*(1-M$73)*M69*(M86*M89+M101*M103)/1000</f>
        <v>0.88201856750787933</v>
      </c>
      <c r="N124" s="241"/>
      <c r="O124" s="186">
        <f>O$64*(1-O$73)*O69*(O86*O89+O101*O103)/1000</f>
        <v>0.39655577667223524</v>
      </c>
      <c r="P124" s="186">
        <f t="shared" ref="P124:S124" si="350">P$64*(1-P$73)*P69*(P86*P89+P101*P103)/1000</f>
        <v>0.42603549444003685</v>
      </c>
      <c r="Q124" s="186">
        <f t="shared" si="350"/>
        <v>0.44831794079735332</v>
      </c>
      <c r="R124" s="186">
        <f t="shared" si="350"/>
        <v>0.38381222041637691</v>
      </c>
      <c r="S124" s="186">
        <f t="shared" si="350"/>
        <v>0.3938651551059012</v>
      </c>
      <c r="T124" s="303">
        <f>T$64*(1-T$73)*T69*(T86*T89+T101*T103)/1000</f>
        <v>0.54802914443961492</v>
      </c>
      <c r="U124" s="303">
        <f>U$64*(1-U$73)*U69*(U86*U89+U101*U103)/1000</f>
        <v>0.71597144578338168</v>
      </c>
      <c r="V124" s="303">
        <f>V$64*(1-V$73)*V69*(V86*V89+V101*V103)/1000</f>
        <v>0.88201856750787933</v>
      </c>
      <c r="W124" s="240"/>
      <c r="X124" s="186">
        <f t="shared" ref="X124:X125" si="351">O124</f>
        <v>0.39655577667223524</v>
      </c>
      <c r="Y124" s="186">
        <f t="shared" ref="Y124:Y125" si="352">P124</f>
        <v>0.42603549444003685</v>
      </c>
      <c r="Z124" s="186">
        <f t="shared" ref="Z124:Z125" si="353">Q124</f>
        <v>0.44831794079735332</v>
      </c>
      <c r="AA124" s="186">
        <f t="shared" ref="AA124:AA125" si="354">R124</f>
        <v>0.38381222041637691</v>
      </c>
      <c r="AB124" s="186">
        <f t="shared" ref="AB124:AB125" si="355">S124</f>
        <v>0.3938651551059012</v>
      </c>
      <c r="AC124" s="303">
        <f>AC$64*(1-AC$73)*AC69*(AC86*AC89+AC101*AC103)/1000</f>
        <v>0.96860965063745907</v>
      </c>
      <c r="AD124" s="303">
        <f>AD$64*(1-AD$73)*AD69*(AD86*AD89+AD101*AD103)/1000</f>
        <v>3.796313712525837</v>
      </c>
      <c r="AE124" s="303">
        <f>AE$64*(1-AE$73)*AE69*(AE86*AE89+AE101*AE103)/1000</f>
        <v>7.7945826896045132</v>
      </c>
      <c r="AF124" s="240"/>
      <c r="AG124" s="240"/>
      <c r="AH124" s="240"/>
      <c r="AI124" s="240"/>
      <c r="AJ124" s="240"/>
      <c r="AK124" s="240"/>
      <c r="AL124" s="240"/>
      <c r="AM124" s="240"/>
      <c r="AN124" s="240"/>
      <c r="AO124" s="240"/>
      <c r="AP124" s="240"/>
      <c r="AQ124" s="240"/>
      <c r="AR124" s="240"/>
      <c r="AS124" s="240"/>
      <c r="AT124" s="240"/>
      <c r="AU124" s="240"/>
    </row>
    <row r="125" spans="1:47">
      <c r="A125" s="185" t="s">
        <v>16</v>
      </c>
      <c r="C125" s="185" t="str">
        <f>C121</f>
        <v>Bus, minibus, metro rail</v>
      </c>
      <c r="D125" s="185" t="s">
        <v>136</v>
      </c>
      <c r="E125" s="186">
        <f t="shared" ref="E125:G125" si="356">E$64*(1-E$73)*E70*(E86*E90+E101*E104)/1000</f>
        <v>13.726845504698046</v>
      </c>
      <c r="F125" s="186">
        <f t="shared" si="356"/>
        <v>17.567059633334598</v>
      </c>
      <c r="G125" s="186">
        <f t="shared" si="356"/>
        <v>17.11921044085512</v>
      </c>
      <c r="H125" s="186">
        <f t="shared" ref="H125:J125" si="357">H$64*(1-H$73)*H70*(H86*H90+H101*H104)/1000</f>
        <v>17.968640504716966</v>
      </c>
      <c r="I125" s="186">
        <f t="shared" si="357"/>
        <v>15.416946312721201</v>
      </c>
      <c r="J125" s="186">
        <f t="shared" si="357"/>
        <v>15.323634308474468</v>
      </c>
      <c r="K125" s="186">
        <f>K$64*(1-K$73)*K70*(K86*K90+K101*K104)/1000</f>
        <v>19.712912222186045</v>
      </c>
      <c r="L125" s="186">
        <f>L$64*(1-L$73)*L70*(L86*L90+L101*L104)/1000</f>
        <v>22.939813479840755</v>
      </c>
      <c r="M125" s="186">
        <f>M$64*(1-M$73)*M70*(M86*M90+M101*M104)/1000</f>
        <v>25.423043242601956</v>
      </c>
      <c r="N125" s="241"/>
      <c r="O125" s="186">
        <f>O$64*(1-O$73)*O70*(O86*O90+O101*O104)/1000</f>
        <v>17.567059633334598</v>
      </c>
      <c r="P125" s="186">
        <f t="shared" ref="P125:S125" si="358">P$64*(1-P$73)*P70*(P86*P90+P101*P104)/1000</f>
        <v>17.11921044085512</v>
      </c>
      <c r="Q125" s="186">
        <f t="shared" si="358"/>
        <v>17.968640504716966</v>
      </c>
      <c r="R125" s="186">
        <f t="shared" si="358"/>
        <v>15.416946312721201</v>
      </c>
      <c r="S125" s="186">
        <f t="shared" si="358"/>
        <v>15.323634308474468</v>
      </c>
      <c r="T125" s="303">
        <f>T$64*(1-T$73)*T70*(T86*T90+T101*T104)/1000</f>
        <v>19.712912222186045</v>
      </c>
      <c r="U125" s="303">
        <f>U$64*(1-U$73)*U70*(U86*U90+U101*U104)/1000</f>
        <v>22.939813479840755</v>
      </c>
      <c r="V125" s="303">
        <f>V$64*(1-V$73)*V70*(V86*V90+V101*V104)/1000</f>
        <v>25.423043242601956</v>
      </c>
      <c r="W125" s="240"/>
      <c r="X125" s="186">
        <f t="shared" si="351"/>
        <v>17.567059633334598</v>
      </c>
      <c r="Y125" s="186">
        <f t="shared" si="352"/>
        <v>17.11921044085512</v>
      </c>
      <c r="Z125" s="186">
        <f t="shared" si="353"/>
        <v>17.968640504716966</v>
      </c>
      <c r="AA125" s="186">
        <f t="shared" si="354"/>
        <v>15.416946312721201</v>
      </c>
      <c r="AB125" s="186">
        <f t="shared" si="355"/>
        <v>15.323634308474468</v>
      </c>
      <c r="AC125" s="303">
        <f>AC$64*(1-AC$73)*AC70*(AC86*AC90+AC101*AC104)/1000</f>
        <v>22.022662284861969</v>
      </c>
      <c r="AD125" s="303">
        <f>AD$64*(1-AD$73)*AD70*(AD86*AD90+AD101*AD104)/1000</f>
        <v>26.607087662222671</v>
      </c>
      <c r="AE125" s="303">
        <f>AE$64*(1-AE$73)*AE70*(AE86*AE90+AE101*AE104)/1000</f>
        <v>26.35683510194967</v>
      </c>
      <c r="AF125" s="240"/>
      <c r="AG125" s="240"/>
      <c r="AH125" s="240"/>
      <c r="AI125" s="240"/>
      <c r="AJ125" s="240"/>
      <c r="AK125" s="240"/>
      <c r="AL125" s="240"/>
      <c r="AM125" s="240"/>
      <c r="AN125" s="240"/>
      <c r="AO125" s="240"/>
      <c r="AP125" s="240"/>
      <c r="AQ125" s="240"/>
      <c r="AR125" s="240"/>
      <c r="AS125" s="240"/>
      <c r="AT125" s="240"/>
      <c r="AU125" s="240"/>
    </row>
    <row r="126" spans="1:47">
      <c r="A126" s="185" t="s">
        <v>16</v>
      </c>
      <c r="C126" s="38" t="s">
        <v>5</v>
      </c>
      <c r="E126" s="186"/>
      <c r="F126" s="186"/>
      <c r="G126" s="186"/>
      <c r="H126" s="186"/>
      <c r="I126" s="186"/>
      <c r="J126" s="186"/>
      <c r="K126" s="186"/>
      <c r="L126" s="186"/>
      <c r="M126" s="186"/>
      <c r="N126" s="40"/>
      <c r="O126" s="186"/>
      <c r="P126" s="186"/>
      <c r="Q126" s="186"/>
      <c r="R126" s="186"/>
      <c r="S126" s="186"/>
      <c r="T126" s="186"/>
      <c r="U126" s="186"/>
      <c r="V126" s="186"/>
      <c r="X126" s="186"/>
      <c r="AA126" s="186"/>
      <c r="AC126" s="186"/>
      <c r="AD126" s="186"/>
      <c r="AE126" s="186"/>
    </row>
    <row r="127" spans="1:47">
      <c r="A127" s="185" t="s">
        <v>16</v>
      </c>
      <c r="C127" s="185" t="str">
        <f>C123</f>
        <v>BRT</v>
      </c>
      <c r="D127" s="185" t="s">
        <v>136</v>
      </c>
      <c r="E127" s="186">
        <f t="shared" ref="E127:G129" si="359">E115+E119+E123</f>
        <v>0.52719357125417843</v>
      </c>
      <c r="F127" s="186">
        <f t="shared" si="359"/>
        <v>0.80138751043622602</v>
      </c>
      <c r="G127" s="186">
        <f t="shared" si="359"/>
        <v>1.5745685843146777</v>
      </c>
      <c r="H127" s="186">
        <f t="shared" ref="H127:J127" si="360">H115+H119+H123</f>
        <v>2.5244712126531619</v>
      </c>
      <c r="I127" s="186">
        <f t="shared" si="360"/>
        <v>2.5595026073043621</v>
      </c>
      <c r="J127" s="186">
        <f t="shared" si="360"/>
        <v>7.3559814110032145</v>
      </c>
      <c r="K127" s="186">
        <f t="shared" ref="K127:M129" si="361">K115+K119+K123</f>
        <v>14.169792693217225</v>
      </c>
      <c r="L127" s="186">
        <f t="shared" si="361"/>
        <v>27.101375348585286</v>
      </c>
      <c r="M127" s="186">
        <f t="shared" si="361"/>
        <v>39.389600062844309</v>
      </c>
      <c r="N127" s="241"/>
      <c r="O127" s="186">
        <f t="shared" ref="O127:S129" si="362">O115+O119+O123</f>
        <v>0.80138751043622602</v>
      </c>
      <c r="P127" s="186">
        <f t="shared" si="362"/>
        <v>1.5745685843146777</v>
      </c>
      <c r="Q127" s="186">
        <f t="shared" si="362"/>
        <v>2.5244712126531619</v>
      </c>
      <c r="R127" s="186">
        <f t="shared" si="362"/>
        <v>2.5595026073043621</v>
      </c>
      <c r="S127" s="186">
        <f t="shared" si="362"/>
        <v>7.3559814110032145</v>
      </c>
      <c r="T127" s="303">
        <f t="shared" ref="T127:V129" si="363">T115+T119+T123</f>
        <v>14.169792693217225</v>
      </c>
      <c r="U127" s="303">
        <f t="shared" si="363"/>
        <v>27.101375348585286</v>
      </c>
      <c r="V127" s="303">
        <f t="shared" si="363"/>
        <v>39.389600062844309</v>
      </c>
      <c r="W127" s="240"/>
      <c r="X127" s="186">
        <f>O127</f>
        <v>0.80138751043622602</v>
      </c>
      <c r="Y127" s="186">
        <f t="shared" ref="Y127:AB127" si="364">P127</f>
        <v>1.5745685843146777</v>
      </c>
      <c r="Z127" s="186">
        <f t="shared" si="364"/>
        <v>2.5244712126531619</v>
      </c>
      <c r="AA127" s="186">
        <f t="shared" si="364"/>
        <v>2.5595026073043621</v>
      </c>
      <c r="AB127" s="186">
        <f t="shared" si="364"/>
        <v>7.3559814110032145</v>
      </c>
      <c r="AC127" s="303">
        <f t="shared" ref="AC127:AE129" si="365">AC115+AC119+AC123</f>
        <v>17.388888589141366</v>
      </c>
      <c r="AD127" s="303">
        <f t="shared" si="365"/>
        <v>47.363220046198414</v>
      </c>
      <c r="AE127" s="303">
        <f t="shared" si="365"/>
        <v>94.50592033284552</v>
      </c>
      <c r="AF127" s="240"/>
      <c r="AG127" s="240"/>
      <c r="AH127" s="240"/>
      <c r="AI127" s="240"/>
      <c r="AJ127" s="240"/>
      <c r="AK127" s="240"/>
      <c r="AL127" s="240"/>
      <c r="AM127" s="240"/>
      <c r="AN127" s="240"/>
      <c r="AO127" s="240"/>
      <c r="AP127" s="240"/>
      <c r="AQ127" s="240"/>
      <c r="AR127" s="240"/>
      <c r="AS127" s="240"/>
      <c r="AT127" s="240"/>
      <c r="AU127" s="240"/>
    </row>
    <row r="128" spans="1:47">
      <c r="A128" s="185" t="s">
        <v>16</v>
      </c>
      <c r="C128" s="185" t="str">
        <f>C124</f>
        <v>Gautrain</v>
      </c>
      <c r="D128" s="185" t="s">
        <v>136</v>
      </c>
      <c r="E128" s="186">
        <f t="shared" si="359"/>
        <v>0.53459848266953358</v>
      </c>
      <c r="F128" s="186">
        <f t="shared" si="359"/>
        <v>0.60923770891438467</v>
      </c>
      <c r="G128" s="186">
        <f t="shared" si="359"/>
        <v>0.64854136839212595</v>
      </c>
      <c r="H128" s="186">
        <f t="shared" ref="H128:J128" si="366">H116+H120+H124</f>
        <v>0.6995709084876961</v>
      </c>
      <c r="I128" s="186">
        <f t="shared" si="366"/>
        <v>0.6476760572601008</v>
      </c>
      <c r="J128" s="186">
        <f t="shared" si="366"/>
        <v>0.64850440608752602</v>
      </c>
      <c r="K128" s="186">
        <f t="shared" si="361"/>
        <v>0.84139460790012854</v>
      </c>
      <c r="L128" s="186">
        <f t="shared" si="361"/>
        <v>1.0461686783454414</v>
      </c>
      <c r="M128" s="186">
        <f t="shared" si="361"/>
        <v>1.2423738452190181</v>
      </c>
      <c r="N128" s="241"/>
      <c r="O128" s="186">
        <f t="shared" si="362"/>
        <v>0.60923770891438467</v>
      </c>
      <c r="P128" s="186">
        <f t="shared" si="362"/>
        <v>0.64854136839212595</v>
      </c>
      <c r="Q128" s="186">
        <f t="shared" si="362"/>
        <v>0.6995709084876961</v>
      </c>
      <c r="R128" s="186">
        <f t="shared" si="362"/>
        <v>0.6476760572601008</v>
      </c>
      <c r="S128" s="186">
        <f t="shared" si="362"/>
        <v>0.64850440608752602</v>
      </c>
      <c r="T128" s="303">
        <f t="shared" si="363"/>
        <v>0.84139460790012854</v>
      </c>
      <c r="U128" s="303">
        <f t="shared" si="363"/>
        <v>1.0461686783454414</v>
      </c>
      <c r="V128" s="303">
        <f t="shared" si="363"/>
        <v>1.2423738452190181</v>
      </c>
      <c r="W128" s="240"/>
      <c r="X128" s="186">
        <f>O128</f>
        <v>0.60923770891438467</v>
      </c>
      <c r="Y128" s="186">
        <f t="shared" ref="Y128" si="367">P128</f>
        <v>0.64854136839212595</v>
      </c>
      <c r="Z128" s="186">
        <f t="shared" ref="Z128" si="368">Q128</f>
        <v>0.6995709084876961</v>
      </c>
      <c r="AA128" s="186">
        <f t="shared" ref="AA128" si="369">R128</f>
        <v>0.6476760572601008</v>
      </c>
      <c r="AB128" s="186">
        <f t="shared" ref="AB128" si="370">S128</f>
        <v>0.64850440608752602</v>
      </c>
      <c r="AC128" s="303">
        <f t="shared" si="365"/>
        <v>2.1879384848012258</v>
      </c>
      <c r="AD128" s="303">
        <f t="shared" si="365"/>
        <v>6.5768517365071677</v>
      </c>
      <c r="AE128" s="303">
        <f t="shared" si="365"/>
        <v>12.396076014699451</v>
      </c>
      <c r="AF128" s="240"/>
      <c r="AG128" s="240"/>
      <c r="AH128" s="240"/>
      <c r="AI128" s="240"/>
      <c r="AJ128" s="240"/>
      <c r="AK128" s="240"/>
      <c r="AL128" s="240"/>
      <c r="AM128" s="240"/>
      <c r="AN128" s="240"/>
      <c r="AO128" s="240"/>
      <c r="AP128" s="240"/>
      <c r="AQ128" s="240"/>
      <c r="AR128" s="240"/>
      <c r="AS128" s="240"/>
      <c r="AT128" s="240"/>
      <c r="AU128" s="240"/>
    </row>
    <row r="129" spans="1:47">
      <c r="A129" s="185" t="s">
        <v>16</v>
      </c>
      <c r="C129" s="185" t="str">
        <f>C125</f>
        <v>Bus, minibus, metro rail</v>
      </c>
      <c r="D129" s="185" t="s">
        <v>136</v>
      </c>
      <c r="E129" s="186">
        <f t="shared" si="359"/>
        <v>132.8350634230103</v>
      </c>
      <c r="F129" s="186">
        <f t="shared" si="359"/>
        <v>135.33804769607482</v>
      </c>
      <c r="G129" s="186">
        <f t="shared" si="359"/>
        <v>125.01530875922427</v>
      </c>
      <c r="H129" s="186">
        <f t="shared" ref="H129:J129" si="371">H117+H121+H125</f>
        <v>127.87816586344641</v>
      </c>
      <c r="I129" s="186">
        <f t="shared" si="371"/>
        <v>130.1716808584155</v>
      </c>
      <c r="J129" s="186">
        <f t="shared" si="371"/>
        <v>132.02223531458702</v>
      </c>
      <c r="K129" s="186">
        <f t="shared" si="361"/>
        <v>134.415090645524</v>
      </c>
      <c r="L129" s="186">
        <f t="shared" si="361"/>
        <v>128.86813647995459</v>
      </c>
      <c r="M129" s="186">
        <f t="shared" si="361"/>
        <v>119.95282027416857</v>
      </c>
      <c r="N129" s="241"/>
      <c r="O129" s="186">
        <f t="shared" si="362"/>
        <v>135.33804769607482</v>
      </c>
      <c r="P129" s="186">
        <f t="shared" si="362"/>
        <v>125.01530875922427</v>
      </c>
      <c r="Q129" s="186">
        <f t="shared" si="362"/>
        <v>127.87816586344641</v>
      </c>
      <c r="R129" s="186">
        <f t="shared" si="362"/>
        <v>130.1716808584155</v>
      </c>
      <c r="S129" s="186">
        <f t="shared" si="362"/>
        <v>132.02223531458702</v>
      </c>
      <c r="T129" s="303">
        <f t="shared" si="363"/>
        <v>134.415090645524</v>
      </c>
      <c r="U129" s="303">
        <f t="shared" si="363"/>
        <v>128.86813647995459</v>
      </c>
      <c r="V129" s="303">
        <f t="shared" si="363"/>
        <v>119.95282027416857</v>
      </c>
      <c r="W129" s="240"/>
      <c r="X129" s="186">
        <f>X117+X121+X125</f>
        <v>135.33804769607482</v>
      </c>
      <c r="Y129" s="186">
        <f t="shared" ref="Y129:AB129" si="372">Y117+Y121+Y125</f>
        <v>125.01530875922427</v>
      </c>
      <c r="Z129" s="186">
        <f t="shared" si="372"/>
        <v>127.87816586344641</v>
      </c>
      <c r="AA129" s="186">
        <f t="shared" si="372"/>
        <v>130.1716808584155</v>
      </c>
      <c r="AB129" s="186">
        <f t="shared" si="372"/>
        <v>132.02223531458702</v>
      </c>
      <c r="AC129" s="303">
        <f t="shared" si="365"/>
        <v>135.29063224013433</v>
      </c>
      <c r="AD129" s="303">
        <f t="shared" si="365"/>
        <v>123.14296798187821</v>
      </c>
      <c r="AE129" s="303">
        <f t="shared" si="365"/>
        <v>97.109386054404936</v>
      </c>
      <c r="AF129" s="240"/>
      <c r="AG129" s="240"/>
      <c r="AH129" s="240"/>
      <c r="AI129" s="240"/>
      <c r="AJ129" s="240"/>
      <c r="AK129" s="240"/>
      <c r="AL129" s="240"/>
      <c r="AM129" s="240"/>
      <c r="AN129" s="240"/>
      <c r="AO129" s="240"/>
      <c r="AP129" s="240"/>
      <c r="AQ129" s="240"/>
      <c r="AR129" s="240"/>
      <c r="AS129" s="240"/>
      <c r="AT129" s="240"/>
      <c r="AU129" s="240"/>
    </row>
    <row r="130" spans="1:47">
      <c r="A130" s="185" t="s">
        <v>16</v>
      </c>
      <c r="L130" s="185"/>
      <c r="N130" s="40"/>
    </row>
    <row r="131" spans="1:47" ht="15.75" thickBot="1">
      <c r="A131" s="185" t="s">
        <v>16</v>
      </c>
      <c r="C131" s="227" t="s">
        <v>175</v>
      </c>
      <c r="E131" s="232"/>
      <c r="F131" s="296">
        <f>F$12</f>
        <v>2015</v>
      </c>
      <c r="G131" s="296">
        <f t="shared" ref="G131:M131" si="373">G$12</f>
        <v>2017</v>
      </c>
      <c r="H131" s="296">
        <f t="shared" si="373"/>
        <v>2019</v>
      </c>
      <c r="I131" s="296">
        <f t="shared" si="373"/>
        <v>2020</v>
      </c>
      <c r="J131" s="296">
        <f t="shared" si="373"/>
        <v>2021</v>
      </c>
      <c r="K131" s="296">
        <f t="shared" si="373"/>
        <v>2030</v>
      </c>
      <c r="L131" s="296">
        <f t="shared" si="373"/>
        <v>2040</v>
      </c>
      <c r="M131" s="296">
        <f t="shared" si="373"/>
        <v>2050</v>
      </c>
      <c r="N131" s="40"/>
      <c r="O131" s="296">
        <f>O$12</f>
        <v>2015</v>
      </c>
      <c r="P131" s="296">
        <f t="shared" ref="P131:V131" si="374">P$12</f>
        <v>2017</v>
      </c>
      <c r="Q131" s="296">
        <f t="shared" si="374"/>
        <v>2019</v>
      </c>
      <c r="R131" s="296">
        <f t="shared" si="374"/>
        <v>2020</v>
      </c>
      <c r="S131" s="296">
        <f t="shared" si="374"/>
        <v>2021</v>
      </c>
      <c r="T131" s="296">
        <f t="shared" si="374"/>
        <v>2030</v>
      </c>
      <c r="U131" s="296">
        <f t="shared" si="374"/>
        <v>2040</v>
      </c>
      <c r="V131" s="296">
        <f t="shared" si="374"/>
        <v>2050</v>
      </c>
      <c r="X131" s="185" t="s">
        <v>205</v>
      </c>
    </row>
    <row r="132" spans="1:47">
      <c r="A132" s="185" t="s">
        <v>16</v>
      </c>
      <c r="C132" s="228" t="s">
        <v>100</v>
      </c>
      <c r="E132" s="67">
        <f>[2]Calib_1011!M77</f>
        <v>0.8536700316236453</v>
      </c>
      <c r="F132" s="186">
        <f>IF($D$4,X132,O132)</f>
        <v>0.8536700316236453</v>
      </c>
      <c r="G132" s="186">
        <f t="shared" ref="G132:M134" si="375">IF($D$4,Y132,P132)</f>
        <v>0.79999999999999993</v>
      </c>
      <c r="H132" s="186">
        <f t="shared" si="375"/>
        <v>0.79999999999999993</v>
      </c>
      <c r="I132" s="186">
        <f t="shared" si="375"/>
        <v>0.79999999999999993</v>
      </c>
      <c r="J132" s="186">
        <f t="shared" si="375"/>
        <v>0.79999999999999993</v>
      </c>
      <c r="K132" s="186">
        <f t="shared" si="375"/>
        <v>0.79999999999999993</v>
      </c>
      <c r="L132" s="186">
        <f t="shared" si="375"/>
        <v>0.79999999999999993</v>
      </c>
      <c r="M132" s="186">
        <f t="shared" si="375"/>
        <v>0.79999999999999993</v>
      </c>
      <c r="N132" s="40"/>
      <c r="O132" s="231">
        <f>E132</f>
        <v>0.8536700316236453</v>
      </c>
      <c r="P132" s="231">
        <f t="shared" ref="P132" si="376">1-P133-P134</f>
        <v>0.79999999999999993</v>
      </c>
      <c r="Q132" s="231">
        <f t="shared" ref="Q132:V132" si="377">1-Q133-Q134</f>
        <v>0.79999999999999993</v>
      </c>
      <c r="R132" s="231">
        <f t="shared" si="377"/>
        <v>0.79999999999999993</v>
      </c>
      <c r="S132" s="231">
        <f t="shared" si="377"/>
        <v>0.79999999999999993</v>
      </c>
      <c r="T132" s="68">
        <f t="shared" si="377"/>
        <v>0.79999999999999993</v>
      </c>
      <c r="U132" s="68">
        <f t="shared" si="377"/>
        <v>0.79999999999999993</v>
      </c>
      <c r="V132" s="68">
        <f t="shared" si="377"/>
        <v>0.79999999999999993</v>
      </c>
      <c r="X132" s="231">
        <f>O132</f>
        <v>0.8536700316236453</v>
      </c>
      <c r="Y132" s="231">
        <f t="shared" ref="Y132:AB132" si="378">P132</f>
        <v>0.79999999999999993</v>
      </c>
      <c r="Z132" s="231">
        <f t="shared" si="378"/>
        <v>0.79999999999999993</v>
      </c>
      <c r="AA132" s="231">
        <f t="shared" si="378"/>
        <v>0.79999999999999993</v>
      </c>
      <c r="AB132" s="231">
        <f t="shared" si="378"/>
        <v>0.79999999999999993</v>
      </c>
      <c r="AC132" s="68">
        <f>1-AC133-AC134</f>
        <v>0.88</v>
      </c>
      <c r="AD132" s="68">
        <f>1-AD133-AD134</f>
        <v>0.89</v>
      </c>
      <c r="AE132" s="68">
        <f>1-AE133-AE134</f>
        <v>0.89</v>
      </c>
    </row>
    <row r="133" spans="1:47">
      <c r="A133" s="185" t="s">
        <v>16</v>
      </c>
      <c r="C133" s="228" t="s">
        <v>99</v>
      </c>
      <c r="E133" s="67">
        <f>[2]Calib_1011!M78</f>
        <v>0.10932215622366152</v>
      </c>
      <c r="F133" s="186">
        <f t="shared" ref="F133:F134" si="379">IF($D$4,X133,O133)</f>
        <v>0.14000000000000001</v>
      </c>
      <c r="G133" s="186">
        <f t="shared" si="375"/>
        <v>0.17</v>
      </c>
      <c r="H133" s="186">
        <f t="shared" si="375"/>
        <v>0.17</v>
      </c>
      <c r="I133" s="186">
        <f t="shared" si="375"/>
        <v>0.17</v>
      </c>
      <c r="J133" s="186">
        <f t="shared" si="375"/>
        <v>0.17</v>
      </c>
      <c r="K133" s="186">
        <f t="shared" si="375"/>
        <v>0.17</v>
      </c>
      <c r="L133" s="186">
        <f t="shared" si="375"/>
        <v>0.17</v>
      </c>
      <c r="M133" s="186">
        <f t="shared" si="375"/>
        <v>0.17</v>
      </c>
      <c r="N133" s="40"/>
      <c r="O133" s="346">
        <v>0.14000000000000001</v>
      </c>
      <c r="P133" s="346">
        <v>0.17</v>
      </c>
      <c r="Q133" s="231">
        <f t="shared" ref="Q133:V133" si="380">P133</f>
        <v>0.17</v>
      </c>
      <c r="R133" s="231">
        <f t="shared" si="380"/>
        <v>0.17</v>
      </c>
      <c r="S133" s="231">
        <f t="shared" si="380"/>
        <v>0.17</v>
      </c>
      <c r="T133" s="68">
        <f t="shared" si="380"/>
        <v>0.17</v>
      </c>
      <c r="U133" s="68">
        <f t="shared" si="380"/>
        <v>0.17</v>
      </c>
      <c r="V133" s="68">
        <f t="shared" si="380"/>
        <v>0.17</v>
      </c>
      <c r="X133" s="231">
        <f t="shared" ref="X133:X134" si="381">O133</f>
        <v>0.14000000000000001</v>
      </c>
      <c r="Y133" s="231">
        <f t="shared" ref="Y133:Y134" si="382">P133</f>
        <v>0.17</v>
      </c>
      <c r="Z133" s="231">
        <f t="shared" ref="Z133:Z134" si="383">Q133</f>
        <v>0.17</v>
      </c>
      <c r="AA133" s="231">
        <f t="shared" ref="AA133:AA134" si="384">R133</f>
        <v>0.17</v>
      </c>
      <c r="AB133" s="231">
        <f t="shared" ref="AB133:AB134" si="385">S133</f>
        <v>0.17</v>
      </c>
      <c r="AC133" s="76">
        <v>0.09</v>
      </c>
      <c r="AD133" s="76">
        <v>0.08</v>
      </c>
      <c r="AE133" s="68">
        <f>AD133</f>
        <v>0.08</v>
      </c>
    </row>
    <row r="134" spans="1:47">
      <c r="A134" s="185" t="s">
        <v>16</v>
      </c>
      <c r="C134" s="228" t="s">
        <v>176</v>
      </c>
      <c r="E134" s="324">
        <f>[2]Calib_1011!M79</f>
        <v>3.7007812152693054E-2</v>
      </c>
      <c r="F134" s="109">
        <f t="shared" si="379"/>
        <v>0.03</v>
      </c>
      <c r="G134" s="109">
        <f t="shared" si="375"/>
        <v>0.03</v>
      </c>
      <c r="H134" s="109">
        <f t="shared" si="375"/>
        <v>0.03</v>
      </c>
      <c r="I134" s="109">
        <f t="shared" si="375"/>
        <v>0.03</v>
      </c>
      <c r="J134" s="109">
        <f t="shared" si="375"/>
        <v>0.03</v>
      </c>
      <c r="K134" s="109">
        <f t="shared" si="375"/>
        <v>0.03</v>
      </c>
      <c r="L134" s="109">
        <f t="shared" si="375"/>
        <v>0.03</v>
      </c>
      <c r="M134" s="109">
        <f>IF($D$4,AE134,V134)</f>
        <v>0.03</v>
      </c>
      <c r="N134" s="40"/>
      <c r="O134" s="325">
        <v>0.03</v>
      </c>
      <c r="P134" s="325">
        <f>O134</f>
        <v>0.03</v>
      </c>
      <c r="Q134" s="231">
        <f t="shared" ref="Q134:V134" si="386">P134</f>
        <v>0.03</v>
      </c>
      <c r="R134" s="231">
        <f t="shared" si="386"/>
        <v>0.03</v>
      </c>
      <c r="S134" s="231">
        <f t="shared" si="386"/>
        <v>0.03</v>
      </c>
      <c r="T134" s="68">
        <f t="shared" si="386"/>
        <v>0.03</v>
      </c>
      <c r="U134" s="68">
        <f t="shared" si="386"/>
        <v>0.03</v>
      </c>
      <c r="V134" s="68">
        <f t="shared" si="386"/>
        <v>0.03</v>
      </c>
      <c r="X134" s="231">
        <f t="shared" si="381"/>
        <v>0.03</v>
      </c>
      <c r="Y134" s="231">
        <f t="shared" si="382"/>
        <v>0.03</v>
      </c>
      <c r="Z134" s="231">
        <f t="shared" si="383"/>
        <v>0.03</v>
      </c>
      <c r="AA134" s="231">
        <f t="shared" si="384"/>
        <v>0.03</v>
      </c>
      <c r="AB134" s="231">
        <f t="shared" si="385"/>
        <v>0.03</v>
      </c>
      <c r="AC134" s="68">
        <f>AA134</f>
        <v>0.03</v>
      </c>
      <c r="AD134" s="68">
        <f>AC134</f>
        <v>0.03</v>
      </c>
      <c r="AE134" s="68">
        <f>AD134</f>
        <v>0.03</v>
      </c>
    </row>
    <row r="135" spans="1:47">
      <c r="A135" s="185" t="s">
        <v>16</v>
      </c>
      <c r="C135" s="228"/>
      <c r="E135" s="232"/>
      <c r="F135" s="232"/>
      <c r="G135" s="232"/>
      <c r="I135" s="232"/>
      <c r="K135" s="232"/>
      <c r="L135" s="232"/>
      <c r="M135" s="232"/>
      <c r="N135" s="40"/>
      <c r="S135" s="281"/>
    </row>
    <row r="136" spans="1:47" ht="15.75" thickBot="1">
      <c r="A136" s="185" t="s">
        <v>16</v>
      </c>
      <c r="C136" s="227" t="s">
        <v>185</v>
      </c>
      <c r="E136" s="232"/>
      <c r="F136" s="232"/>
      <c r="G136" s="232"/>
      <c r="I136" s="232"/>
      <c r="K136" s="232"/>
      <c r="L136" s="232"/>
      <c r="M136" s="232"/>
      <c r="N136" s="40"/>
      <c r="S136" s="281"/>
      <c r="T136" s="285"/>
      <c r="U136" s="285"/>
      <c r="V136" s="285"/>
      <c r="W136" s="285"/>
    </row>
    <row r="137" spans="1:47">
      <c r="A137" s="185" t="s">
        <v>16</v>
      </c>
      <c r="C137" s="228" t="s">
        <v>62</v>
      </c>
      <c r="E137" s="67">
        <f>[2]Calib_1011!M71</f>
        <v>0.26825764964934912</v>
      </c>
      <c r="F137" s="186">
        <f t="shared" ref="F137:F139" si="387">IF($D$4,X137,O137)</f>
        <v>0.20812882482467454</v>
      </c>
      <c r="G137" s="186">
        <f t="shared" ref="G137:G139" si="388">IF($D$4,Y137,P137)</f>
        <v>0.14799999999999999</v>
      </c>
      <c r="H137" s="186">
        <f t="shared" ref="H137:H139" si="389">IF($D$4,Z137,Q137)</f>
        <v>0.14799999999999999</v>
      </c>
      <c r="I137" s="186">
        <f t="shared" ref="I137:I139" si="390">IF($D$4,AA137,R137)</f>
        <v>0.14799999999999999</v>
      </c>
      <c r="J137" s="186">
        <f t="shared" ref="J137:J139" si="391">IF($D$4,AB137,S137)</f>
        <v>0.14799999999999999</v>
      </c>
      <c r="K137" s="186">
        <f t="shared" ref="K137:K139" si="392">IF($D$4,AC137,T137)</f>
        <v>0.14800000000000002</v>
      </c>
      <c r="L137" s="186">
        <f t="shared" ref="L137:L139" si="393">IF($D$4,AD137,U137)</f>
        <v>0.14800000000000002</v>
      </c>
      <c r="M137" s="186">
        <f t="shared" ref="M137:M138" si="394">IF($D$4,AE137,V137)</f>
        <v>0.14800000000000002</v>
      </c>
      <c r="N137" s="40"/>
      <c r="O137" s="231">
        <f>AVERAGE(E137,P137)</f>
        <v>0.20812882482467454</v>
      </c>
      <c r="P137" s="231">
        <v>0.14799999999999999</v>
      </c>
      <c r="Q137" s="231">
        <f t="shared" ref="Q137:S139" si="395">P137</f>
        <v>0.14799999999999999</v>
      </c>
      <c r="R137" s="231">
        <f t="shared" si="395"/>
        <v>0.14799999999999999</v>
      </c>
      <c r="S137" s="231">
        <f t="shared" si="395"/>
        <v>0.14799999999999999</v>
      </c>
      <c r="T137" s="68">
        <f>1-T138-T139</f>
        <v>0.14800000000000002</v>
      </c>
      <c r="U137" s="68">
        <f>1-U138-U139</f>
        <v>0.14800000000000002</v>
      </c>
      <c r="V137" s="68">
        <f>1-V138-V139</f>
        <v>0.14800000000000002</v>
      </c>
      <c r="X137" s="231">
        <f>O137</f>
        <v>0.20812882482467454</v>
      </c>
      <c r="Y137" s="231">
        <f t="shared" ref="Y137:AB137" si="396">P137</f>
        <v>0.14799999999999999</v>
      </c>
      <c r="Z137" s="231">
        <f t="shared" si="396"/>
        <v>0.14799999999999999</v>
      </c>
      <c r="AA137" s="231">
        <f t="shared" si="396"/>
        <v>0.14799999999999999</v>
      </c>
      <c r="AB137" s="231">
        <f t="shared" si="396"/>
        <v>0.14799999999999999</v>
      </c>
      <c r="AC137" s="68">
        <f>1-AC138-AC139</f>
        <v>0.12199999999999997</v>
      </c>
      <c r="AD137" s="68">
        <f>1-AD138-AD139</f>
        <v>0.10199999999999997</v>
      </c>
      <c r="AE137" s="68">
        <f>1-AE138-AE139</f>
        <v>9.2591348397452117E-2</v>
      </c>
    </row>
    <row r="138" spans="1:47">
      <c r="A138" s="185" t="s">
        <v>16</v>
      </c>
      <c r="C138" s="228" t="s">
        <v>184</v>
      </c>
      <c r="E138" s="67">
        <f>[2]Calib_1011!M72</f>
        <v>0.61864357616651655</v>
      </c>
      <c r="F138" s="186">
        <f t="shared" si="387"/>
        <v>0.70082178808325835</v>
      </c>
      <c r="G138" s="186">
        <f t="shared" si="388"/>
        <v>0.78300000000000003</v>
      </c>
      <c r="H138" s="186">
        <f t="shared" si="389"/>
        <v>0.78300000000000003</v>
      </c>
      <c r="I138" s="186">
        <f t="shared" si="390"/>
        <v>0.78300000000000003</v>
      </c>
      <c r="J138" s="186">
        <f t="shared" si="391"/>
        <v>0.78300000000000003</v>
      </c>
      <c r="K138" s="186">
        <f t="shared" si="392"/>
        <v>0.78300000000000003</v>
      </c>
      <c r="L138" s="186">
        <f t="shared" si="393"/>
        <v>0.78300000000000003</v>
      </c>
      <c r="M138" s="186">
        <f t="shared" si="394"/>
        <v>0.78300000000000003</v>
      </c>
      <c r="N138" s="40"/>
      <c r="O138" s="231">
        <f t="shared" ref="O138" si="397">AVERAGE(E138,P138)</f>
        <v>0.70082178808325835</v>
      </c>
      <c r="P138" s="231">
        <v>0.78300000000000003</v>
      </c>
      <c r="Q138" s="231">
        <f t="shared" si="395"/>
        <v>0.78300000000000003</v>
      </c>
      <c r="R138" s="231">
        <f t="shared" si="395"/>
        <v>0.78300000000000003</v>
      </c>
      <c r="S138" s="231">
        <f t="shared" si="395"/>
        <v>0.78300000000000003</v>
      </c>
      <c r="T138" s="68">
        <f>R138</f>
        <v>0.78300000000000003</v>
      </c>
      <c r="U138" s="68">
        <f>T138</f>
        <v>0.78300000000000003</v>
      </c>
      <c r="V138" s="68">
        <f>U138</f>
        <v>0.78300000000000003</v>
      </c>
      <c r="X138" s="231">
        <f t="shared" ref="X138:X139" si="398">O138</f>
        <v>0.70082178808325835</v>
      </c>
      <c r="Y138" s="231">
        <f t="shared" ref="Y138:Y139" si="399">P138</f>
        <v>0.78300000000000003</v>
      </c>
      <c r="Z138" s="231">
        <f t="shared" ref="Z138:Z139" si="400">Q138</f>
        <v>0.78300000000000003</v>
      </c>
      <c r="AA138" s="231">
        <f t="shared" ref="AA138:AA139" si="401">R138</f>
        <v>0.78300000000000003</v>
      </c>
      <c r="AB138" s="231">
        <f t="shared" ref="AB138:AB139" si="402">S138</f>
        <v>0.78300000000000003</v>
      </c>
      <c r="AC138" s="68">
        <f>AA138</f>
        <v>0.78300000000000003</v>
      </c>
      <c r="AD138" s="68">
        <f>AC138</f>
        <v>0.78300000000000003</v>
      </c>
      <c r="AE138" s="68">
        <f>AD138</f>
        <v>0.78300000000000003</v>
      </c>
    </row>
    <row r="139" spans="1:47">
      <c r="A139" s="185" t="s">
        <v>16</v>
      </c>
      <c r="C139" s="228" t="s">
        <v>186</v>
      </c>
      <c r="E139" s="67">
        <f>[2]Calib_1011!M73</f>
        <v>0.1130987741841344</v>
      </c>
      <c r="F139" s="186">
        <f t="shared" si="387"/>
        <v>9.1049387092067169E-2</v>
      </c>
      <c r="G139" s="186">
        <f t="shared" si="388"/>
        <v>6.899999999999995E-2</v>
      </c>
      <c r="H139" s="186">
        <f t="shared" si="389"/>
        <v>6.899999999999995E-2</v>
      </c>
      <c r="I139" s="186">
        <f t="shared" si="390"/>
        <v>6.899999999999995E-2</v>
      </c>
      <c r="J139" s="186">
        <f t="shared" si="391"/>
        <v>6.899999999999995E-2</v>
      </c>
      <c r="K139" s="186">
        <f t="shared" si="392"/>
        <v>6.899999999999995E-2</v>
      </c>
      <c r="L139" s="186">
        <f t="shared" si="393"/>
        <v>6.899999999999995E-2</v>
      </c>
      <c r="M139" s="186">
        <f>IF($D$4,AE139,V139)</f>
        <v>6.899999999999995E-2</v>
      </c>
      <c r="N139" s="40"/>
      <c r="O139" s="231">
        <f>AVERAGE(E139,P139)</f>
        <v>9.1049387092067169E-2</v>
      </c>
      <c r="P139" s="231">
        <f>1-SUM(R137:R138)</f>
        <v>6.899999999999995E-2</v>
      </c>
      <c r="Q139" s="231">
        <f t="shared" si="395"/>
        <v>6.899999999999995E-2</v>
      </c>
      <c r="R139" s="231">
        <f t="shared" si="395"/>
        <v>6.899999999999995E-2</v>
      </c>
      <c r="S139" s="231">
        <f t="shared" si="395"/>
        <v>6.899999999999995E-2</v>
      </c>
      <c r="T139" s="68">
        <f>R139</f>
        <v>6.899999999999995E-2</v>
      </c>
      <c r="U139" s="68">
        <f>T139</f>
        <v>6.899999999999995E-2</v>
      </c>
      <c r="V139" s="68">
        <f>U139</f>
        <v>6.899999999999995E-2</v>
      </c>
      <c r="X139" s="231">
        <f t="shared" si="398"/>
        <v>9.1049387092067169E-2</v>
      </c>
      <c r="Y139" s="231">
        <f t="shared" si="399"/>
        <v>6.899999999999995E-2</v>
      </c>
      <c r="Z139" s="231">
        <f t="shared" si="400"/>
        <v>6.899999999999995E-2</v>
      </c>
      <c r="AA139" s="231">
        <f t="shared" si="401"/>
        <v>6.899999999999995E-2</v>
      </c>
      <c r="AB139" s="231">
        <f t="shared" si="402"/>
        <v>6.899999999999995E-2</v>
      </c>
      <c r="AC139" s="68">
        <v>9.5000000000000001E-2</v>
      </c>
      <c r="AD139" s="68">
        <v>0.115</v>
      </c>
      <c r="AE139" s="76">
        <f>E139*1.1</f>
        <v>0.12440865160254785</v>
      </c>
    </row>
    <row r="140" spans="1:47">
      <c r="A140" s="185" t="s">
        <v>16</v>
      </c>
      <c r="C140" s="228"/>
      <c r="E140" s="232"/>
      <c r="F140" s="232"/>
      <c r="G140" s="232"/>
      <c r="I140" s="232"/>
      <c r="K140" s="232"/>
      <c r="L140" s="232"/>
      <c r="M140" s="232"/>
      <c r="N140" s="40"/>
    </row>
    <row r="141" spans="1:47" ht="15.75" thickBot="1">
      <c r="A141" s="185" t="s">
        <v>16</v>
      </c>
      <c r="C141" s="227" t="s">
        <v>196</v>
      </c>
      <c r="D141" s="251">
        <f>INDEX($BI$4:$BI$7,MATCH($D$3,$BB$4:$BB$7,0))</f>
        <v>0</v>
      </c>
      <c r="E141" s="232"/>
      <c r="F141" s="232"/>
      <c r="G141" s="232"/>
      <c r="I141" s="232"/>
      <c r="K141" s="232"/>
      <c r="L141" s="232"/>
      <c r="M141" s="232"/>
      <c r="N141" s="40"/>
      <c r="X141" s="185" t="s">
        <v>206</v>
      </c>
    </row>
    <row r="142" spans="1:47">
      <c r="A142" s="185" t="s">
        <v>16</v>
      </c>
      <c r="C142" s="185" t="s">
        <v>62</v>
      </c>
      <c r="D142" s="185" t="s">
        <v>96</v>
      </c>
      <c r="E142" s="243">
        <f>[2]Calib_1011!$K$71</f>
        <v>25</v>
      </c>
      <c r="F142" s="186">
        <f t="shared" ref="F142:F144" si="403">IF($D$4,X142,O142)</f>
        <v>25</v>
      </c>
      <c r="G142" s="186">
        <f t="shared" ref="G142:G144" si="404">IF($D$4,Y142,P142)</f>
        <v>25</v>
      </c>
      <c r="H142" s="186">
        <f t="shared" ref="H142:H144" si="405">IF($D$4,Z142,Q142)</f>
        <v>25</v>
      </c>
      <c r="I142" s="186">
        <f t="shared" ref="I142:I144" si="406">IF($D$4,AA142,R142)</f>
        <v>25</v>
      </c>
      <c r="J142" s="186">
        <f t="shared" ref="J142:J144" si="407">IF($D$4,AB142,S142)</f>
        <v>25</v>
      </c>
      <c r="K142" s="186">
        <f t="shared" ref="K142:K144" si="408">IF($D$4,AC142,T142)</f>
        <v>25</v>
      </c>
      <c r="L142" s="186">
        <f t="shared" ref="L142:L144" si="409">IF($D$4,AD142,U142)</f>
        <v>25</v>
      </c>
      <c r="M142" s="186">
        <f t="shared" ref="M142:M143" si="410">IF($D$4,AE142,V142)</f>
        <v>25</v>
      </c>
      <c r="N142" s="244"/>
      <c r="O142" s="245">
        <f>E142</f>
        <v>25</v>
      </c>
      <c r="P142" s="245">
        <f t="shared" ref="P142:Q143" si="411">O142</f>
        <v>25</v>
      </c>
      <c r="Q142" s="245">
        <f>P142</f>
        <v>25</v>
      </c>
      <c r="R142" s="245">
        <f t="shared" ref="R142:V142" si="412">Q142</f>
        <v>25</v>
      </c>
      <c r="S142" s="245">
        <f t="shared" si="412"/>
        <v>25</v>
      </c>
      <c r="T142" s="60">
        <f t="shared" si="412"/>
        <v>25</v>
      </c>
      <c r="U142" s="60">
        <f t="shared" si="412"/>
        <v>25</v>
      </c>
      <c r="V142" s="60">
        <f t="shared" si="412"/>
        <v>25</v>
      </c>
      <c r="W142" s="246"/>
      <c r="X142" s="245">
        <f>O142</f>
        <v>25</v>
      </c>
      <c r="Y142" s="245">
        <f t="shared" ref="Y142:AB142" si="413">P142</f>
        <v>25</v>
      </c>
      <c r="Z142" s="245">
        <f t="shared" si="413"/>
        <v>25</v>
      </c>
      <c r="AA142" s="245">
        <f t="shared" si="413"/>
        <v>25</v>
      </c>
      <c r="AB142" s="245">
        <f t="shared" si="413"/>
        <v>25</v>
      </c>
      <c r="AC142" s="77">
        <f>AA142*(1+$D$141)</f>
        <v>25</v>
      </c>
      <c r="AD142" s="77">
        <f>AC142*(1+$D$141)</f>
        <v>25</v>
      </c>
      <c r="AE142" s="77">
        <f>AD142*(1+$D$141)</f>
        <v>25</v>
      </c>
      <c r="AF142" s="246"/>
      <c r="AG142" s="246"/>
      <c r="AH142" s="246"/>
      <c r="AI142" s="246"/>
      <c r="AJ142" s="246"/>
      <c r="AK142" s="246"/>
      <c r="AL142" s="246"/>
      <c r="AM142" s="246"/>
      <c r="AN142" s="246"/>
      <c r="AO142" s="246"/>
      <c r="AP142" s="246"/>
      <c r="AQ142" s="246"/>
      <c r="AR142" s="246"/>
      <c r="AS142" s="246"/>
      <c r="AT142" s="246"/>
      <c r="AU142" s="246"/>
    </row>
    <row r="143" spans="1:47">
      <c r="A143" s="185" t="s">
        <v>16</v>
      </c>
      <c r="C143" s="185" t="s">
        <v>184</v>
      </c>
      <c r="D143" s="185" t="s">
        <v>96</v>
      </c>
      <c r="E143" s="243">
        <f>[2]Calib_1011!$K$72</f>
        <v>14</v>
      </c>
      <c r="F143" s="186">
        <f t="shared" si="403"/>
        <v>14</v>
      </c>
      <c r="G143" s="186">
        <f t="shared" si="404"/>
        <v>14</v>
      </c>
      <c r="H143" s="186">
        <f t="shared" si="405"/>
        <v>14</v>
      </c>
      <c r="I143" s="186">
        <f t="shared" si="406"/>
        <v>14</v>
      </c>
      <c r="J143" s="186">
        <f t="shared" si="407"/>
        <v>14</v>
      </c>
      <c r="K143" s="186">
        <f t="shared" si="408"/>
        <v>14</v>
      </c>
      <c r="L143" s="186">
        <f t="shared" si="409"/>
        <v>14</v>
      </c>
      <c r="M143" s="186">
        <f t="shared" si="410"/>
        <v>14</v>
      </c>
      <c r="N143" s="244"/>
      <c r="O143" s="245">
        <f>E143</f>
        <v>14</v>
      </c>
      <c r="P143" s="245">
        <f t="shared" si="411"/>
        <v>14</v>
      </c>
      <c r="Q143" s="245">
        <f t="shared" si="411"/>
        <v>14</v>
      </c>
      <c r="R143" s="245">
        <f t="shared" ref="R143:V143" si="414">Q143</f>
        <v>14</v>
      </c>
      <c r="S143" s="245">
        <f t="shared" si="414"/>
        <v>14</v>
      </c>
      <c r="T143" s="60">
        <f t="shared" si="414"/>
        <v>14</v>
      </c>
      <c r="U143" s="60">
        <f t="shared" si="414"/>
        <v>14</v>
      </c>
      <c r="V143" s="60">
        <f t="shared" si="414"/>
        <v>14</v>
      </c>
      <c r="W143" s="246"/>
      <c r="X143" s="245">
        <f t="shared" ref="X143:X144" si="415">O143</f>
        <v>14</v>
      </c>
      <c r="Y143" s="245">
        <f t="shared" ref="Y143:Y144" si="416">P143</f>
        <v>14</v>
      </c>
      <c r="Z143" s="245">
        <f t="shared" ref="Z143:Z144" si="417">Q143</f>
        <v>14</v>
      </c>
      <c r="AA143" s="245">
        <f t="shared" ref="AA143:AA144" si="418">R143</f>
        <v>14</v>
      </c>
      <c r="AB143" s="245">
        <f t="shared" ref="AB143:AB144" si="419">S143</f>
        <v>14</v>
      </c>
      <c r="AC143" s="77">
        <f>AA143</f>
        <v>14</v>
      </c>
      <c r="AD143" s="77">
        <f>AC143</f>
        <v>14</v>
      </c>
      <c r="AE143" s="77">
        <f>AD143</f>
        <v>14</v>
      </c>
      <c r="AF143" s="246"/>
      <c r="AG143" s="246"/>
      <c r="AH143" s="246"/>
      <c r="AI143" s="246"/>
      <c r="AJ143" s="246"/>
      <c r="AK143" s="246"/>
      <c r="AL143" s="246"/>
      <c r="AM143" s="246"/>
      <c r="AN143" s="246"/>
      <c r="AO143" s="246"/>
      <c r="AP143" s="246"/>
      <c r="AQ143" s="246"/>
      <c r="AR143" s="246"/>
      <c r="AS143" s="246"/>
      <c r="AT143" s="246"/>
      <c r="AU143" s="246"/>
    </row>
    <row r="144" spans="1:47">
      <c r="A144" s="185" t="s">
        <v>16</v>
      </c>
      <c r="C144" s="185" t="s">
        <v>63</v>
      </c>
      <c r="D144" s="185" t="s">
        <v>96</v>
      </c>
      <c r="E144" s="243">
        <f>E142</f>
        <v>25</v>
      </c>
      <c r="F144" s="186">
        <f t="shared" si="403"/>
        <v>25</v>
      </c>
      <c r="G144" s="186">
        <f t="shared" si="404"/>
        <v>25</v>
      </c>
      <c r="H144" s="186">
        <f t="shared" si="405"/>
        <v>25</v>
      </c>
      <c r="I144" s="186">
        <f t="shared" si="406"/>
        <v>25</v>
      </c>
      <c r="J144" s="186">
        <f t="shared" si="407"/>
        <v>25</v>
      </c>
      <c r="K144" s="186">
        <f t="shared" si="408"/>
        <v>25</v>
      </c>
      <c r="L144" s="186">
        <f t="shared" si="409"/>
        <v>25</v>
      </c>
      <c r="M144" s="186">
        <f>IF($D$4,AE144,V144)</f>
        <v>25</v>
      </c>
      <c r="N144" s="244"/>
      <c r="O144" s="245">
        <f>E144</f>
        <v>25</v>
      </c>
      <c r="P144" s="245">
        <f>O144</f>
        <v>25</v>
      </c>
      <c r="Q144" s="245">
        <f t="shared" ref="Q144:V144" si="420">P144</f>
        <v>25</v>
      </c>
      <c r="R144" s="245">
        <f t="shared" si="420"/>
        <v>25</v>
      </c>
      <c r="S144" s="245">
        <f t="shared" si="420"/>
        <v>25</v>
      </c>
      <c r="T144" s="60">
        <f t="shared" si="420"/>
        <v>25</v>
      </c>
      <c r="U144" s="60">
        <f t="shared" si="420"/>
        <v>25</v>
      </c>
      <c r="V144" s="60">
        <f t="shared" si="420"/>
        <v>25</v>
      </c>
      <c r="W144" s="246"/>
      <c r="X144" s="245">
        <f t="shared" si="415"/>
        <v>25</v>
      </c>
      <c r="Y144" s="245">
        <f t="shared" si="416"/>
        <v>25</v>
      </c>
      <c r="Z144" s="245">
        <f t="shared" si="417"/>
        <v>25</v>
      </c>
      <c r="AA144" s="245">
        <f t="shared" si="418"/>
        <v>25</v>
      </c>
      <c r="AB144" s="245">
        <f t="shared" si="419"/>
        <v>25</v>
      </c>
      <c r="AC144" s="77">
        <f>AA144*(1+$D$141)</f>
        <v>25</v>
      </c>
      <c r="AD144" s="77">
        <f>AC144*(1+$D$141)</f>
        <v>25</v>
      </c>
      <c r="AE144" s="77">
        <f>AD144*(1+$D$141)</f>
        <v>25</v>
      </c>
      <c r="AF144" s="246"/>
      <c r="AG144" s="246"/>
      <c r="AH144" s="246"/>
      <c r="AI144" s="246"/>
      <c r="AJ144" s="246"/>
      <c r="AK144" s="246"/>
      <c r="AL144" s="246"/>
      <c r="AM144" s="246"/>
      <c r="AN144" s="246"/>
      <c r="AO144" s="246"/>
      <c r="AP144" s="246"/>
      <c r="AQ144" s="246"/>
      <c r="AR144" s="246"/>
      <c r="AS144" s="246"/>
      <c r="AT144" s="246"/>
      <c r="AU144" s="246"/>
    </row>
    <row r="145" spans="1:47">
      <c r="A145" s="185" t="s">
        <v>16</v>
      </c>
      <c r="C145" s="228"/>
      <c r="E145" s="232"/>
      <c r="F145" s="232"/>
      <c r="G145" s="232"/>
      <c r="I145" s="232"/>
      <c r="K145" s="232"/>
      <c r="L145" s="232"/>
      <c r="M145" s="232"/>
      <c r="N145" s="40"/>
    </row>
    <row r="146" spans="1:47">
      <c r="A146" s="185" t="s">
        <v>16</v>
      </c>
      <c r="L146" s="185"/>
      <c r="N146" s="40"/>
    </row>
    <row r="147" spans="1:47">
      <c r="A147" s="185" t="s">
        <v>16</v>
      </c>
      <c r="E147" s="30"/>
      <c r="F147" s="30"/>
      <c r="G147" s="30"/>
      <c r="I147" s="30"/>
      <c r="K147" s="30"/>
      <c r="L147" s="30"/>
      <c r="M147" s="30"/>
      <c r="N147" s="244"/>
      <c r="O147" s="246" t="str">
        <f>O11</f>
        <v>Reference</v>
      </c>
      <c r="R147" s="246"/>
      <c r="T147" s="246"/>
      <c r="U147" s="246"/>
      <c r="V147" s="246"/>
      <c r="W147" s="246"/>
      <c r="X147" s="246" t="str">
        <f>X11</f>
        <v>Scenario</v>
      </c>
      <c r="AA147" s="246"/>
      <c r="AB147" s="246"/>
      <c r="AD147" s="246"/>
      <c r="AE147" s="246"/>
      <c r="AF147" s="246"/>
      <c r="AN147" s="246"/>
      <c r="AO147" s="246"/>
      <c r="AP147" s="246"/>
      <c r="AQ147" s="246"/>
      <c r="AR147" s="246"/>
      <c r="AS147" s="246"/>
      <c r="AT147" s="246"/>
      <c r="AU147" s="246"/>
    </row>
    <row r="148" spans="1:47" ht="15.75" thickBot="1">
      <c r="A148" s="185" t="s">
        <v>16</v>
      </c>
      <c r="C148" s="227" t="s">
        <v>142</v>
      </c>
      <c r="D148" s="227"/>
      <c r="E148" s="7">
        <v>2012</v>
      </c>
      <c r="F148" s="7">
        <f>F4</f>
        <v>2015</v>
      </c>
      <c r="G148" s="7">
        <f t="shared" ref="G148:M148" si="421">G4</f>
        <v>2017</v>
      </c>
      <c r="H148" s="7">
        <f t="shared" si="421"/>
        <v>2019</v>
      </c>
      <c r="I148" s="7">
        <f t="shared" si="421"/>
        <v>2020</v>
      </c>
      <c r="J148" s="7">
        <f t="shared" si="421"/>
        <v>2021</v>
      </c>
      <c r="K148" s="7">
        <f t="shared" si="421"/>
        <v>2030</v>
      </c>
      <c r="L148" s="7">
        <f t="shared" si="421"/>
        <v>2040</v>
      </c>
      <c r="M148" s="7">
        <f t="shared" si="421"/>
        <v>2050</v>
      </c>
      <c r="N148" s="244"/>
      <c r="O148" s="296">
        <f>O$12</f>
        <v>2015</v>
      </c>
      <c r="P148" s="296">
        <f t="shared" ref="P148:V148" si="422">P$12</f>
        <v>2017</v>
      </c>
      <c r="Q148" s="296">
        <f t="shared" si="422"/>
        <v>2019</v>
      </c>
      <c r="R148" s="296">
        <f t="shared" si="422"/>
        <v>2020</v>
      </c>
      <c r="S148" s="296">
        <f t="shared" si="422"/>
        <v>2021</v>
      </c>
      <c r="T148" s="296">
        <f t="shared" si="422"/>
        <v>2030</v>
      </c>
      <c r="U148" s="296">
        <f t="shared" si="422"/>
        <v>2040</v>
      </c>
      <c r="V148" s="296">
        <f t="shared" si="422"/>
        <v>2050</v>
      </c>
      <c r="W148" s="246"/>
      <c r="X148" s="296">
        <f>X$12</f>
        <v>2015</v>
      </c>
      <c r="Y148" s="296">
        <f t="shared" ref="Y148:AE148" si="423">Y$12</f>
        <v>2017</v>
      </c>
      <c r="Z148" s="296">
        <f t="shared" si="423"/>
        <v>2019</v>
      </c>
      <c r="AA148" s="296">
        <f t="shared" si="423"/>
        <v>2020</v>
      </c>
      <c r="AB148" s="296">
        <f t="shared" si="423"/>
        <v>2021</v>
      </c>
      <c r="AC148" s="296">
        <f t="shared" si="423"/>
        <v>2030</v>
      </c>
      <c r="AD148" s="296">
        <f t="shared" si="423"/>
        <v>2040</v>
      </c>
      <c r="AE148" s="296">
        <f t="shared" si="423"/>
        <v>2050</v>
      </c>
      <c r="AF148" s="246"/>
      <c r="AN148" s="246"/>
      <c r="AO148" s="246"/>
      <c r="AP148" s="246"/>
      <c r="AQ148" s="246"/>
      <c r="AR148" s="246"/>
      <c r="AS148" s="246"/>
      <c r="AT148" s="246"/>
      <c r="AU148" s="246"/>
    </row>
    <row r="149" spans="1:47">
      <c r="A149" s="185" t="s">
        <v>16</v>
      </c>
      <c r="B149" s="185" t="s">
        <v>128</v>
      </c>
      <c r="C149" s="185" t="s">
        <v>102</v>
      </c>
      <c r="D149" s="185" t="s">
        <v>86</v>
      </c>
      <c r="E149" s="298">
        <f t="shared" ref="E149" si="424">E132*E$111</f>
        <v>77.614189675901358</v>
      </c>
      <c r="F149" s="50">
        <f t="shared" ref="F149:F156" si="425">IF($D$4,X149,O149)</f>
        <v>80.780869704812559</v>
      </c>
      <c r="G149" s="50">
        <f t="shared" ref="G149:G156" si="426">IF($D$4,Y149,P149)</f>
        <v>80.152552888362095</v>
      </c>
      <c r="H149" s="50">
        <f t="shared" ref="H149:H156" si="427">IF($D$4,Z149,Q149)</f>
        <v>84.125623680017213</v>
      </c>
      <c r="I149" s="50">
        <f t="shared" ref="I149:I156" si="428">IF($D$4,AA149,R149)</f>
        <v>78.575402784147585</v>
      </c>
      <c r="J149" s="50">
        <f t="shared" ref="J149:J156" si="429">IF($D$4,AB149,S149)</f>
        <v>79.324692031817534</v>
      </c>
      <c r="K149" s="50">
        <f t="shared" ref="K149:K156" si="430">IF($D$4,AC149,T149)</f>
        <v>103.01164056617978</v>
      </c>
      <c r="L149" s="50">
        <f t="shared" ref="L149:L156" si="431">IF($D$4,AD149,U149)</f>
        <v>133.05285823121142</v>
      </c>
      <c r="M149" s="50">
        <f t="shared" ref="M149:M156" si="432">IF($D$4,AE149,V149)</f>
        <v>163.53710007497739</v>
      </c>
      <c r="N149" s="247" t="str">
        <f t="shared" ref="N149:N156" si="433">C149</f>
        <v>Car Priv.Veh. Vehicle km</v>
      </c>
      <c r="O149" s="229">
        <f>O132*O$111</f>
        <v>80.780869704812559</v>
      </c>
      <c r="P149" s="233">
        <f t="shared" ref="P149:S149" si="434">P132*P$111</f>
        <v>80.152552888362095</v>
      </c>
      <c r="Q149" s="233">
        <f>Q132*Q$111</f>
        <v>84.125623680017213</v>
      </c>
      <c r="R149" s="233">
        <f t="shared" si="434"/>
        <v>78.575402784147585</v>
      </c>
      <c r="S149" s="233">
        <f t="shared" si="434"/>
        <v>79.324692031817534</v>
      </c>
      <c r="T149" s="304">
        <f t="shared" ref="T149:V151" si="435">T132*T$111</f>
        <v>103.01164056617978</v>
      </c>
      <c r="U149" s="304">
        <f t="shared" si="435"/>
        <v>133.05285823121142</v>
      </c>
      <c r="V149" s="304">
        <f t="shared" si="435"/>
        <v>163.53710007497739</v>
      </c>
      <c r="W149" s="233"/>
      <c r="X149" s="233">
        <f>O149</f>
        <v>80.780869704812559</v>
      </c>
      <c r="Y149" s="233">
        <f t="shared" ref="Y149:AB149" si="436">P149</f>
        <v>80.152552888362095</v>
      </c>
      <c r="Z149" s="233">
        <f t="shared" si="436"/>
        <v>84.125623680017213</v>
      </c>
      <c r="AA149" s="233">
        <f t="shared" si="436"/>
        <v>78.575402784147585</v>
      </c>
      <c r="AB149" s="233">
        <f t="shared" si="436"/>
        <v>79.324692031817534</v>
      </c>
      <c r="AC149" s="233" t="e">
        <f t="shared" ref="AC149:AE151" si="437">AC161/AC$36</f>
        <v>#N/A</v>
      </c>
      <c r="AD149" s="233" t="e">
        <f t="shared" si="437"/>
        <v>#N/A</v>
      </c>
      <c r="AE149" s="233" t="e">
        <f t="shared" si="437"/>
        <v>#N/A</v>
      </c>
      <c r="AF149" s="233"/>
      <c r="AG149" s="233"/>
      <c r="AH149" s="233"/>
      <c r="AN149" s="233"/>
      <c r="AO149" s="233"/>
      <c r="AP149" s="233"/>
      <c r="AQ149" s="233"/>
      <c r="AR149" s="233"/>
      <c r="AS149" s="233"/>
      <c r="AT149" s="233"/>
      <c r="AU149" s="233"/>
    </row>
    <row r="150" spans="1:47">
      <c r="A150" s="185" t="s">
        <v>16</v>
      </c>
      <c r="B150" s="185" t="s">
        <v>127</v>
      </c>
      <c r="C150" s="185" t="s">
        <v>101</v>
      </c>
      <c r="D150" s="185" t="s">
        <v>86</v>
      </c>
      <c r="E150" s="298">
        <f t="shared" ref="E150" si="438">E133*E$111</f>
        <v>9.939379683721306</v>
      </c>
      <c r="F150" s="347">
        <f t="shared" si="425"/>
        <v>13.247884240663684</v>
      </c>
      <c r="G150" s="50">
        <f t="shared" si="426"/>
        <v>17.032417488776947</v>
      </c>
      <c r="H150" s="50">
        <f t="shared" si="427"/>
        <v>17.87669503200366</v>
      </c>
      <c r="I150" s="50">
        <f t="shared" si="428"/>
        <v>16.697273091631363</v>
      </c>
      <c r="J150" s="50">
        <f t="shared" si="429"/>
        <v>16.856497056761228</v>
      </c>
      <c r="K150" s="50">
        <f t="shared" si="430"/>
        <v>21.889973620313206</v>
      </c>
      <c r="L150" s="50">
        <f t="shared" si="431"/>
        <v>28.273732374132432</v>
      </c>
      <c r="M150" s="50">
        <f t="shared" si="432"/>
        <v>34.751633765932695</v>
      </c>
      <c r="N150" s="247" t="str">
        <f t="shared" si="433"/>
        <v>SUV Priv.Veh. Vehicle km</v>
      </c>
      <c r="O150" s="233">
        <f>O133*O$111</f>
        <v>13.247884240663684</v>
      </c>
      <c r="P150" s="233">
        <f t="shared" ref="P150:S150" si="439">P133*P$111</f>
        <v>17.032417488776947</v>
      </c>
      <c r="Q150" s="233">
        <f t="shared" si="439"/>
        <v>17.87669503200366</v>
      </c>
      <c r="R150" s="233">
        <f t="shared" si="439"/>
        <v>16.697273091631363</v>
      </c>
      <c r="S150" s="233">
        <f t="shared" si="439"/>
        <v>16.856497056761228</v>
      </c>
      <c r="T150" s="304">
        <f t="shared" si="435"/>
        <v>21.889973620313206</v>
      </c>
      <c r="U150" s="304">
        <f t="shared" si="435"/>
        <v>28.273732374132432</v>
      </c>
      <c r="V150" s="304">
        <f t="shared" si="435"/>
        <v>34.751633765932695</v>
      </c>
      <c r="W150" s="233"/>
      <c r="X150" s="233">
        <f t="shared" ref="X150:X156" si="440">O150</f>
        <v>13.247884240663684</v>
      </c>
      <c r="Y150" s="233">
        <f t="shared" ref="Y150:Y156" si="441">P150</f>
        <v>17.032417488776947</v>
      </c>
      <c r="Z150" s="233">
        <f t="shared" ref="Z150:Z156" si="442">Q150</f>
        <v>17.87669503200366</v>
      </c>
      <c r="AA150" s="233">
        <f t="shared" ref="AA150:AA156" si="443">R150</f>
        <v>16.697273091631363</v>
      </c>
      <c r="AB150" s="233">
        <f t="shared" ref="AB150:AB156" si="444">S150</f>
        <v>16.856497056761228</v>
      </c>
      <c r="AC150" s="233" t="e">
        <f t="shared" si="437"/>
        <v>#N/A</v>
      </c>
      <c r="AD150" s="233" t="e">
        <f t="shared" si="437"/>
        <v>#N/A</v>
      </c>
      <c r="AE150" s="233" t="e">
        <f t="shared" si="437"/>
        <v>#N/A</v>
      </c>
      <c r="AF150" s="240"/>
      <c r="AN150" s="233"/>
      <c r="AO150" s="233"/>
      <c r="AP150" s="233"/>
      <c r="AQ150" s="233"/>
      <c r="AR150" s="233"/>
      <c r="AS150" s="233"/>
      <c r="AT150" s="233"/>
      <c r="AU150" s="233"/>
    </row>
    <row r="151" spans="1:47">
      <c r="A151" s="185" t="s">
        <v>16</v>
      </c>
      <c r="B151" s="185" t="s">
        <v>183</v>
      </c>
      <c r="C151" s="185" t="s">
        <v>187</v>
      </c>
      <c r="D151" s="185" t="s">
        <v>86</v>
      </c>
      <c r="E151" s="298">
        <f>E134*E$111</f>
        <v>3.3646857046699763</v>
      </c>
      <c r="F151" s="50">
        <f t="shared" si="425"/>
        <v>2.838832337285075</v>
      </c>
      <c r="G151" s="50">
        <f t="shared" si="426"/>
        <v>3.0057207333135785</v>
      </c>
      <c r="H151" s="50">
        <f t="shared" si="427"/>
        <v>3.1547108880006456</v>
      </c>
      <c r="I151" s="50">
        <f t="shared" si="428"/>
        <v>2.9465776044055345</v>
      </c>
      <c r="J151" s="50">
        <f t="shared" si="429"/>
        <v>2.9746759511931575</v>
      </c>
      <c r="K151" s="50">
        <f t="shared" si="430"/>
        <v>3.8629365212317421</v>
      </c>
      <c r="L151" s="50">
        <f t="shared" si="431"/>
        <v>4.9894821836704288</v>
      </c>
      <c r="M151" s="50">
        <f t="shared" si="432"/>
        <v>6.1326412528116521</v>
      </c>
      <c r="N151" s="247" t="str">
        <f t="shared" si="433"/>
        <v>Motorbikes Priv.Veh. Vehicle km</v>
      </c>
      <c r="O151" s="233">
        <f>O134*O$111</f>
        <v>2.838832337285075</v>
      </c>
      <c r="P151" s="233">
        <f t="shared" ref="P151:S151" si="445">P134*P$111</f>
        <v>3.0057207333135785</v>
      </c>
      <c r="Q151" s="233">
        <f t="shared" si="445"/>
        <v>3.1547108880006456</v>
      </c>
      <c r="R151" s="233">
        <f t="shared" si="445"/>
        <v>2.9465776044055345</v>
      </c>
      <c r="S151" s="233">
        <f t="shared" si="445"/>
        <v>2.9746759511931575</v>
      </c>
      <c r="T151" s="304">
        <f t="shared" si="435"/>
        <v>3.8629365212317421</v>
      </c>
      <c r="U151" s="304">
        <f t="shared" si="435"/>
        <v>4.9894821836704288</v>
      </c>
      <c r="V151" s="304">
        <f t="shared" si="435"/>
        <v>6.1326412528116521</v>
      </c>
      <c r="W151" s="233"/>
      <c r="X151" s="233">
        <f t="shared" si="440"/>
        <v>2.838832337285075</v>
      </c>
      <c r="Y151" s="233">
        <f t="shared" si="441"/>
        <v>3.0057207333135785</v>
      </c>
      <c r="Z151" s="233">
        <f t="shared" si="442"/>
        <v>3.1547108880006456</v>
      </c>
      <c r="AA151" s="233">
        <f t="shared" si="443"/>
        <v>2.9465776044055345</v>
      </c>
      <c r="AB151" s="233">
        <f t="shared" si="444"/>
        <v>2.9746759511931575</v>
      </c>
      <c r="AC151" s="233" t="e">
        <f t="shared" si="437"/>
        <v>#N/A</v>
      </c>
      <c r="AD151" s="233" t="e">
        <f t="shared" si="437"/>
        <v>#N/A</v>
      </c>
      <c r="AE151" s="233" t="e">
        <f t="shared" si="437"/>
        <v>#N/A</v>
      </c>
      <c r="AF151" s="233"/>
      <c r="AG151" s="233"/>
      <c r="AH151" s="233"/>
      <c r="AJ151" s="246"/>
      <c r="AK151" s="233"/>
      <c r="AL151" s="233"/>
      <c r="AM151" s="233"/>
      <c r="AN151" s="233"/>
      <c r="AO151" s="233"/>
      <c r="AP151" s="233"/>
      <c r="AQ151" s="233"/>
      <c r="AR151" s="233"/>
      <c r="AS151" s="233"/>
      <c r="AT151" s="233"/>
      <c r="AU151" s="233"/>
    </row>
    <row r="152" spans="1:47">
      <c r="A152" s="185" t="s">
        <v>16</v>
      </c>
      <c r="B152" s="185" t="s">
        <v>129</v>
      </c>
      <c r="C152" s="185" t="s">
        <v>87</v>
      </c>
      <c r="D152" s="185" t="s">
        <v>86</v>
      </c>
      <c r="E152" s="298">
        <v>0.61799148971758899</v>
      </c>
      <c r="F152" s="50">
        <f t="shared" si="425"/>
        <v>1.1267099528419922</v>
      </c>
      <c r="G152" s="50">
        <f t="shared" si="426"/>
        <v>0.74009062785460766</v>
      </c>
      <c r="H152" s="50">
        <f t="shared" si="427"/>
        <v>0.7570387419116027</v>
      </c>
      <c r="I152" s="50">
        <f t="shared" si="428"/>
        <v>0.77061635068181966</v>
      </c>
      <c r="J152" s="50">
        <f t="shared" si="429"/>
        <v>0.78157163306235522</v>
      </c>
      <c r="K152" s="50">
        <f t="shared" si="430"/>
        <v>0.79573733662150214</v>
      </c>
      <c r="L152" s="50">
        <f t="shared" si="431"/>
        <v>0.76289936796133118</v>
      </c>
      <c r="M152" s="50">
        <f t="shared" si="432"/>
        <v>0.71012069602307804</v>
      </c>
      <c r="N152" s="247" t="str">
        <f t="shared" si="433"/>
        <v>Bus vehicle km</v>
      </c>
      <c r="O152" s="233">
        <f>O137*O$129/O142</f>
        <v>1.1267099528419922</v>
      </c>
      <c r="P152" s="233">
        <f t="shared" ref="P152:S152" si="446">P137*P$129/P142</f>
        <v>0.74009062785460766</v>
      </c>
      <c r="Q152" s="233">
        <f t="shared" si="446"/>
        <v>0.7570387419116027</v>
      </c>
      <c r="R152" s="233">
        <f t="shared" si="446"/>
        <v>0.77061635068181966</v>
      </c>
      <c r="S152" s="233">
        <f t="shared" si="446"/>
        <v>0.78157163306235522</v>
      </c>
      <c r="T152" s="304">
        <f t="shared" ref="T152:V153" si="447">T137*T$129/T142</f>
        <v>0.79573733662150214</v>
      </c>
      <c r="U152" s="304">
        <f t="shared" si="447"/>
        <v>0.76289936796133118</v>
      </c>
      <c r="V152" s="304">
        <f t="shared" si="447"/>
        <v>0.71012069602307804</v>
      </c>
      <c r="W152" s="233"/>
      <c r="X152" s="233">
        <f t="shared" si="440"/>
        <v>1.1267099528419922</v>
      </c>
      <c r="Y152" s="233">
        <f t="shared" si="441"/>
        <v>0.74009062785460766</v>
      </c>
      <c r="Z152" s="233">
        <f t="shared" si="442"/>
        <v>0.7570387419116027</v>
      </c>
      <c r="AA152" s="233">
        <f t="shared" si="443"/>
        <v>0.77061635068181966</v>
      </c>
      <c r="AB152" s="233">
        <f t="shared" si="444"/>
        <v>0.78157163306235522</v>
      </c>
      <c r="AC152" s="233" t="e">
        <f>AC164/AC142</f>
        <v>#N/A</v>
      </c>
      <c r="AD152" s="233" t="e">
        <f t="shared" ref="AD152:AE152" si="448">AD164/AD142</f>
        <v>#N/A</v>
      </c>
      <c r="AE152" s="233" t="e">
        <f t="shared" si="448"/>
        <v>#N/A</v>
      </c>
      <c r="AF152" s="233"/>
      <c r="AG152" s="233"/>
      <c r="AH152" s="233"/>
      <c r="AJ152" s="246"/>
      <c r="AK152" s="233"/>
      <c r="AL152" s="233"/>
      <c r="AM152" s="233"/>
      <c r="AN152" s="233"/>
      <c r="AO152" s="233"/>
      <c r="AP152" s="233"/>
      <c r="AQ152" s="233"/>
      <c r="AR152" s="233"/>
      <c r="AS152" s="233"/>
      <c r="AT152" s="233"/>
      <c r="AU152" s="233"/>
    </row>
    <row r="153" spans="1:47">
      <c r="A153" s="185" t="s">
        <v>16</v>
      </c>
      <c r="B153" s="185" t="s">
        <v>130</v>
      </c>
      <c r="C153" s="185" t="s">
        <v>88</v>
      </c>
      <c r="D153" s="185" t="s">
        <v>86</v>
      </c>
      <c r="E153" s="298">
        <f t="shared" ref="E153" si="449">E138*E$129/E143</f>
        <v>5.8698256197369378</v>
      </c>
      <c r="F153" s="50">
        <f t="shared" si="425"/>
        <v>6.7748466130043186</v>
      </c>
      <c r="G153" s="328">
        <f t="shared" si="426"/>
        <v>6.9919276256051859</v>
      </c>
      <c r="H153" s="328">
        <f t="shared" si="427"/>
        <v>7.1520431336484673</v>
      </c>
      <c r="I153" s="50">
        <f t="shared" si="428"/>
        <v>7.2803161508670957</v>
      </c>
      <c r="J153" s="50">
        <f t="shared" si="429"/>
        <v>7.3838150179515463</v>
      </c>
      <c r="K153" s="50">
        <f t="shared" si="430"/>
        <v>7.5176439982460925</v>
      </c>
      <c r="L153" s="50">
        <f t="shared" si="431"/>
        <v>7.2074107759860322</v>
      </c>
      <c r="M153" s="50">
        <f t="shared" si="432"/>
        <v>6.7087898767624283</v>
      </c>
      <c r="N153" s="247" t="str">
        <f t="shared" si="433"/>
        <v>Minibus vehicle km</v>
      </c>
      <c r="O153" s="233">
        <f>O138*O$129/O143</f>
        <v>6.7748466130043186</v>
      </c>
      <c r="P153" s="233">
        <f t="shared" ref="P153:S153" si="450">P138*P$129/P143</f>
        <v>6.9919276256051859</v>
      </c>
      <c r="Q153" s="233">
        <f t="shared" si="450"/>
        <v>7.1520431336484673</v>
      </c>
      <c r="R153" s="233">
        <f t="shared" si="450"/>
        <v>7.2803161508670957</v>
      </c>
      <c r="S153" s="233">
        <f t="shared" si="450"/>
        <v>7.3838150179515463</v>
      </c>
      <c r="T153" s="304">
        <f t="shared" si="447"/>
        <v>7.5176439982460925</v>
      </c>
      <c r="U153" s="304">
        <f t="shared" si="447"/>
        <v>7.2074107759860322</v>
      </c>
      <c r="V153" s="304">
        <f t="shared" si="447"/>
        <v>6.7087898767624283</v>
      </c>
      <c r="W153" s="233"/>
      <c r="X153" s="233">
        <f t="shared" si="440"/>
        <v>6.7748466130043186</v>
      </c>
      <c r="Y153" s="233">
        <f t="shared" si="441"/>
        <v>6.9919276256051859</v>
      </c>
      <c r="Z153" s="233">
        <f t="shared" si="442"/>
        <v>7.1520431336484673</v>
      </c>
      <c r="AA153" s="233">
        <f t="shared" si="443"/>
        <v>7.2803161508670957</v>
      </c>
      <c r="AB153" s="233">
        <f t="shared" si="444"/>
        <v>7.3838150179515463</v>
      </c>
      <c r="AC153" s="233" t="e">
        <f>AC165/AC143</f>
        <v>#N/A</v>
      </c>
      <c r="AD153" s="233" t="e">
        <f t="shared" ref="AD153:AE153" si="451">AD165/AD143</f>
        <v>#N/A</v>
      </c>
      <c r="AE153" s="233" t="e">
        <f t="shared" si="451"/>
        <v>#N/A</v>
      </c>
      <c r="AF153" s="233"/>
      <c r="AG153" s="233"/>
      <c r="AH153" s="233"/>
      <c r="AJ153" s="233"/>
      <c r="AK153" s="233"/>
      <c r="AL153" s="233"/>
      <c r="AM153" s="233"/>
      <c r="AN153" s="233"/>
      <c r="AO153" s="233"/>
      <c r="AP153" s="233"/>
      <c r="AQ153" s="233"/>
      <c r="AR153" s="233"/>
      <c r="AS153" s="233"/>
      <c r="AT153" s="233"/>
      <c r="AU153" s="233"/>
    </row>
    <row r="154" spans="1:47">
      <c r="A154" s="185" t="s">
        <v>16</v>
      </c>
      <c r="B154" s="185" t="s">
        <v>131</v>
      </c>
      <c r="C154" s="185" t="s">
        <v>89</v>
      </c>
      <c r="D154" s="185" t="s">
        <v>86</v>
      </c>
      <c r="E154" s="298">
        <f t="shared" ref="E154" si="452">E$127/E144</f>
        <v>2.1087742850167138E-2</v>
      </c>
      <c r="F154" s="50">
        <f t="shared" si="425"/>
        <v>3.2055500417449041E-2</v>
      </c>
      <c r="G154" s="50">
        <f t="shared" si="426"/>
        <v>6.2982743372587108E-2</v>
      </c>
      <c r="H154" s="50">
        <f t="shared" si="427"/>
        <v>0.10097884850612647</v>
      </c>
      <c r="I154" s="50">
        <f t="shared" si="428"/>
        <v>0.10238010429217448</v>
      </c>
      <c r="J154" s="50">
        <f t="shared" si="429"/>
        <v>0.2942392564401286</v>
      </c>
      <c r="K154" s="50">
        <f t="shared" si="430"/>
        <v>0.56679170772868903</v>
      </c>
      <c r="L154" s="50">
        <f t="shared" si="431"/>
        <v>1.0840550139434115</v>
      </c>
      <c r="M154" s="50">
        <f t="shared" si="432"/>
        <v>1.5755840025137724</v>
      </c>
      <c r="N154" s="247" t="str">
        <f t="shared" si="433"/>
        <v>BRT vehicle km</v>
      </c>
      <c r="O154" s="233">
        <f>O$127/O144</f>
        <v>3.2055500417449041E-2</v>
      </c>
      <c r="P154" s="233">
        <f t="shared" ref="P154:S154" si="453">P$127/P144</f>
        <v>6.2982743372587108E-2</v>
      </c>
      <c r="Q154" s="233">
        <f t="shared" si="453"/>
        <v>0.10097884850612647</v>
      </c>
      <c r="R154" s="233">
        <f t="shared" si="453"/>
        <v>0.10238010429217448</v>
      </c>
      <c r="S154" s="233">
        <f t="shared" si="453"/>
        <v>0.2942392564401286</v>
      </c>
      <c r="T154" s="304">
        <f>T$127/T144</f>
        <v>0.56679170772868903</v>
      </c>
      <c r="U154" s="304">
        <f>U$127/U144</f>
        <v>1.0840550139434115</v>
      </c>
      <c r="V154" s="304">
        <f>V$127/V144</f>
        <v>1.5755840025137724</v>
      </c>
      <c r="W154" s="233"/>
      <c r="X154" s="233">
        <f t="shared" si="440"/>
        <v>3.2055500417449041E-2</v>
      </c>
      <c r="Y154" s="233">
        <f t="shared" si="441"/>
        <v>6.2982743372587108E-2</v>
      </c>
      <c r="Z154" s="233">
        <f t="shared" si="442"/>
        <v>0.10097884850612647</v>
      </c>
      <c r="AA154" s="233">
        <f t="shared" si="443"/>
        <v>0.10238010429217448</v>
      </c>
      <c r="AB154" s="233">
        <f t="shared" si="444"/>
        <v>0.2942392564401286</v>
      </c>
      <c r="AC154" s="233" t="e">
        <f>AC166/AC144</f>
        <v>#N/A</v>
      </c>
      <c r="AD154" s="233" t="e">
        <f t="shared" ref="AD154" si="454">AD166/AD144</f>
        <v>#N/A</v>
      </c>
      <c r="AE154" s="233" t="e">
        <f>AE166/AE144</f>
        <v>#N/A</v>
      </c>
      <c r="AF154" s="233"/>
      <c r="AG154" s="233"/>
      <c r="AH154" s="233"/>
      <c r="AJ154" s="233"/>
      <c r="AK154" s="233"/>
      <c r="AL154" s="233"/>
      <c r="AM154" s="233"/>
      <c r="AN154" s="233"/>
      <c r="AO154" s="233"/>
      <c r="AP154" s="233"/>
      <c r="AQ154" s="233"/>
      <c r="AR154" s="233"/>
      <c r="AS154" s="233"/>
      <c r="AT154" s="233"/>
      <c r="AU154" s="233"/>
    </row>
    <row r="155" spans="1:47">
      <c r="A155" s="185" t="s">
        <v>16</v>
      </c>
      <c r="B155" s="185" t="s">
        <v>132</v>
      </c>
      <c r="C155" s="185" t="s">
        <v>90</v>
      </c>
      <c r="D155" s="185" t="str">
        <f>D154</f>
        <v>billion</v>
      </c>
      <c r="E155" s="298">
        <f>E139*E$129</f>
        <v>15.023482841814213</v>
      </c>
      <c r="F155" s="50">
        <f t="shared" si="425"/>
        <v>12.322446292964566</v>
      </c>
      <c r="G155" s="50">
        <f t="shared" si="426"/>
        <v>8.6260563043864682</v>
      </c>
      <c r="H155" s="50">
        <f t="shared" si="427"/>
        <v>8.8235934445777957</v>
      </c>
      <c r="I155" s="50">
        <f t="shared" si="428"/>
        <v>8.9818459792306626</v>
      </c>
      <c r="J155" s="50">
        <f t="shared" si="429"/>
        <v>9.109534236706498</v>
      </c>
      <c r="K155" s="50">
        <f t="shared" si="430"/>
        <v>9.2746412545411498</v>
      </c>
      <c r="L155" s="50">
        <f t="shared" si="431"/>
        <v>8.8919014171168609</v>
      </c>
      <c r="M155" s="50">
        <f t="shared" si="432"/>
        <v>8.2767445989176256</v>
      </c>
      <c r="N155" s="247" t="str">
        <f t="shared" si="433"/>
        <v>Metro Rail pkm</v>
      </c>
      <c r="O155" s="233">
        <f>O139*O$129</f>
        <v>12.322446292964566</v>
      </c>
      <c r="P155" s="233">
        <f t="shared" ref="P155:S155" si="455">P139*P$129</f>
        <v>8.6260563043864682</v>
      </c>
      <c r="Q155" s="233">
        <f t="shared" si="455"/>
        <v>8.8235934445777957</v>
      </c>
      <c r="R155" s="233">
        <f t="shared" si="455"/>
        <v>8.9818459792306626</v>
      </c>
      <c r="S155" s="233">
        <f t="shared" si="455"/>
        <v>9.109534236706498</v>
      </c>
      <c r="T155" s="304">
        <f>T139*T$129</f>
        <v>9.2746412545411498</v>
      </c>
      <c r="U155" s="304">
        <f>U139*U$129</f>
        <v>8.8919014171168609</v>
      </c>
      <c r="V155" s="304">
        <f>V139*V$129</f>
        <v>8.2767445989176256</v>
      </c>
      <c r="W155" s="233"/>
      <c r="X155" s="233">
        <f t="shared" si="440"/>
        <v>12.322446292964566</v>
      </c>
      <c r="Y155" s="233">
        <f t="shared" si="441"/>
        <v>8.6260563043864682</v>
      </c>
      <c r="Z155" s="233">
        <f t="shared" si="442"/>
        <v>8.8235934445777957</v>
      </c>
      <c r="AA155" s="233">
        <f t="shared" si="443"/>
        <v>8.9818459792306626</v>
      </c>
      <c r="AB155" s="233">
        <f t="shared" si="444"/>
        <v>9.109534236706498</v>
      </c>
      <c r="AC155" s="233" t="e">
        <f t="shared" ref="AC155:AE156" si="456">AC167</f>
        <v>#N/A</v>
      </c>
      <c r="AD155" s="233" t="e">
        <f t="shared" si="456"/>
        <v>#N/A</v>
      </c>
      <c r="AE155" s="233" t="e">
        <f t="shared" si="456"/>
        <v>#N/A</v>
      </c>
      <c r="AF155" s="233"/>
      <c r="AG155" s="233"/>
      <c r="AH155" s="233"/>
      <c r="AJ155" s="233"/>
      <c r="AK155" s="233"/>
      <c r="AL155" s="233"/>
      <c r="AM155" s="233"/>
      <c r="AN155" s="233"/>
      <c r="AO155" s="233"/>
      <c r="AP155" s="233"/>
      <c r="AQ155" s="233"/>
      <c r="AR155" s="233"/>
      <c r="AS155" s="233"/>
      <c r="AT155" s="233"/>
      <c r="AU155" s="233"/>
    </row>
    <row r="156" spans="1:47">
      <c r="A156" s="185" t="s">
        <v>16</v>
      </c>
      <c r="B156" s="185" t="s">
        <v>133</v>
      </c>
      <c r="C156" s="185" t="s">
        <v>91</v>
      </c>
      <c r="D156" s="185" t="s">
        <v>86</v>
      </c>
      <c r="E156" s="298">
        <f t="shared" ref="E156" si="457">E128</f>
        <v>0.53459848266953358</v>
      </c>
      <c r="F156" s="50">
        <f t="shared" si="425"/>
        <v>0.60923770891438467</v>
      </c>
      <c r="G156" s="50">
        <f t="shared" si="426"/>
        <v>0.64854136839212595</v>
      </c>
      <c r="H156" s="50">
        <f t="shared" si="427"/>
        <v>0.6995709084876961</v>
      </c>
      <c r="I156" s="50">
        <f t="shared" si="428"/>
        <v>0.6476760572601008</v>
      </c>
      <c r="J156" s="50">
        <f t="shared" si="429"/>
        <v>0.64850440608752602</v>
      </c>
      <c r="K156" s="50">
        <f t="shared" si="430"/>
        <v>0.84139460790012854</v>
      </c>
      <c r="L156" s="50">
        <f t="shared" si="431"/>
        <v>1.0461686783454414</v>
      </c>
      <c r="M156" s="50">
        <f t="shared" si="432"/>
        <v>1.2423738452190181</v>
      </c>
      <c r="N156" s="247" t="str">
        <f t="shared" si="433"/>
        <v>Gautrain pkm</v>
      </c>
      <c r="O156" s="233">
        <f>O128</f>
        <v>0.60923770891438467</v>
      </c>
      <c r="P156" s="233">
        <f t="shared" ref="P156:S156" si="458">P128</f>
        <v>0.64854136839212595</v>
      </c>
      <c r="Q156" s="233">
        <f t="shared" si="458"/>
        <v>0.6995709084876961</v>
      </c>
      <c r="R156" s="233">
        <f t="shared" si="458"/>
        <v>0.6476760572601008</v>
      </c>
      <c r="S156" s="233">
        <f t="shared" si="458"/>
        <v>0.64850440608752602</v>
      </c>
      <c r="T156" s="304">
        <f>T128</f>
        <v>0.84139460790012854</v>
      </c>
      <c r="U156" s="304">
        <f>U128</f>
        <v>1.0461686783454414</v>
      </c>
      <c r="V156" s="304">
        <f>V128</f>
        <v>1.2423738452190181</v>
      </c>
      <c r="W156" s="233"/>
      <c r="X156" s="233">
        <f t="shared" si="440"/>
        <v>0.60923770891438467</v>
      </c>
      <c r="Y156" s="233">
        <f t="shared" si="441"/>
        <v>0.64854136839212595</v>
      </c>
      <c r="Z156" s="233">
        <f t="shared" si="442"/>
        <v>0.6995709084876961</v>
      </c>
      <c r="AA156" s="233">
        <f t="shared" si="443"/>
        <v>0.6476760572601008</v>
      </c>
      <c r="AB156" s="233">
        <f t="shared" si="444"/>
        <v>0.64850440608752602</v>
      </c>
      <c r="AC156" s="233" t="e">
        <f t="shared" si="456"/>
        <v>#N/A</v>
      </c>
      <c r="AD156" s="233" t="e">
        <f t="shared" si="456"/>
        <v>#N/A</v>
      </c>
      <c r="AE156" s="233" t="e">
        <f t="shared" si="456"/>
        <v>#N/A</v>
      </c>
      <c r="AF156" s="233"/>
      <c r="AG156" s="233"/>
      <c r="AH156" s="233"/>
      <c r="AJ156" s="233"/>
      <c r="AK156" s="233"/>
      <c r="AL156" s="233"/>
      <c r="AM156" s="233"/>
      <c r="AN156" s="233"/>
      <c r="AO156" s="233"/>
      <c r="AP156" s="233"/>
      <c r="AQ156" s="233"/>
      <c r="AR156" s="233"/>
      <c r="AS156" s="233"/>
      <c r="AT156" s="233"/>
      <c r="AU156" s="233"/>
    </row>
    <row r="157" spans="1:47">
      <c r="A157" s="185" t="s">
        <v>16</v>
      </c>
      <c r="L157" s="185"/>
      <c r="N157" s="40"/>
      <c r="AI157" s="185" t="s">
        <v>626</v>
      </c>
    </row>
    <row r="158" spans="1:47">
      <c r="A158" s="185" t="s">
        <v>16</v>
      </c>
      <c r="L158" s="185"/>
      <c r="N158" s="40"/>
      <c r="X158" s="272"/>
      <c r="AA158" s="272"/>
      <c r="AB158" s="272"/>
      <c r="AD158" s="272"/>
      <c r="AI158" s="185" t="s">
        <v>616</v>
      </c>
      <c r="AM158" s="185" t="s">
        <v>621</v>
      </c>
      <c r="AQ158" s="185" t="s">
        <v>622</v>
      </c>
    </row>
    <row r="159" spans="1:47" ht="15.75" thickBot="1">
      <c r="A159" s="185" t="s">
        <v>16</v>
      </c>
      <c r="E159" s="246"/>
      <c r="L159" s="185"/>
      <c r="N159" s="40"/>
      <c r="O159" s="185" t="s">
        <v>41</v>
      </c>
      <c r="T159" s="10"/>
      <c r="X159" s="185" t="s">
        <v>197</v>
      </c>
      <c r="AB159" s="10"/>
      <c r="AI159" s="250">
        <v>1</v>
      </c>
      <c r="AJ159" s="250">
        <v>1</v>
      </c>
      <c r="AK159" s="250">
        <v>1</v>
      </c>
      <c r="AL159" s="250"/>
      <c r="AM159" s="250">
        <v>2</v>
      </c>
      <c r="AN159" s="250">
        <v>2</v>
      </c>
      <c r="AO159" s="250">
        <v>2</v>
      </c>
      <c r="AQ159" s="250">
        <v>3</v>
      </c>
      <c r="AR159" s="250">
        <v>3</v>
      </c>
      <c r="AS159" s="250">
        <v>3</v>
      </c>
    </row>
    <row r="160" spans="1:47" ht="15.75" thickBot="1">
      <c r="A160" s="185" t="s">
        <v>16</v>
      </c>
      <c r="C160" s="227" t="s">
        <v>141</v>
      </c>
      <c r="D160" s="227"/>
      <c r="E160" s="7">
        <v>2012</v>
      </c>
      <c r="F160" s="7">
        <f>F4</f>
        <v>2015</v>
      </c>
      <c r="G160" s="7">
        <f t="shared" ref="G160:M160" si="459">G4</f>
        <v>2017</v>
      </c>
      <c r="H160" s="7">
        <f t="shared" si="459"/>
        <v>2019</v>
      </c>
      <c r="I160" s="7">
        <f t="shared" si="459"/>
        <v>2020</v>
      </c>
      <c r="J160" s="7">
        <f t="shared" si="459"/>
        <v>2021</v>
      </c>
      <c r="K160" s="7">
        <f t="shared" si="459"/>
        <v>2030</v>
      </c>
      <c r="L160" s="7">
        <f t="shared" si="459"/>
        <v>2040</v>
      </c>
      <c r="M160" s="7">
        <f t="shared" si="459"/>
        <v>2050</v>
      </c>
      <c r="O160" s="296">
        <f>O$12</f>
        <v>2015</v>
      </c>
      <c r="P160" s="296">
        <f t="shared" ref="P160:V160" si="460">P$12</f>
        <v>2017</v>
      </c>
      <c r="Q160" s="296">
        <f t="shared" si="460"/>
        <v>2019</v>
      </c>
      <c r="R160" s="296">
        <f t="shared" si="460"/>
        <v>2020</v>
      </c>
      <c r="S160" s="296">
        <f t="shared" si="460"/>
        <v>2021</v>
      </c>
      <c r="T160" s="296">
        <f t="shared" si="460"/>
        <v>2030</v>
      </c>
      <c r="U160" s="296">
        <f t="shared" si="460"/>
        <v>2040</v>
      </c>
      <c r="V160" s="296">
        <f t="shared" si="460"/>
        <v>2050</v>
      </c>
      <c r="X160" s="296">
        <f>X$12</f>
        <v>2015</v>
      </c>
      <c r="Y160" s="296">
        <f t="shared" ref="Y160:AE160" si="461">Y$12</f>
        <v>2017</v>
      </c>
      <c r="Z160" s="296">
        <f t="shared" si="461"/>
        <v>2019</v>
      </c>
      <c r="AA160" s="296">
        <f t="shared" si="461"/>
        <v>2020</v>
      </c>
      <c r="AB160" s="296">
        <f t="shared" si="461"/>
        <v>2021</v>
      </c>
      <c r="AC160" s="296">
        <f t="shared" si="461"/>
        <v>2030</v>
      </c>
      <c r="AD160" s="296">
        <f t="shared" si="461"/>
        <v>2040</v>
      </c>
      <c r="AE160" s="296">
        <f t="shared" si="461"/>
        <v>2050</v>
      </c>
      <c r="AI160" s="250">
        <v>2030</v>
      </c>
      <c r="AJ160" s="250">
        <v>2040</v>
      </c>
      <c r="AK160" s="250">
        <v>2050</v>
      </c>
      <c r="AL160" s="250"/>
      <c r="AM160" s="250">
        <v>2030</v>
      </c>
      <c r="AN160" s="250">
        <v>2040</v>
      </c>
      <c r="AO160" s="250">
        <v>2050</v>
      </c>
      <c r="AQ160" s="250">
        <v>2030</v>
      </c>
      <c r="AR160" s="250">
        <v>2040</v>
      </c>
      <c r="AS160" s="250">
        <v>2050</v>
      </c>
    </row>
    <row r="161" spans="1:46">
      <c r="A161" s="185" t="s">
        <v>16</v>
      </c>
      <c r="B161" s="185" t="s">
        <v>128</v>
      </c>
      <c r="C161" s="185" t="s">
        <v>100</v>
      </c>
      <c r="D161" s="185" t="s">
        <v>86</v>
      </c>
      <c r="E161" s="298">
        <f>SUMPRODUCT(E$35:E$38,E$41:E$44,E$54:E$57)*E132</f>
        <v>108.6598655462619</v>
      </c>
      <c r="F161" s="50">
        <f t="shared" ref="F161:F168" si="462">IF($D$4,X161,O161)</f>
        <v>113.09321758673757</v>
      </c>
      <c r="G161" s="50">
        <f t="shared" ref="G161:G168" si="463">IF($D$4,Y161,P161)</f>
        <v>112.21357404370687</v>
      </c>
      <c r="H161" s="50">
        <f t="shared" ref="H161:H168" si="464">IF($D$4,Z161,Q161)</f>
        <v>117.77587315202406</v>
      </c>
      <c r="I161" s="50">
        <f t="shared" ref="I161:I168" si="465">IF($D$4,AA161,R161)</f>
        <v>110.00556389780662</v>
      </c>
      <c r="J161" s="50">
        <f t="shared" ref="J161:J168" si="466">IF($D$4,AB161,S161)</f>
        <v>111.05456884454453</v>
      </c>
      <c r="K161" s="50">
        <f t="shared" ref="K161:K168" si="467">IF($D$4,AC161,T161)</f>
        <v>144.21629679265169</v>
      </c>
      <c r="L161" s="50">
        <f t="shared" ref="L161:L168" si="468">IF($D$4,AD161,U161)</f>
        <v>186.27400152369597</v>
      </c>
      <c r="M161" s="50">
        <f t="shared" ref="M161:M168" si="469">IF($D$4,AE161,V161)</f>
        <v>228.95194010496829</v>
      </c>
      <c r="N161" s="185" t="str">
        <f t="shared" ref="N161:N168" si="470">C161</f>
        <v>Car</v>
      </c>
      <c r="O161" s="10">
        <f>SUMPRODUCT(O$35:O$38,O$41:O$44,O$54:O$57)*O132</f>
        <v>113.09321758673757</v>
      </c>
      <c r="P161" s="10">
        <f t="shared" ref="P161:S161" si="471">SUMPRODUCT(P$35:P$38,P$41:P$44,P$54:P$57)*P132</f>
        <v>112.21357404370687</v>
      </c>
      <c r="Q161" s="10">
        <f t="shared" si="471"/>
        <v>117.77587315202406</v>
      </c>
      <c r="R161" s="10">
        <f t="shared" si="471"/>
        <v>110.00556389780662</v>
      </c>
      <c r="S161" s="10">
        <f t="shared" si="471"/>
        <v>111.05456884454453</v>
      </c>
      <c r="T161" s="306">
        <f t="shared" ref="T161:V163" si="472">SUMPRODUCT(T$35:T$38,T$41:T$44,T$54:T$57)*T132</f>
        <v>144.21629679265169</v>
      </c>
      <c r="U161" s="306">
        <f t="shared" si="472"/>
        <v>186.27400152369597</v>
      </c>
      <c r="V161" s="306">
        <f t="shared" si="472"/>
        <v>228.95194010496829</v>
      </c>
      <c r="X161" s="10">
        <f>O161</f>
        <v>113.09321758673757</v>
      </c>
      <c r="Y161" s="10">
        <f t="shared" ref="Y161:AB161" si="473">P161</f>
        <v>112.21357404370687</v>
      </c>
      <c r="Z161" s="10">
        <f t="shared" si="473"/>
        <v>117.77587315202406</v>
      </c>
      <c r="AA161" s="10">
        <f t="shared" si="473"/>
        <v>110.00556389780662</v>
      </c>
      <c r="AB161" s="10">
        <f t="shared" si="473"/>
        <v>111.05456884454453</v>
      </c>
      <c r="AC161" s="310" t="e" cm="1">
        <f t="array" ref="AC161">T161*INDEX($AI$161:$AS$168,MATCH($C161,$C$161:$C$168,0),MATCH(AC$160&amp;$D$3,$AI$160:$AS$160&amp;$AI$159:$AS$159,0))</f>
        <v>#N/A</v>
      </c>
      <c r="AD161" s="310" t="e">
        <f t="array" ref="AD161">U161*INDEX($AI$161:$AS$168,MATCH($C161,$C$161:$C$168,0),MATCH(AD$160&amp;$D$3,$AI$160:$AS$160&amp;$AI$159:$AS$159,0))</f>
        <v>#N/A</v>
      </c>
      <c r="AE161" s="310" t="e" cm="1">
        <f t="array" ref="AE161">V161*INDEX($AI$161:$AS$168,MATCH($C161,$C$161:$C$168,0),MATCH(AE$160&amp;$D$3,$AI$160:$AS$160&amp;$AI$159:$AS$159,0))</f>
        <v>#N/A</v>
      </c>
      <c r="AI161" s="233">
        <v>0.8</v>
      </c>
      <c r="AJ161" s="233">
        <f>AVERAGE(AI161,AK161)</f>
        <v>0.8</v>
      </c>
      <c r="AK161" s="233">
        <v>0.8</v>
      </c>
      <c r="AL161" s="246"/>
      <c r="AM161" s="233">
        <f>AVERAGE(1,1,AO161)</f>
        <v>0.93333333333333324</v>
      </c>
      <c r="AN161" s="233">
        <f>AVERAGE(AM161,AO161)</f>
        <v>0.8666666666666667</v>
      </c>
      <c r="AO161" s="233">
        <v>0.8</v>
      </c>
      <c r="AQ161" s="233">
        <v>0.8</v>
      </c>
      <c r="AR161" s="233">
        <f>AVERAGE(AS161,AQ161)</f>
        <v>0.75</v>
      </c>
      <c r="AS161" s="233">
        <v>0.7</v>
      </c>
    </row>
    <row r="162" spans="1:46">
      <c r="A162" s="185" t="s">
        <v>16</v>
      </c>
      <c r="B162" s="185" t="s">
        <v>127</v>
      </c>
      <c r="C162" s="185" t="s">
        <v>99</v>
      </c>
      <c r="D162" s="185" t="s">
        <v>86</v>
      </c>
      <c r="E162" s="298">
        <f t="shared" ref="E162:E163" si="474">SUMPRODUCT(E$35:E$38,E$41:E$44,E$54:E$57)*E133</f>
        <v>13.915131557209829</v>
      </c>
      <c r="F162" s="50">
        <f t="shared" si="462"/>
        <v>18.547037936929154</v>
      </c>
      <c r="G162" s="50">
        <f t="shared" si="463"/>
        <v>23.845384484287713</v>
      </c>
      <c r="H162" s="50">
        <f t="shared" si="464"/>
        <v>25.027373044805117</v>
      </c>
      <c r="I162" s="50">
        <f t="shared" si="465"/>
        <v>23.37618232828391</v>
      </c>
      <c r="J162" s="50">
        <f t="shared" si="466"/>
        <v>23.599095879465718</v>
      </c>
      <c r="K162" s="50">
        <f t="shared" si="467"/>
        <v>30.645963068438487</v>
      </c>
      <c r="L162" s="50">
        <f t="shared" si="468"/>
        <v>39.583225323785399</v>
      </c>
      <c r="M162" s="50">
        <f t="shared" si="469"/>
        <v>48.65228727230577</v>
      </c>
      <c r="N162" s="185" t="str">
        <f t="shared" si="470"/>
        <v>SUV</v>
      </c>
      <c r="O162" s="10">
        <f>SUMPRODUCT(O$35:O$38,O$41:O$44,O$54:O$57)*O133</f>
        <v>18.547037936929154</v>
      </c>
      <c r="P162" s="10">
        <f t="shared" ref="P162:S162" si="475">SUMPRODUCT(P$35:P$38,P$41:P$44,P$54:P$57)*P133</f>
        <v>23.845384484287713</v>
      </c>
      <c r="Q162" s="10">
        <f t="shared" si="475"/>
        <v>25.027373044805117</v>
      </c>
      <c r="R162" s="10">
        <f t="shared" si="475"/>
        <v>23.37618232828391</v>
      </c>
      <c r="S162" s="10">
        <f t="shared" si="475"/>
        <v>23.599095879465718</v>
      </c>
      <c r="T162" s="306">
        <f t="shared" si="472"/>
        <v>30.645963068438487</v>
      </c>
      <c r="U162" s="306">
        <f t="shared" si="472"/>
        <v>39.583225323785399</v>
      </c>
      <c r="V162" s="306">
        <f>SUMPRODUCT(V$35:V$38,V$41:V$44,V$54:V$57)*V133</f>
        <v>48.65228727230577</v>
      </c>
      <c r="X162" s="10">
        <f t="shared" ref="X162:X168" si="476">O162</f>
        <v>18.547037936929154</v>
      </c>
      <c r="Y162" s="10">
        <f t="shared" ref="Y162:Y168" si="477">P162</f>
        <v>23.845384484287713</v>
      </c>
      <c r="Z162" s="10">
        <f t="shared" ref="Z162:Z168" si="478">Q162</f>
        <v>25.027373044805117</v>
      </c>
      <c r="AA162" s="10">
        <f t="shared" ref="AA162:AA168" si="479">R162</f>
        <v>23.37618232828391</v>
      </c>
      <c r="AB162" s="10">
        <f t="shared" ref="AB162:AB168" si="480">S162</f>
        <v>23.599095879465718</v>
      </c>
      <c r="AC162" s="310" t="e">
        <f t="array" ref="AC162">T162*INDEX($AI$161:$AS$168,MATCH($C162,$C$161:$C$168,0),MATCH(AC$160&amp;$D$3,$AI$160:$AS$160&amp;$AI$159:$AS$159,0))</f>
        <v>#N/A</v>
      </c>
      <c r="AD162" s="310" t="e">
        <f t="array" ref="AD162">U162*INDEX($AI$161:$AS$168,MATCH($C162,$C$161:$C$168,0),MATCH(AD$160&amp;$D$3,$AI$160:$AS$160&amp;$AI$159:$AS$159,0))</f>
        <v>#N/A</v>
      </c>
      <c r="AE162" s="310" t="e">
        <f t="array" ref="AE162">V162*INDEX($AI$161:$AS$168,MATCH($C162,$C$161:$C$168,0),MATCH(AE$160&amp;$D$3,$AI$160:$AS$160&amp;$AI$159:$AS$159,0))</f>
        <v>#N/A</v>
      </c>
      <c r="AI162" s="233">
        <f>AI161</f>
        <v>0.8</v>
      </c>
      <c r="AJ162" s="233">
        <f t="shared" ref="AJ162:AK162" si="481">AJ161</f>
        <v>0.8</v>
      </c>
      <c r="AK162" s="233">
        <f t="shared" si="481"/>
        <v>0.8</v>
      </c>
      <c r="AL162" s="246"/>
      <c r="AM162" s="233">
        <f>AM161</f>
        <v>0.93333333333333324</v>
      </c>
      <c r="AN162" s="233">
        <f t="shared" ref="AN162:AO162" si="482">AN161</f>
        <v>0.8666666666666667</v>
      </c>
      <c r="AO162" s="233">
        <f t="shared" si="482"/>
        <v>0.8</v>
      </c>
      <c r="AQ162" s="233">
        <f>AQ161</f>
        <v>0.8</v>
      </c>
      <c r="AR162" s="233">
        <f t="shared" ref="AR162:AS162" si="483">AR161</f>
        <v>0.75</v>
      </c>
      <c r="AS162" s="233">
        <f t="shared" si="483"/>
        <v>0.7</v>
      </c>
    </row>
    <row r="163" spans="1:46">
      <c r="A163" s="185" t="s">
        <v>16</v>
      </c>
      <c r="B163" s="185" t="s">
        <v>183</v>
      </c>
      <c r="C163" s="185" t="s">
        <v>212</v>
      </c>
      <c r="D163" s="185" t="s">
        <v>86</v>
      </c>
      <c r="E163" s="298">
        <f t="shared" si="474"/>
        <v>4.7105599865379668</v>
      </c>
      <c r="F163" s="50">
        <f t="shared" si="462"/>
        <v>3.9743652721991038</v>
      </c>
      <c r="G163" s="50">
        <f t="shared" si="463"/>
        <v>4.208009026639008</v>
      </c>
      <c r="H163" s="50">
        <f t="shared" si="464"/>
        <v>4.4165952432009021</v>
      </c>
      <c r="I163" s="50">
        <f t="shared" si="465"/>
        <v>4.1252086461677484</v>
      </c>
      <c r="J163" s="50">
        <f t="shared" si="466"/>
        <v>4.1645463316704205</v>
      </c>
      <c r="K163" s="50">
        <f t="shared" si="467"/>
        <v>5.4081111297244382</v>
      </c>
      <c r="L163" s="50">
        <f t="shared" si="468"/>
        <v>6.9852750571385993</v>
      </c>
      <c r="M163" s="50">
        <f t="shared" si="469"/>
        <v>8.5856977539363104</v>
      </c>
      <c r="N163" s="185" t="str">
        <f t="shared" si="470"/>
        <v>Motorbike</v>
      </c>
      <c r="O163" s="10">
        <f>SUMPRODUCT(O$35:O$38,O$41:O$44,O$54:O$57)*O134</f>
        <v>3.9743652721991038</v>
      </c>
      <c r="P163" s="10">
        <f t="shared" ref="P163:S163" si="484">SUMPRODUCT(P$35:P$38,P$41:P$44,P$54:P$57)*P134</f>
        <v>4.208009026639008</v>
      </c>
      <c r="Q163" s="10">
        <f t="shared" si="484"/>
        <v>4.4165952432009021</v>
      </c>
      <c r="R163" s="10">
        <f t="shared" si="484"/>
        <v>4.1252086461677484</v>
      </c>
      <c r="S163" s="10">
        <f t="shared" si="484"/>
        <v>4.1645463316704205</v>
      </c>
      <c r="T163" s="306">
        <f t="shared" si="472"/>
        <v>5.4081111297244382</v>
      </c>
      <c r="U163" s="306">
        <f t="shared" si="472"/>
        <v>6.9852750571385993</v>
      </c>
      <c r="V163" s="306">
        <f t="shared" si="472"/>
        <v>8.5856977539363104</v>
      </c>
      <c r="X163" s="10">
        <f t="shared" si="476"/>
        <v>3.9743652721991038</v>
      </c>
      <c r="Y163" s="10">
        <f t="shared" si="477"/>
        <v>4.208009026639008</v>
      </c>
      <c r="Z163" s="10">
        <f t="shared" si="478"/>
        <v>4.4165952432009021</v>
      </c>
      <c r="AA163" s="10">
        <f t="shared" si="479"/>
        <v>4.1252086461677484</v>
      </c>
      <c r="AB163" s="10">
        <f t="shared" si="480"/>
        <v>4.1645463316704205</v>
      </c>
      <c r="AC163" s="310" t="e">
        <f t="array" ref="AC163">T163*INDEX($AI$161:$AS$168,MATCH($C163,$C$161:$C$168,0),MATCH(AC$160&amp;$D$3,$AI$160:$AS$160&amp;$AI$159:$AS$159,0))</f>
        <v>#N/A</v>
      </c>
      <c r="AD163" s="310" t="e">
        <f t="array" ref="AD163">U163*INDEX($AI$161:$AS$168,MATCH($C163,$C$161:$C$168,0),MATCH(AD$160&amp;$D$3,$AI$160:$AS$160&amp;$AI$159:$AS$159,0))</f>
        <v>#N/A</v>
      </c>
      <c r="AE163" s="310" t="e">
        <f t="array" ref="AE163">V163*INDEX($AI$161:$AS$168,MATCH($C163,$C$161:$C$168,0),MATCH(AE$160&amp;$D$3,$AI$160:$AS$160&amp;$AI$159:$AS$159,0))</f>
        <v>#N/A</v>
      </c>
      <c r="AI163" s="246">
        <v>1</v>
      </c>
      <c r="AJ163" s="246">
        <v>1</v>
      </c>
      <c r="AK163" s="246">
        <v>1</v>
      </c>
      <c r="AL163" s="246"/>
      <c r="AM163" s="246">
        <v>1</v>
      </c>
      <c r="AN163" s="246">
        <v>1</v>
      </c>
      <c r="AO163" s="246">
        <v>1</v>
      </c>
      <c r="AP163" s="246"/>
      <c r="AQ163" s="246">
        <v>1</v>
      </c>
      <c r="AR163" s="246">
        <v>1</v>
      </c>
      <c r="AS163" s="246">
        <v>1</v>
      </c>
    </row>
    <row r="164" spans="1:46">
      <c r="A164" s="185" t="s">
        <v>16</v>
      </c>
      <c r="B164" s="185" t="s">
        <v>129</v>
      </c>
      <c r="C164" s="185" t="s">
        <v>62</v>
      </c>
      <c r="D164" s="185" t="s">
        <v>86</v>
      </c>
      <c r="E164" s="298">
        <f t="shared" ref="E164:E166" si="485">E152*E142</f>
        <v>15.449787242939724</v>
      </c>
      <c r="F164" s="50">
        <f t="shared" si="462"/>
        <v>28.167748821049805</v>
      </c>
      <c r="G164" s="50">
        <f t="shared" si="463"/>
        <v>18.502265696365193</v>
      </c>
      <c r="H164" s="50">
        <f t="shared" si="464"/>
        <v>18.925968547790067</v>
      </c>
      <c r="I164" s="50">
        <f t="shared" si="465"/>
        <v>19.265408767045493</v>
      </c>
      <c r="J164" s="50">
        <f t="shared" si="466"/>
        <v>19.539290826558879</v>
      </c>
      <c r="K164" s="50">
        <f t="shared" si="467"/>
        <v>19.893433415537555</v>
      </c>
      <c r="L164" s="50">
        <f t="shared" si="468"/>
        <v>19.07248419903328</v>
      </c>
      <c r="M164" s="50">
        <f t="shared" si="469"/>
        <v>17.753017400576951</v>
      </c>
      <c r="N164" s="185" t="str">
        <f t="shared" si="470"/>
        <v>Bus</v>
      </c>
      <c r="O164" s="10">
        <f>O152*O142</f>
        <v>28.167748821049805</v>
      </c>
      <c r="P164" s="10">
        <f t="shared" ref="P164:S164" si="486">P152*P142</f>
        <v>18.502265696365193</v>
      </c>
      <c r="Q164" s="10">
        <f t="shared" si="486"/>
        <v>18.925968547790067</v>
      </c>
      <c r="R164" s="10">
        <f t="shared" si="486"/>
        <v>19.265408767045493</v>
      </c>
      <c r="S164" s="10">
        <f t="shared" si="486"/>
        <v>19.539290826558879</v>
      </c>
      <c r="T164" s="306">
        <f t="shared" ref="T164:V166" si="487">T152*T142</f>
        <v>19.893433415537555</v>
      </c>
      <c r="U164" s="306">
        <f t="shared" si="487"/>
        <v>19.07248419903328</v>
      </c>
      <c r="V164" s="306">
        <f t="shared" si="487"/>
        <v>17.753017400576951</v>
      </c>
      <c r="X164" s="10">
        <f t="shared" si="476"/>
        <v>28.167748821049805</v>
      </c>
      <c r="Y164" s="10">
        <f t="shared" si="477"/>
        <v>18.502265696365193</v>
      </c>
      <c r="Z164" s="10">
        <f t="shared" si="478"/>
        <v>18.925968547790067</v>
      </c>
      <c r="AA164" s="10">
        <f t="shared" si="479"/>
        <v>19.265408767045493</v>
      </c>
      <c r="AB164" s="10">
        <f t="shared" si="480"/>
        <v>19.539290826558879</v>
      </c>
      <c r="AC164" s="310" t="e">
        <f t="array" ref="AC164">T164+INDEX($AI$161:$AS$168,MATCH($C164,$C$161:$C$168,0),MATCH(AC$160&amp;$D$3,$AI$160:$AS$160&amp;$AI$159:$AS$159,0))</f>
        <v>#N/A</v>
      </c>
      <c r="AD164" s="310" t="e">
        <f t="array" ref="AD164">U164+INDEX($AI$161:$AS$168,MATCH($C164,$C$161:$C$168,0),MATCH(AD$160&amp;$D$3,$AI$160:$AS$160&amp;$AI$159:$AS$159,0))</f>
        <v>#N/A</v>
      </c>
      <c r="AE164" s="310" t="e">
        <f t="array" ref="AE164">V164+INDEX($AI$161:$AS$168,MATCH($C164,$C$161:$C$168,0),MATCH(AE$160&amp;$D$3,$AI$160:$AS$160&amp;$AI$159:$AS$159,0))</f>
        <v>#N/A</v>
      </c>
      <c r="AI164" s="10">
        <f t="shared" ref="AI164:AK168" si="488">SUM(T$161:T$162)*(1-AI$161) *AI175</f>
        <v>4.6559557947086097</v>
      </c>
      <c r="AJ164" s="10">
        <f t="shared" si="488"/>
        <v>6.0137691515179981</v>
      </c>
      <c r="AK164" s="10">
        <f t="shared" si="488"/>
        <v>7.3916064685403953</v>
      </c>
      <c r="AL164" s="10"/>
      <c r="AM164" s="10">
        <f t="shared" ref="AM164:AO168" si="489">SUM(T$161:T$162)*(1-AM$161) *AM175</f>
        <v>1.5519852649028727</v>
      </c>
      <c r="AN164" s="10">
        <f t="shared" si="489"/>
        <v>4.0091794343453317</v>
      </c>
      <c r="AO164" s="10">
        <f t="shared" si="489"/>
        <v>7.3916064685403953</v>
      </c>
      <c r="AP164" s="10"/>
      <c r="AQ164" s="10">
        <f t="shared" ref="AQ164:AS168" si="490">SUM(T$161:T$162)*(1-AQ$161) *AQ175</f>
        <v>4.6559557947086097</v>
      </c>
      <c r="AR164" s="10">
        <f t="shared" si="490"/>
        <v>7.5172114393974994</v>
      </c>
      <c r="AS164" s="10">
        <f t="shared" si="490"/>
        <v>11.087409702810598</v>
      </c>
    </row>
    <row r="165" spans="1:46">
      <c r="A165" s="185" t="s">
        <v>16</v>
      </c>
      <c r="B165" s="185" t="s">
        <v>130</v>
      </c>
      <c r="C165" s="185" t="s">
        <v>61</v>
      </c>
      <c r="D165" s="185" t="s">
        <v>86</v>
      </c>
      <c r="E165" s="298">
        <f t="shared" si="485"/>
        <v>82.177558676317133</v>
      </c>
      <c r="F165" s="50">
        <f t="shared" si="462"/>
        <v>94.847852582060455</v>
      </c>
      <c r="G165" s="50">
        <f t="shared" si="463"/>
        <v>97.886986758472602</v>
      </c>
      <c r="H165" s="50">
        <f t="shared" si="464"/>
        <v>100.12860387107854</v>
      </c>
      <c r="I165" s="50">
        <f t="shared" si="465"/>
        <v>101.92442611213934</v>
      </c>
      <c r="J165" s="50">
        <f t="shared" si="466"/>
        <v>103.37341025132164</v>
      </c>
      <c r="K165" s="50">
        <f t="shared" si="467"/>
        <v>105.24701597544529</v>
      </c>
      <c r="L165" s="50">
        <f t="shared" si="468"/>
        <v>100.90375086380445</v>
      </c>
      <c r="M165" s="50">
        <f t="shared" si="469"/>
        <v>93.923058274673991</v>
      </c>
      <c r="N165" s="185" t="str">
        <f t="shared" si="470"/>
        <v>Minibus</v>
      </c>
      <c r="O165" s="10">
        <f>O153*O143</f>
        <v>94.847852582060455</v>
      </c>
      <c r="P165" s="10">
        <f t="shared" ref="P165:S165" si="491">P153*P143</f>
        <v>97.886986758472602</v>
      </c>
      <c r="Q165" s="10">
        <f t="shared" si="491"/>
        <v>100.12860387107854</v>
      </c>
      <c r="R165" s="10">
        <f t="shared" si="491"/>
        <v>101.92442611213934</v>
      </c>
      <c r="S165" s="10">
        <f t="shared" si="491"/>
        <v>103.37341025132164</v>
      </c>
      <c r="T165" s="306">
        <f t="shared" si="487"/>
        <v>105.24701597544529</v>
      </c>
      <c r="U165" s="306">
        <f t="shared" si="487"/>
        <v>100.90375086380445</v>
      </c>
      <c r="V165" s="306">
        <f t="shared" si="487"/>
        <v>93.923058274673991</v>
      </c>
      <c r="X165" s="10">
        <f t="shared" si="476"/>
        <v>94.847852582060455</v>
      </c>
      <c r="Y165" s="10">
        <f t="shared" si="477"/>
        <v>97.886986758472602</v>
      </c>
      <c r="Z165" s="10">
        <f t="shared" si="478"/>
        <v>100.12860387107854</v>
      </c>
      <c r="AA165" s="10">
        <f t="shared" si="479"/>
        <v>101.92442611213934</v>
      </c>
      <c r="AB165" s="10">
        <f t="shared" si="480"/>
        <v>103.37341025132164</v>
      </c>
      <c r="AC165" s="310" t="e">
        <f t="array" ref="AC165">T165+INDEX($AI$161:$AS$168,MATCH($C165,$C$161:$C$168,0),MATCH(AC$160&amp;$D$3,$AI$160:$AS$160&amp;$AI$159:$AS$159,0))</f>
        <v>#N/A</v>
      </c>
      <c r="AD165" s="310" t="e">
        <f t="array" ref="AD165">U165+INDEX($AI$161:$AS$168,MATCH($C165,$C$161:$C$168,0),MATCH(AD$160&amp;$D$3,$AI$160:$AS$160&amp;$AI$159:$AS$159,0))</f>
        <v>#N/A</v>
      </c>
      <c r="AE165" s="310" t="e" cm="1">
        <f t="array" ref="AE165">V165+INDEX($AI$161:$AS$168,MATCH($C165,$C$161:$C$168,0),MATCH(AE$160&amp;$D$3,$AI$160:$AS$160&amp;$AI$159:$AS$159,0))</f>
        <v>#N/A</v>
      </c>
      <c r="AI165" s="10">
        <f t="shared" si="488"/>
        <v>24.632522886870557</v>
      </c>
      <c r="AJ165" s="10">
        <f t="shared" si="488"/>
        <v>31.816089497558064</v>
      </c>
      <c r="AK165" s="10">
        <f t="shared" si="488"/>
        <v>39.105593681534671</v>
      </c>
      <c r="AL165" s="10"/>
      <c r="AM165" s="10">
        <f t="shared" si="489"/>
        <v>8.2108409622901988</v>
      </c>
      <c r="AN165" s="10">
        <f t="shared" si="489"/>
        <v>21.210726331705377</v>
      </c>
      <c r="AO165" s="10">
        <f t="shared" si="489"/>
        <v>39.105593681534671</v>
      </c>
      <c r="AP165" s="10"/>
      <c r="AQ165" s="10">
        <f t="shared" si="490"/>
        <v>24.632522886870557</v>
      </c>
      <c r="AR165" s="10">
        <f t="shared" si="490"/>
        <v>39.770111871947591</v>
      </c>
      <c r="AS165" s="10">
        <f t="shared" si="490"/>
        <v>58.658390522302028</v>
      </c>
    </row>
    <row r="166" spans="1:46">
      <c r="A166" s="185" t="s">
        <v>16</v>
      </c>
      <c r="B166" s="185" t="s">
        <v>131</v>
      </c>
      <c r="C166" s="185" t="s">
        <v>63</v>
      </c>
      <c r="D166" s="185" t="s">
        <v>86</v>
      </c>
      <c r="E166" s="298">
        <f t="shared" si="485"/>
        <v>0.52719357125417843</v>
      </c>
      <c r="F166" s="50">
        <f t="shared" si="462"/>
        <v>0.80138751043622602</v>
      </c>
      <c r="G166" s="50">
        <f t="shared" si="463"/>
        <v>1.5745685843146777</v>
      </c>
      <c r="H166" s="50">
        <f t="shared" si="464"/>
        <v>2.5244712126531619</v>
      </c>
      <c r="I166" s="50">
        <f t="shared" si="465"/>
        <v>2.5595026073043621</v>
      </c>
      <c r="J166" s="50">
        <f t="shared" si="466"/>
        <v>7.3559814110032153</v>
      </c>
      <c r="K166" s="50">
        <f t="shared" si="467"/>
        <v>14.169792693217225</v>
      </c>
      <c r="L166" s="50">
        <f t="shared" si="468"/>
        <v>27.10137534858529</v>
      </c>
      <c r="M166" s="50">
        <f t="shared" si="469"/>
        <v>39.389600062844309</v>
      </c>
      <c r="N166" s="185" t="str">
        <f t="shared" si="470"/>
        <v>BRT</v>
      </c>
      <c r="O166" s="10">
        <f>O154*O144</f>
        <v>0.80138751043622602</v>
      </c>
      <c r="P166" s="10">
        <f t="shared" ref="P166:S166" si="492">P154*P144</f>
        <v>1.5745685843146777</v>
      </c>
      <c r="Q166" s="10">
        <f t="shared" si="492"/>
        <v>2.5244712126531619</v>
      </c>
      <c r="R166" s="10">
        <f t="shared" si="492"/>
        <v>2.5595026073043621</v>
      </c>
      <c r="S166" s="10">
        <f t="shared" si="492"/>
        <v>7.3559814110032153</v>
      </c>
      <c r="T166" s="306">
        <f t="shared" si="487"/>
        <v>14.169792693217225</v>
      </c>
      <c r="U166" s="306">
        <f t="shared" si="487"/>
        <v>27.10137534858529</v>
      </c>
      <c r="V166" s="306">
        <f t="shared" si="487"/>
        <v>39.389600062844309</v>
      </c>
      <c r="X166" s="10">
        <f t="shared" si="476"/>
        <v>0.80138751043622602</v>
      </c>
      <c r="Y166" s="10">
        <f t="shared" si="477"/>
        <v>1.5745685843146777</v>
      </c>
      <c r="Z166" s="10">
        <f t="shared" si="478"/>
        <v>2.5244712126531619</v>
      </c>
      <c r="AA166" s="10">
        <f t="shared" si="479"/>
        <v>2.5595026073043621</v>
      </c>
      <c r="AB166" s="10">
        <f t="shared" si="480"/>
        <v>7.3559814110032153</v>
      </c>
      <c r="AC166" s="310" t="e">
        <f t="array" ref="AC166">T166+INDEX($AI$161:$AS$168,MATCH($C166,$C$161:$C$168,0),MATCH(AC$160&amp;$D$3,$AI$160:$AS$160&amp;$AI$159:$AS$159,0))</f>
        <v>#N/A</v>
      </c>
      <c r="AD166" s="310" t="e">
        <f t="array" ref="AD166">U166+INDEX($AI$161:$AS$168,MATCH($C166,$C$161:$C$168,0),MATCH(AD$160&amp;$D$3,$AI$160:$AS$160&amp;$AI$159:$AS$159,0))</f>
        <v>#N/A</v>
      </c>
      <c r="AE166" s="310" t="e">
        <f t="array" ref="AE166">V166+INDEX($AI$161:$AS$168,MATCH($C166,$C$161:$C$168,0),MATCH(AE$160&amp;$D$3,$AI$160:$AS$160&amp;$AI$159:$AS$159,0))</f>
        <v>#N/A</v>
      </c>
      <c r="AI166" s="10">
        <f t="shared" si="488"/>
        <v>3.3163671158079842</v>
      </c>
      <c r="AJ166" s="10">
        <f t="shared" si="488"/>
        <v>4.283517098427037</v>
      </c>
      <c r="AK166" s="10">
        <f t="shared" si="488"/>
        <v>5.2649298460092231</v>
      </c>
      <c r="AL166" s="10"/>
      <c r="AM166" s="10">
        <f t="shared" si="489"/>
        <v>1.1054557052693301</v>
      </c>
      <c r="AN166" s="10">
        <f t="shared" si="489"/>
        <v>2.8556780656180245</v>
      </c>
      <c r="AO166" s="10">
        <f t="shared" si="489"/>
        <v>5.2649298460092231</v>
      </c>
      <c r="AP166" s="10"/>
      <c r="AQ166" s="10">
        <f t="shared" si="490"/>
        <v>3.3163671158079842</v>
      </c>
      <c r="AR166" s="10">
        <f t="shared" si="490"/>
        <v>5.3543963730337971</v>
      </c>
      <c r="AS166" s="10">
        <f t="shared" si="490"/>
        <v>7.8973947690138377</v>
      </c>
    </row>
    <row r="167" spans="1:46">
      <c r="A167" s="185" t="s">
        <v>16</v>
      </c>
      <c r="B167" s="185" t="s">
        <v>132</v>
      </c>
      <c r="C167" s="185" t="s">
        <v>85</v>
      </c>
      <c r="D167" s="185" t="str">
        <f>D166</f>
        <v>billion</v>
      </c>
      <c r="E167" s="298">
        <f t="shared" ref="E167:E168" si="493">E155</f>
        <v>15.023482841814213</v>
      </c>
      <c r="F167" s="50">
        <f t="shared" si="462"/>
        <v>12.322446292964566</v>
      </c>
      <c r="G167" s="50">
        <f t="shared" si="463"/>
        <v>8.6260563043864682</v>
      </c>
      <c r="H167" s="50">
        <f t="shared" si="464"/>
        <v>8.8235934445777957</v>
      </c>
      <c r="I167" s="50">
        <f t="shared" si="465"/>
        <v>8.9818459792306626</v>
      </c>
      <c r="J167" s="50">
        <f t="shared" si="466"/>
        <v>9.109534236706498</v>
      </c>
      <c r="K167" s="50">
        <f t="shared" si="467"/>
        <v>9.2746412545411498</v>
      </c>
      <c r="L167" s="50">
        <f t="shared" si="468"/>
        <v>8.8919014171168609</v>
      </c>
      <c r="M167" s="50">
        <f t="shared" si="469"/>
        <v>8.2767445989176256</v>
      </c>
      <c r="N167" s="185" t="str">
        <f t="shared" si="470"/>
        <v>Metro Rail</v>
      </c>
      <c r="O167" s="10">
        <f>O155</f>
        <v>12.322446292964566</v>
      </c>
      <c r="P167" s="10">
        <f t="shared" ref="P167:S167" si="494">P155</f>
        <v>8.6260563043864682</v>
      </c>
      <c r="Q167" s="10">
        <f t="shared" si="494"/>
        <v>8.8235934445777957</v>
      </c>
      <c r="R167" s="10">
        <f t="shared" si="494"/>
        <v>8.9818459792306626</v>
      </c>
      <c r="S167" s="10">
        <f t="shared" si="494"/>
        <v>9.109534236706498</v>
      </c>
      <c r="T167" s="306">
        <f t="shared" ref="T167:V168" si="495">T155</f>
        <v>9.2746412545411498</v>
      </c>
      <c r="U167" s="306">
        <f t="shared" si="495"/>
        <v>8.8919014171168609</v>
      </c>
      <c r="V167" s="306">
        <f t="shared" si="495"/>
        <v>8.2767445989176256</v>
      </c>
      <c r="X167" s="10">
        <f t="shared" si="476"/>
        <v>12.322446292964566</v>
      </c>
      <c r="Y167" s="10">
        <f t="shared" si="477"/>
        <v>8.6260563043864682</v>
      </c>
      <c r="Z167" s="10">
        <f t="shared" si="478"/>
        <v>8.8235934445777957</v>
      </c>
      <c r="AA167" s="10">
        <f t="shared" si="479"/>
        <v>8.9818459792306626</v>
      </c>
      <c r="AB167" s="10">
        <f t="shared" si="480"/>
        <v>9.109534236706498</v>
      </c>
      <c r="AC167" s="310" t="e">
        <f t="array" ref="AC167">T167+INDEX($AI$161:$AS$168,MATCH($C167,$C$161:$C$168,0),MATCH(AC$160&amp;$D$3,$AI$160:$AS$160&amp;$AI$159:$AS$159,0))</f>
        <v>#N/A</v>
      </c>
      <c r="AD167" s="310" t="e">
        <f t="array" ref="AD167">U167+INDEX($AI$161:$AS$168,MATCH($C167,$C$161:$C$168,0),MATCH(AD$160&amp;$D$3,$AI$160:$AS$160&amp;$AI$159:$AS$159,0))</f>
        <v>#N/A</v>
      </c>
      <c r="AE167" s="310" t="e">
        <f t="array" ref="AE167">V167+INDEX($AI$161:$AS$168,MATCH($C167,$C$161:$C$168,0),MATCH(AE$160&amp;$D$3,$AI$160:$AS$160&amp;$AI$159:$AS$159,0))</f>
        <v>#N/A</v>
      </c>
      <c r="AI167" s="10">
        <f t="shared" si="488"/>
        <v>2.1706820934790128</v>
      </c>
      <c r="AJ167" s="10">
        <f t="shared" si="488"/>
        <v>2.8037166990185241</v>
      </c>
      <c r="AK167" s="10">
        <f t="shared" si="488"/>
        <v>3.4460867995222091</v>
      </c>
      <c r="AL167" s="10"/>
      <c r="AM167" s="10">
        <f t="shared" si="489"/>
        <v>0.72356069782633881</v>
      </c>
      <c r="AN167" s="10">
        <f t="shared" si="489"/>
        <v>1.8691444660123495</v>
      </c>
      <c r="AO167" s="10">
        <f t="shared" si="489"/>
        <v>3.4460867995222091</v>
      </c>
      <c r="AP167" s="10"/>
      <c r="AQ167" s="10">
        <f t="shared" si="490"/>
        <v>2.1706820934790128</v>
      </c>
      <c r="AR167" s="10">
        <f t="shared" si="490"/>
        <v>3.5046458737731561</v>
      </c>
      <c r="AS167" s="10">
        <f t="shared" si="490"/>
        <v>5.1691301992833161</v>
      </c>
    </row>
    <row r="168" spans="1:46">
      <c r="A168" s="185" t="s">
        <v>16</v>
      </c>
      <c r="B168" s="185" t="s">
        <v>133</v>
      </c>
      <c r="C168" s="185" t="s">
        <v>82</v>
      </c>
      <c r="D168" s="185" t="s">
        <v>86</v>
      </c>
      <c r="E168" s="298">
        <f t="shared" si="493"/>
        <v>0.53459848266953358</v>
      </c>
      <c r="F168" s="50">
        <f t="shared" si="462"/>
        <v>0.60923770891438467</v>
      </c>
      <c r="G168" s="50">
        <f t="shared" si="463"/>
        <v>0.64854136839212595</v>
      </c>
      <c r="H168" s="50">
        <f t="shared" si="464"/>
        <v>0.6995709084876961</v>
      </c>
      <c r="I168" s="50">
        <f t="shared" si="465"/>
        <v>0.6476760572601008</v>
      </c>
      <c r="J168" s="50">
        <f t="shared" si="466"/>
        <v>0.64850440608752602</v>
      </c>
      <c r="K168" s="50">
        <f t="shared" si="467"/>
        <v>0.84139460790012854</v>
      </c>
      <c r="L168" s="50">
        <f t="shared" si="468"/>
        <v>1.0461686783454414</v>
      </c>
      <c r="M168" s="50">
        <f t="shared" si="469"/>
        <v>1.2423738452190181</v>
      </c>
      <c r="N168" s="185" t="str">
        <f t="shared" si="470"/>
        <v>Gautrain</v>
      </c>
      <c r="O168" s="10">
        <f>O156</f>
        <v>0.60923770891438467</v>
      </c>
      <c r="P168" s="10">
        <f t="shared" ref="P168:S168" si="496">P156</f>
        <v>0.64854136839212595</v>
      </c>
      <c r="Q168" s="10">
        <f t="shared" si="496"/>
        <v>0.6995709084876961</v>
      </c>
      <c r="R168" s="10">
        <f t="shared" si="496"/>
        <v>0.6476760572601008</v>
      </c>
      <c r="S168" s="10">
        <f t="shared" si="496"/>
        <v>0.64850440608752602</v>
      </c>
      <c r="T168" s="306">
        <f t="shared" si="495"/>
        <v>0.84139460790012854</v>
      </c>
      <c r="U168" s="306">
        <f t="shared" si="495"/>
        <v>1.0461686783454414</v>
      </c>
      <c r="V168" s="306">
        <f t="shared" si="495"/>
        <v>1.2423738452190181</v>
      </c>
      <c r="X168" s="10">
        <f t="shared" si="476"/>
        <v>0.60923770891438467</v>
      </c>
      <c r="Y168" s="10">
        <f t="shared" si="477"/>
        <v>0.64854136839212595</v>
      </c>
      <c r="Z168" s="10">
        <f t="shared" si="478"/>
        <v>0.6995709084876961</v>
      </c>
      <c r="AA168" s="10">
        <f t="shared" si="479"/>
        <v>0.6476760572601008</v>
      </c>
      <c r="AB168" s="10">
        <f t="shared" si="480"/>
        <v>0.64850440608752602</v>
      </c>
      <c r="AC168" s="310" t="e">
        <f t="array" ref="AC168">T168+INDEX($AI$161:$AS$168,MATCH($C168,$C$161:$C$168,0),MATCH(AC$160&amp;$D$3,$AI$160:$AS$160&amp;$AI$159:$AS$159,0))</f>
        <v>#N/A</v>
      </c>
      <c r="AD168" s="310" t="e">
        <f t="array" ref="AD168">U168+INDEX($AI$161:$AS$168,MATCH($C168,$C$161:$C$168,0),MATCH(AD$160&amp;$D$3,$AI$160:$AS$160&amp;$AI$159:$AS$159,0))</f>
        <v>#N/A</v>
      </c>
      <c r="AE168" s="310" t="e">
        <f t="array" ref="AE168">V168+INDEX($AI$161:$AS$168,MATCH($C168,$C$161:$C$168,0),MATCH(AE$160&amp;$D$3,$AI$160:$AS$160&amp;$AI$159:$AS$159,0))</f>
        <v>#N/A</v>
      </c>
      <c r="AI168" s="10">
        <f t="shared" si="488"/>
        <v>0.19692408135186276</v>
      </c>
      <c r="AJ168" s="10">
        <f t="shared" si="488"/>
        <v>0.25435292297464107</v>
      </c>
      <c r="AK168" s="10">
        <f t="shared" si="488"/>
        <v>0.31262867984830184</v>
      </c>
      <c r="AL168" s="10"/>
      <c r="AM168" s="10">
        <f t="shared" si="489"/>
        <v>6.5641360450621036E-2</v>
      </c>
      <c r="AN168" s="10">
        <f t="shared" si="489"/>
        <v>0.16956861531642739</v>
      </c>
      <c r="AO168" s="10">
        <f t="shared" si="489"/>
        <v>0.31262867984830184</v>
      </c>
      <c r="AP168" s="10"/>
      <c r="AQ168" s="10">
        <f t="shared" si="490"/>
        <v>0.19692408135186276</v>
      </c>
      <c r="AR168" s="10">
        <f t="shared" si="490"/>
        <v>0.31794115371830145</v>
      </c>
      <c r="AS168" s="10">
        <f t="shared" si="490"/>
        <v>0.46894301977245295</v>
      </c>
    </row>
    <row r="169" spans="1:46">
      <c r="A169" s="185" t="s">
        <v>16</v>
      </c>
      <c r="C169" s="5" t="s">
        <v>5</v>
      </c>
      <c r="E169" s="10">
        <f t="shared" ref="E169:M169" si="497">SUM(E161:E168)</f>
        <v>240.9981779050045</v>
      </c>
      <c r="F169" s="10">
        <f t="shared" si="497"/>
        <v>272.36329371129125</v>
      </c>
      <c r="G169" s="10">
        <f t="shared" si="497"/>
        <v>267.50538626656464</v>
      </c>
      <c r="H169" s="10">
        <f t="shared" si="497"/>
        <v>278.32204942461738</v>
      </c>
      <c r="I169" s="10">
        <f t="shared" si="497"/>
        <v>270.8858143952383</v>
      </c>
      <c r="J169" s="10">
        <f t="shared" si="497"/>
        <v>278.84493218735838</v>
      </c>
      <c r="K169" s="10">
        <f t="shared" si="497"/>
        <v>329.69664893745596</v>
      </c>
      <c r="L169" s="10">
        <f t="shared" si="497"/>
        <v>389.85818241150531</v>
      </c>
      <c r="M169" s="10">
        <f t="shared" si="497"/>
        <v>446.77471931344223</v>
      </c>
      <c r="N169" s="39"/>
      <c r="O169" s="10">
        <f>SUM(O161:O168)</f>
        <v>272.36329371129125</v>
      </c>
      <c r="P169" s="10">
        <f t="shared" ref="P169:S169" si="498">SUM(P161:P168)</f>
        <v>267.50538626656464</v>
      </c>
      <c r="Q169" s="10">
        <f t="shared" si="498"/>
        <v>278.32204942461738</v>
      </c>
      <c r="R169" s="10">
        <f t="shared" si="498"/>
        <v>270.8858143952383</v>
      </c>
      <c r="S169" s="10">
        <f t="shared" si="498"/>
        <v>278.84493218735838</v>
      </c>
      <c r="T169" s="10">
        <f>SUM(T161:T168)</f>
        <v>329.69664893745596</v>
      </c>
      <c r="U169" s="10">
        <f>SUM(U161:U168)</f>
        <v>389.85818241150531</v>
      </c>
      <c r="V169" s="10">
        <f>SUM(V161:V168)</f>
        <v>446.77471931344223</v>
      </c>
      <c r="W169" s="281"/>
      <c r="X169" s="10">
        <f>SUM(X161:X168)</f>
        <v>272.36329371129125</v>
      </c>
      <c r="Y169" s="10">
        <f t="shared" ref="Y169:AB169" si="499">SUM(Y161:Y168)</f>
        <v>267.50538626656464</v>
      </c>
      <c r="Z169" s="10">
        <f t="shared" si="499"/>
        <v>278.32204942461738</v>
      </c>
      <c r="AA169" s="10">
        <f t="shared" si="499"/>
        <v>270.8858143952383</v>
      </c>
      <c r="AB169" s="10">
        <f t="shared" si="499"/>
        <v>278.84493218735838</v>
      </c>
      <c r="AC169" s="10" t="e">
        <f>SUM(AC161:AC168)</f>
        <v>#N/A</v>
      </c>
      <c r="AD169" s="10" t="e">
        <f>SUM(AD161:AD168)</f>
        <v>#N/A</v>
      </c>
      <c r="AE169" s="10" t="e">
        <f>SUM(AE161:AE168)</f>
        <v>#N/A</v>
      </c>
      <c r="AQ169" s="185" t="s">
        <v>622</v>
      </c>
    </row>
    <row r="170" spans="1:46" ht="15.75" thickBot="1">
      <c r="A170" s="185" t="s">
        <v>16</v>
      </c>
      <c r="L170" s="185"/>
      <c r="N170" s="40"/>
      <c r="W170" s="281"/>
      <c r="AE170" s="126"/>
      <c r="AI170" s="250">
        <v>1</v>
      </c>
      <c r="AJ170" s="250">
        <v>1</v>
      </c>
      <c r="AK170" s="250">
        <v>1</v>
      </c>
      <c r="AL170" s="250"/>
      <c r="AM170" s="250">
        <v>2</v>
      </c>
      <c r="AN170" s="250">
        <v>2</v>
      </c>
      <c r="AO170" s="250">
        <v>2</v>
      </c>
      <c r="AQ170" s="250">
        <v>2</v>
      </c>
      <c r="AR170" s="250">
        <v>2</v>
      </c>
      <c r="AS170" s="250">
        <v>2</v>
      </c>
    </row>
    <row r="171" spans="1:46" ht="15.75" thickBot="1">
      <c r="A171" s="185" t="s">
        <v>16</v>
      </c>
      <c r="C171" s="227" t="s">
        <v>143</v>
      </c>
      <c r="D171" s="227"/>
      <c r="E171" s="250">
        <v>2012</v>
      </c>
      <c r="F171" s="250">
        <f>F4</f>
        <v>2015</v>
      </c>
      <c r="G171" s="250">
        <f>G4</f>
        <v>2017</v>
      </c>
      <c r="H171" s="280">
        <f t="shared" ref="H171:J171" si="500">H4</f>
        <v>2019</v>
      </c>
      <c r="I171" s="280">
        <f t="shared" si="500"/>
        <v>2020</v>
      </c>
      <c r="J171" s="280">
        <f t="shared" si="500"/>
        <v>2021</v>
      </c>
      <c r="K171" s="250">
        <v>2030</v>
      </c>
      <c r="L171" s="250">
        <v>2040</v>
      </c>
      <c r="M171" s="250">
        <v>2050</v>
      </c>
      <c r="N171" s="250"/>
      <c r="O171" s="297">
        <f>O160</f>
        <v>2015</v>
      </c>
      <c r="P171" s="297">
        <f t="shared" ref="P171:V171" si="501">P160</f>
        <v>2017</v>
      </c>
      <c r="Q171" s="297">
        <f t="shared" si="501"/>
        <v>2019</v>
      </c>
      <c r="R171" s="297">
        <f t="shared" si="501"/>
        <v>2020</v>
      </c>
      <c r="S171" s="297">
        <f t="shared" si="501"/>
        <v>2021</v>
      </c>
      <c r="T171" s="297">
        <f t="shared" si="501"/>
        <v>2030</v>
      </c>
      <c r="U171" s="297">
        <f t="shared" si="501"/>
        <v>2040</v>
      </c>
      <c r="V171" s="297">
        <f t="shared" si="501"/>
        <v>2050</v>
      </c>
      <c r="W171" s="281"/>
      <c r="X171" s="297">
        <f>X160</f>
        <v>2015</v>
      </c>
      <c r="Y171" s="297">
        <f t="shared" ref="Y171:AE171" si="502">Y160</f>
        <v>2017</v>
      </c>
      <c r="Z171" s="297">
        <f t="shared" si="502"/>
        <v>2019</v>
      </c>
      <c r="AA171" s="297">
        <f t="shared" si="502"/>
        <v>2020</v>
      </c>
      <c r="AB171" s="297">
        <f t="shared" si="502"/>
        <v>2021</v>
      </c>
      <c r="AC171" s="297">
        <f t="shared" si="502"/>
        <v>2030</v>
      </c>
      <c r="AD171" s="297">
        <f t="shared" si="502"/>
        <v>2040</v>
      </c>
      <c r="AE171" s="297">
        <f t="shared" si="502"/>
        <v>2050</v>
      </c>
      <c r="AF171" s="250"/>
      <c r="AI171" s="250">
        <v>2030</v>
      </c>
      <c r="AJ171" s="250">
        <v>2040</v>
      </c>
      <c r="AK171" s="250">
        <v>2050</v>
      </c>
      <c r="AL171" s="250"/>
      <c r="AM171" s="250">
        <v>2030</v>
      </c>
      <c r="AN171" s="250">
        <v>2040</v>
      </c>
      <c r="AO171" s="250">
        <v>2050</v>
      </c>
      <c r="AP171" s="250"/>
      <c r="AQ171" s="250">
        <v>2030</v>
      </c>
      <c r="AR171" s="250">
        <v>2040</v>
      </c>
      <c r="AS171" s="250">
        <v>2050</v>
      </c>
      <c r="AT171" s="250"/>
    </row>
    <row r="172" spans="1:46">
      <c r="A172" s="185" t="s">
        <v>16</v>
      </c>
      <c r="B172" s="185" t="str">
        <f t="shared" ref="B172:C179" si="503">B161</f>
        <v>TPPRCAR</v>
      </c>
      <c r="C172" s="185" t="str">
        <f t="shared" si="503"/>
        <v>Car</v>
      </c>
      <c r="E172" s="240">
        <f t="shared" ref="E172:G179" si="504">E161/E$169</f>
        <v>0.45087422025693868</v>
      </c>
      <c r="F172" s="240">
        <f>F161/F$169</f>
        <v>0.41522929189796737</v>
      </c>
      <c r="G172" s="240">
        <f t="shared" si="504"/>
        <v>0.41948154992246744</v>
      </c>
      <c r="H172" s="240">
        <f>H161/H$169</f>
        <v>0.42316400513543673</v>
      </c>
      <c r="I172" s="240">
        <f t="shared" ref="I172:J172" si="505">I161/I$169</f>
        <v>0.40609569808370272</v>
      </c>
      <c r="J172" s="240">
        <f t="shared" si="505"/>
        <v>0.39826640553727538</v>
      </c>
      <c r="K172" s="240">
        <f t="shared" ref="K172:M179" si="506">K161/K$169</f>
        <v>0.43742117870300157</v>
      </c>
      <c r="L172" s="240">
        <f t="shared" si="506"/>
        <v>0.47779938943818034</v>
      </c>
      <c r="M172" s="240">
        <f t="shared" si="506"/>
        <v>0.51245500295271462</v>
      </c>
      <c r="N172" s="40" t="str">
        <f>C172</f>
        <v>Car</v>
      </c>
      <c r="O172" s="240">
        <f t="shared" ref="O172:O179" si="507">O161/O$169</f>
        <v>0.41522929189796737</v>
      </c>
      <c r="P172" s="240">
        <f t="shared" ref="P172:S172" si="508">P161/P$169</f>
        <v>0.41948154992246744</v>
      </c>
      <c r="Q172" s="240">
        <f t="shared" si="508"/>
        <v>0.42316400513543673</v>
      </c>
      <c r="R172" s="240">
        <f t="shared" si="508"/>
        <v>0.40609569808370272</v>
      </c>
      <c r="S172" s="240">
        <f t="shared" si="508"/>
        <v>0.39826640553727538</v>
      </c>
      <c r="T172" s="307">
        <f t="shared" ref="T172:V179" si="509">T161/T$169</f>
        <v>0.43742117870300157</v>
      </c>
      <c r="U172" s="307">
        <f t="shared" si="509"/>
        <v>0.47779938943818034</v>
      </c>
      <c r="V172" s="307">
        <f t="shared" si="509"/>
        <v>0.51245500295271462</v>
      </c>
      <c r="W172" s="281"/>
      <c r="X172" s="240">
        <f>O172</f>
        <v>0.41522929189796737</v>
      </c>
      <c r="Y172" s="240">
        <f t="shared" ref="Y172:AB172" si="510">P172</f>
        <v>0.41948154992246744</v>
      </c>
      <c r="Z172" s="240">
        <f t="shared" si="510"/>
        <v>0.42316400513543673</v>
      </c>
      <c r="AA172" s="240">
        <f t="shared" si="510"/>
        <v>0.40609569808370272</v>
      </c>
      <c r="AB172" s="240">
        <f t="shared" si="510"/>
        <v>0.39826640553727538</v>
      </c>
      <c r="AC172" s="240" t="e">
        <f t="shared" ref="AC172:AE179" si="511">AC161/AC$169</f>
        <v>#N/A</v>
      </c>
      <c r="AD172" s="240" t="e">
        <f t="shared" si="511"/>
        <v>#N/A</v>
      </c>
      <c r="AE172" s="240" t="e">
        <f t="shared" si="511"/>
        <v>#N/A</v>
      </c>
      <c r="AI172" s="190"/>
      <c r="AJ172" s="190"/>
      <c r="AK172" s="190"/>
      <c r="AM172" s="190"/>
      <c r="AN172" s="190"/>
      <c r="AO172" s="190"/>
      <c r="AQ172" s="233"/>
      <c r="AR172" s="233"/>
      <c r="AS172" s="233"/>
    </row>
    <row r="173" spans="1:46">
      <c r="A173" s="185" t="s">
        <v>16</v>
      </c>
      <c r="B173" s="185" t="str">
        <f t="shared" si="503"/>
        <v>TPPRSUV</v>
      </c>
      <c r="C173" s="185" t="str">
        <f t="shared" si="503"/>
        <v>SUV</v>
      </c>
      <c r="E173" s="240">
        <f t="shared" si="504"/>
        <v>5.7739571635661201E-2</v>
      </c>
      <c r="F173" s="240">
        <f t="shared" si="504"/>
        <v>6.8096686907411483E-2</v>
      </c>
      <c r="G173" s="240">
        <f t="shared" si="504"/>
        <v>8.9139829358524339E-2</v>
      </c>
      <c r="H173" s="240">
        <f t="shared" ref="H173:J173" si="512">H162/H$169</f>
        <v>8.9922351091280314E-2</v>
      </c>
      <c r="I173" s="240">
        <f t="shared" si="512"/>
        <v>8.6295335842786841E-2</v>
      </c>
      <c r="J173" s="240">
        <f t="shared" si="512"/>
        <v>8.4631611176671048E-2</v>
      </c>
      <c r="K173" s="240">
        <f t="shared" si="506"/>
        <v>9.2952000474387841E-2</v>
      </c>
      <c r="L173" s="240">
        <f t="shared" si="506"/>
        <v>0.10153237025561333</v>
      </c>
      <c r="M173" s="240">
        <f t="shared" si="506"/>
        <v>0.10889668812745187</v>
      </c>
      <c r="N173" s="40"/>
      <c r="O173" s="240">
        <f t="shared" si="507"/>
        <v>6.8096686907411483E-2</v>
      </c>
      <c r="P173" s="240">
        <f t="shared" ref="P173:S173" si="513">P162/P$169</f>
        <v>8.9139829358524339E-2</v>
      </c>
      <c r="Q173" s="240">
        <f t="shared" si="513"/>
        <v>8.9922351091280314E-2</v>
      </c>
      <c r="R173" s="240">
        <f t="shared" si="513"/>
        <v>8.6295335842786841E-2</v>
      </c>
      <c r="S173" s="240">
        <f t="shared" si="513"/>
        <v>8.4631611176671048E-2</v>
      </c>
      <c r="T173" s="307">
        <f t="shared" si="509"/>
        <v>9.2952000474387841E-2</v>
      </c>
      <c r="U173" s="307">
        <f t="shared" si="509"/>
        <v>0.10153237025561333</v>
      </c>
      <c r="V173" s="307">
        <f t="shared" si="509"/>
        <v>0.10889668812745187</v>
      </c>
      <c r="W173" s="281"/>
      <c r="X173" s="240">
        <f t="shared" ref="X173:X182" si="514">O173</f>
        <v>6.8096686907411483E-2</v>
      </c>
      <c r="Y173" s="240">
        <f t="shared" ref="Y173:Y182" si="515">P173</f>
        <v>8.9139829358524339E-2</v>
      </c>
      <c r="Z173" s="240">
        <f t="shared" ref="Z173:Z182" si="516">Q173</f>
        <v>8.9922351091280314E-2</v>
      </c>
      <c r="AA173" s="240">
        <f t="shared" ref="AA173:AA182" si="517">R173</f>
        <v>8.6295335842786841E-2</v>
      </c>
      <c r="AB173" s="240">
        <f t="shared" ref="AB173:AB182" si="518">S173</f>
        <v>8.4631611176671048E-2</v>
      </c>
      <c r="AC173" s="307" t="e">
        <f t="shared" si="511"/>
        <v>#N/A</v>
      </c>
      <c r="AD173" s="307" t="e">
        <f t="shared" si="511"/>
        <v>#N/A</v>
      </c>
      <c r="AE173" s="307" t="e">
        <f t="shared" si="511"/>
        <v>#N/A</v>
      </c>
      <c r="AI173" s="190"/>
      <c r="AJ173" s="190"/>
      <c r="AK173" s="190"/>
      <c r="AM173" s="190"/>
      <c r="AN173" s="190"/>
      <c r="AO173" s="190"/>
      <c r="AQ173" s="233"/>
      <c r="AR173" s="233"/>
      <c r="AS173" s="233"/>
    </row>
    <row r="174" spans="1:46">
      <c r="A174" s="185" t="s">
        <v>16</v>
      </c>
      <c r="B174" s="185" t="str">
        <f t="shared" si="503"/>
        <v>TPPRMOT</v>
      </c>
      <c r="C174" s="185" t="str">
        <f t="shared" si="503"/>
        <v>Motorbike</v>
      </c>
      <c r="E174" s="240">
        <f t="shared" si="504"/>
        <v>1.9546039839333361E-2</v>
      </c>
      <c r="F174" s="240">
        <f t="shared" si="504"/>
        <v>1.4592147194445316E-2</v>
      </c>
      <c r="G174" s="240">
        <f t="shared" si="504"/>
        <v>1.5730558122092529E-2</v>
      </c>
      <c r="H174" s="240">
        <f t="shared" ref="H174:J174" si="519">H163/H$169</f>
        <v>1.5868650192578878E-2</v>
      </c>
      <c r="I174" s="240">
        <f t="shared" si="519"/>
        <v>1.5228588678138852E-2</v>
      </c>
      <c r="J174" s="240">
        <f t="shared" si="519"/>
        <v>1.493499020764783E-2</v>
      </c>
      <c r="K174" s="240">
        <f t="shared" si="506"/>
        <v>1.6403294201362557E-2</v>
      </c>
      <c r="L174" s="240">
        <f t="shared" si="506"/>
        <v>1.7917477103931764E-2</v>
      </c>
      <c r="M174" s="240">
        <f t="shared" si="506"/>
        <v>1.9217062610726799E-2</v>
      </c>
      <c r="N174" s="40"/>
      <c r="O174" s="240">
        <f t="shared" si="507"/>
        <v>1.4592147194445316E-2</v>
      </c>
      <c r="P174" s="240">
        <f t="shared" ref="P174:S174" si="520">P163/P$169</f>
        <v>1.5730558122092529E-2</v>
      </c>
      <c r="Q174" s="240">
        <f t="shared" si="520"/>
        <v>1.5868650192578878E-2</v>
      </c>
      <c r="R174" s="240">
        <f t="shared" si="520"/>
        <v>1.5228588678138852E-2</v>
      </c>
      <c r="S174" s="240">
        <f t="shared" si="520"/>
        <v>1.493499020764783E-2</v>
      </c>
      <c r="T174" s="307">
        <f t="shared" si="509"/>
        <v>1.6403294201362557E-2</v>
      </c>
      <c r="U174" s="307">
        <f t="shared" si="509"/>
        <v>1.7917477103931764E-2</v>
      </c>
      <c r="V174" s="307">
        <f t="shared" si="509"/>
        <v>1.9217062610726799E-2</v>
      </c>
      <c r="W174" s="281"/>
      <c r="X174" s="240">
        <f t="shared" si="514"/>
        <v>1.4592147194445316E-2</v>
      </c>
      <c r="Y174" s="240">
        <f t="shared" si="515"/>
        <v>1.5730558122092529E-2</v>
      </c>
      <c r="Z174" s="240">
        <f t="shared" si="516"/>
        <v>1.5868650192578878E-2</v>
      </c>
      <c r="AA174" s="240">
        <f t="shared" si="517"/>
        <v>1.5228588678138852E-2</v>
      </c>
      <c r="AB174" s="240">
        <f t="shared" si="518"/>
        <v>1.493499020764783E-2</v>
      </c>
      <c r="AC174" s="307" t="e">
        <f t="shared" si="511"/>
        <v>#N/A</v>
      </c>
      <c r="AD174" s="307" t="e">
        <f t="shared" si="511"/>
        <v>#N/A</v>
      </c>
      <c r="AE174" s="307" t="e">
        <f t="shared" si="511"/>
        <v>#N/A</v>
      </c>
      <c r="AI174" s="190"/>
      <c r="AJ174" s="190"/>
      <c r="AK174" s="190"/>
      <c r="AM174" s="190"/>
      <c r="AN174" s="190"/>
      <c r="AO174" s="190"/>
    </row>
    <row r="175" spans="1:46">
      <c r="A175" s="185" t="s">
        <v>16</v>
      </c>
      <c r="B175" s="185" t="str">
        <f t="shared" si="503"/>
        <v>TPPUBUS</v>
      </c>
      <c r="C175" s="185" t="str">
        <f t="shared" si="503"/>
        <v>Bus</v>
      </c>
      <c r="E175" s="240">
        <f t="shared" si="504"/>
        <v>6.4107485696550143E-2</v>
      </c>
      <c r="F175" s="240">
        <f t="shared" si="504"/>
        <v>0.10341976863779595</v>
      </c>
      <c r="G175" s="240">
        <f t="shared" si="504"/>
        <v>6.9165955701273221E-2</v>
      </c>
      <c r="H175" s="240">
        <f t="shared" ref="H175:J175" si="521">H164/H$169</f>
        <v>6.8000248585824333E-2</v>
      </c>
      <c r="I175" s="240">
        <f t="shared" si="521"/>
        <v>7.1120035613736976E-2</v>
      </c>
      <c r="J175" s="240">
        <f t="shared" si="521"/>
        <v>7.0072246510939837E-2</v>
      </c>
      <c r="K175" s="240">
        <f t="shared" si="506"/>
        <v>6.0338597555207103E-2</v>
      </c>
      <c r="L175" s="240">
        <f t="shared" si="506"/>
        <v>4.8921595235114967E-2</v>
      </c>
      <c r="M175" s="240">
        <f t="shared" si="506"/>
        <v>3.9735948864470162E-2</v>
      </c>
      <c r="N175" s="40"/>
      <c r="O175" s="240">
        <f t="shared" si="507"/>
        <v>0.10341976863779595</v>
      </c>
      <c r="P175" s="240">
        <f t="shared" ref="P175:S175" si="522">P164/P$169</f>
        <v>6.9165955701273221E-2</v>
      </c>
      <c r="Q175" s="240">
        <f t="shared" si="522"/>
        <v>6.8000248585824333E-2</v>
      </c>
      <c r="R175" s="240">
        <f t="shared" si="522"/>
        <v>7.1120035613736976E-2</v>
      </c>
      <c r="S175" s="240">
        <f t="shared" si="522"/>
        <v>7.0072246510939837E-2</v>
      </c>
      <c r="T175" s="307">
        <f t="shared" si="509"/>
        <v>6.0338597555207103E-2</v>
      </c>
      <c r="U175" s="307">
        <f t="shared" si="509"/>
        <v>4.8921595235114967E-2</v>
      </c>
      <c r="V175" s="307">
        <f t="shared" si="509"/>
        <v>3.9735948864470162E-2</v>
      </c>
      <c r="W175" s="281"/>
      <c r="X175" s="240">
        <f t="shared" si="514"/>
        <v>0.10341976863779595</v>
      </c>
      <c r="Y175" s="240">
        <f t="shared" si="515"/>
        <v>6.9165955701273221E-2</v>
      </c>
      <c r="Z175" s="240">
        <f t="shared" si="516"/>
        <v>6.8000248585824333E-2</v>
      </c>
      <c r="AA175" s="240">
        <f t="shared" si="517"/>
        <v>7.1120035613736976E-2</v>
      </c>
      <c r="AB175" s="240">
        <f t="shared" si="518"/>
        <v>7.0072246510939837E-2</v>
      </c>
      <c r="AC175" s="307" t="e">
        <f t="shared" si="511"/>
        <v>#N/A</v>
      </c>
      <c r="AD175" s="307" t="e">
        <f t="shared" si="511"/>
        <v>#N/A</v>
      </c>
      <c r="AE175" s="307" t="e">
        <f t="shared" si="511"/>
        <v>#N/A</v>
      </c>
      <c r="AG175" s="255">
        <f>T175</f>
        <v>6.0338597555207103E-2</v>
      </c>
      <c r="AI175" s="308">
        <f>AG175/$AG$180</f>
        <v>0.13313209489592787</v>
      </c>
      <c r="AJ175" s="308">
        <f>AI175</f>
        <v>0.13313209489592787</v>
      </c>
      <c r="AK175" s="308">
        <f>AJ175</f>
        <v>0.13313209489592787</v>
      </c>
      <c r="AL175" s="309"/>
      <c r="AM175" s="308">
        <f>AI175</f>
        <v>0.13313209489592787</v>
      </c>
      <c r="AN175" s="308">
        <f t="shared" ref="AN175:AO179" si="523">AJ175</f>
        <v>0.13313209489592787</v>
      </c>
      <c r="AO175" s="308">
        <f t="shared" si="523"/>
        <v>0.13313209489592787</v>
      </c>
      <c r="AP175" s="309"/>
      <c r="AQ175" s="308">
        <f>AM175</f>
        <v>0.13313209489592787</v>
      </c>
      <c r="AR175" s="308">
        <f t="shared" ref="AR175:AS179" si="524">AN175</f>
        <v>0.13313209489592787</v>
      </c>
      <c r="AS175" s="308">
        <f t="shared" si="524"/>
        <v>0.13313209489592787</v>
      </c>
    </row>
    <row r="176" spans="1:46">
      <c r="A176" s="185" t="s">
        <v>16</v>
      </c>
      <c r="B176" s="185" t="str">
        <f t="shared" si="503"/>
        <v>TPPUMBT</v>
      </c>
      <c r="C176" s="185" t="str">
        <f t="shared" si="503"/>
        <v>Minibus</v>
      </c>
      <c r="E176" s="240">
        <f t="shared" si="504"/>
        <v>0.34098829871116076</v>
      </c>
      <c r="F176" s="240">
        <f t="shared" si="504"/>
        <v>0.34824021728346571</v>
      </c>
      <c r="G176" s="240">
        <f t="shared" si="504"/>
        <v>0.36592529266281709</v>
      </c>
      <c r="H176" s="240">
        <f t="shared" ref="H176:J176" si="525">H165/H$169</f>
        <v>0.3597580719101382</v>
      </c>
      <c r="I176" s="240">
        <f t="shared" si="525"/>
        <v>0.37626343165916259</v>
      </c>
      <c r="J176" s="240">
        <f t="shared" si="525"/>
        <v>0.37072006093287768</v>
      </c>
      <c r="K176" s="240">
        <f t="shared" si="506"/>
        <v>0.31922379652518351</v>
      </c>
      <c r="L176" s="240">
        <f t="shared" si="506"/>
        <v>0.25882168289929069</v>
      </c>
      <c r="M176" s="240">
        <f t="shared" si="506"/>
        <v>0.21022464838432522</v>
      </c>
      <c r="N176" s="40"/>
      <c r="O176" s="240">
        <f t="shared" si="507"/>
        <v>0.34824021728346571</v>
      </c>
      <c r="P176" s="240">
        <f t="shared" ref="P176:S176" si="526">P165/P$169</f>
        <v>0.36592529266281709</v>
      </c>
      <c r="Q176" s="240">
        <f t="shared" si="526"/>
        <v>0.3597580719101382</v>
      </c>
      <c r="R176" s="240">
        <f t="shared" si="526"/>
        <v>0.37626343165916259</v>
      </c>
      <c r="S176" s="240">
        <f t="shared" si="526"/>
        <v>0.37072006093287768</v>
      </c>
      <c r="T176" s="307">
        <f t="shared" si="509"/>
        <v>0.31922379652518351</v>
      </c>
      <c r="U176" s="307">
        <f t="shared" si="509"/>
        <v>0.25882168289929069</v>
      </c>
      <c r="V176" s="307">
        <f t="shared" si="509"/>
        <v>0.21022464838432522</v>
      </c>
      <c r="W176" s="281"/>
      <c r="X176" s="240">
        <f t="shared" si="514"/>
        <v>0.34824021728346571</v>
      </c>
      <c r="Y176" s="240">
        <f t="shared" si="515"/>
        <v>0.36592529266281709</v>
      </c>
      <c r="Z176" s="240">
        <f t="shared" si="516"/>
        <v>0.3597580719101382</v>
      </c>
      <c r="AA176" s="240">
        <f t="shared" si="517"/>
        <v>0.37626343165916259</v>
      </c>
      <c r="AB176" s="240">
        <f t="shared" si="518"/>
        <v>0.37072006093287768</v>
      </c>
      <c r="AC176" s="307" t="e">
        <f t="shared" si="511"/>
        <v>#N/A</v>
      </c>
      <c r="AD176" s="307" t="e">
        <f t="shared" si="511"/>
        <v>#N/A</v>
      </c>
      <c r="AE176" s="307" t="e">
        <f t="shared" si="511"/>
        <v>#N/A</v>
      </c>
      <c r="AG176" s="255">
        <f>T176</f>
        <v>0.31922379652518351</v>
      </c>
      <c r="AI176" s="308">
        <f>1-SUM(AI177:AI179,AI175)</f>
        <v>0.70434074529399693</v>
      </c>
      <c r="AJ176" s="308">
        <f t="shared" ref="AJ176:AK176" si="527">1-SUM(AJ177:AJ179,AJ175)</f>
        <v>0.70434074529399693</v>
      </c>
      <c r="AK176" s="308">
        <f t="shared" si="527"/>
        <v>0.70434074529399693</v>
      </c>
      <c r="AL176" s="309"/>
      <c r="AM176" s="308">
        <f t="shared" ref="AM176:AM179" si="528">AI176</f>
        <v>0.70434074529399693</v>
      </c>
      <c r="AN176" s="308">
        <f t="shared" si="523"/>
        <v>0.70434074529399693</v>
      </c>
      <c r="AO176" s="308">
        <f t="shared" si="523"/>
        <v>0.70434074529399693</v>
      </c>
      <c r="AP176" s="309"/>
      <c r="AQ176" s="308">
        <f t="shared" ref="AQ176:AQ178" si="529">AM176</f>
        <v>0.70434074529399693</v>
      </c>
      <c r="AR176" s="308">
        <f t="shared" si="524"/>
        <v>0.70434074529399693</v>
      </c>
      <c r="AS176" s="308">
        <f t="shared" si="524"/>
        <v>0.70434074529399693</v>
      </c>
    </row>
    <row r="177" spans="1:47">
      <c r="A177" s="185" t="s">
        <v>16</v>
      </c>
      <c r="B177" s="185" t="str">
        <f t="shared" si="503"/>
        <v>TPPUBRT</v>
      </c>
      <c r="C177" s="185" t="str">
        <f t="shared" si="503"/>
        <v>BRT</v>
      </c>
      <c r="E177" s="240">
        <f t="shared" si="504"/>
        <v>2.1875417309668833E-3</v>
      </c>
      <c r="F177" s="240">
        <f t="shared" si="504"/>
        <v>2.9423476986062138E-3</v>
      </c>
      <c r="G177" s="240">
        <f t="shared" si="504"/>
        <v>5.886119177972912E-3</v>
      </c>
      <c r="H177" s="240">
        <f t="shared" ref="H177:J177" si="530">H166/H$169</f>
        <v>9.0703241725622122E-3</v>
      </c>
      <c r="I177" s="240">
        <f t="shared" si="530"/>
        <v>9.4486402435599581E-3</v>
      </c>
      <c r="J177" s="240">
        <f t="shared" si="530"/>
        <v>2.638018684184178E-2</v>
      </c>
      <c r="K177" s="240">
        <f t="shared" si="506"/>
        <v>4.2978273327568033E-2</v>
      </c>
      <c r="L177" s="240">
        <f t="shared" si="506"/>
        <v>6.9515984456058152E-2</v>
      </c>
      <c r="M177" s="240">
        <f t="shared" si="506"/>
        <v>8.816434404205821E-2</v>
      </c>
      <c r="N177" s="40"/>
      <c r="O177" s="240">
        <f t="shared" si="507"/>
        <v>2.9423476986062138E-3</v>
      </c>
      <c r="P177" s="240">
        <f t="shared" ref="P177:S177" si="531">P166/P$169</f>
        <v>5.886119177972912E-3</v>
      </c>
      <c r="Q177" s="240">
        <f t="shared" si="531"/>
        <v>9.0703241725622122E-3</v>
      </c>
      <c r="R177" s="240">
        <f t="shared" si="531"/>
        <v>9.4486402435599581E-3</v>
      </c>
      <c r="S177" s="240">
        <f t="shared" si="531"/>
        <v>2.638018684184178E-2</v>
      </c>
      <c r="T177" s="307">
        <f t="shared" si="509"/>
        <v>4.2978273327568033E-2</v>
      </c>
      <c r="U177" s="307">
        <f t="shared" si="509"/>
        <v>6.9515984456058152E-2</v>
      </c>
      <c r="V177" s="307">
        <f t="shared" si="509"/>
        <v>8.816434404205821E-2</v>
      </c>
      <c r="W177" s="281"/>
      <c r="X177" s="240">
        <f t="shared" si="514"/>
        <v>2.9423476986062138E-3</v>
      </c>
      <c r="Y177" s="240">
        <f t="shared" si="515"/>
        <v>5.886119177972912E-3</v>
      </c>
      <c r="Z177" s="240">
        <f t="shared" si="516"/>
        <v>9.0703241725622122E-3</v>
      </c>
      <c r="AA177" s="240">
        <f t="shared" si="517"/>
        <v>9.4486402435599581E-3</v>
      </c>
      <c r="AB177" s="240">
        <f t="shared" si="518"/>
        <v>2.638018684184178E-2</v>
      </c>
      <c r="AC177" s="307" t="e">
        <f t="shared" si="511"/>
        <v>#N/A</v>
      </c>
      <c r="AD177" s="307" t="e">
        <f t="shared" si="511"/>
        <v>#N/A</v>
      </c>
      <c r="AE177" s="307" t="e">
        <f t="shared" si="511"/>
        <v>#N/A</v>
      </c>
      <c r="AG177" s="255">
        <f>T177</f>
        <v>4.2978273327568033E-2</v>
      </c>
      <c r="AI177" s="308">
        <f>AG177/$AG$180</f>
        <v>9.4827983992729278E-2</v>
      </c>
      <c r="AJ177" s="308">
        <f t="shared" ref="AJ177:AK177" si="532">AI177</f>
        <v>9.4827983992729278E-2</v>
      </c>
      <c r="AK177" s="308">
        <f t="shared" si="532"/>
        <v>9.4827983992729278E-2</v>
      </c>
      <c r="AL177" s="309"/>
      <c r="AM177" s="308">
        <f t="shared" si="528"/>
        <v>9.4827983992729278E-2</v>
      </c>
      <c r="AN177" s="308">
        <f t="shared" si="523"/>
        <v>9.4827983992729278E-2</v>
      </c>
      <c r="AO177" s="308">
        <f t="shared" si="523"/>
        <v>9.4827983992729278E-2</v>
      </c>
      <c r="AP177" s="309"/>
      <c r="AQ177" s="308">
        <f t="shared" si="529"/>
        <v>9.4827983992729278E-2</v>
      </c>
      <c r="AR177" s="308">
        <f t="shared" si="524"/>
        <v>9.4827983992729278E-2</v>
      </c>
      <c r="AS177" s="308">
        <f t="shared" si="524"/>
        <v>9.4827983992729278E-2</v>
      </c>
    </row>
    <row r="178" spans="1:47">
      <c r="A178" s="185" t="s">
        <v>16</v>
      </c>
      <c r="B178" s="185" t="str">
        <f t="shared" si="503"/>
        <v>TPPUMER</v>
      </c>
      <c r="C178" s="185" t="str">
        <f t="shared" si="503"/>
        <v>Metro Rail</v>
      </c>
      <c r="D178" s="254">
        <f>INDEX($BK$4:$BK$7,MATCH($D$3,$BB$4:$BB$7,0))</f>
        <v>0</v>
      </c>
      <c r="E178" s="240">
        <f t="shared" si="504"/>
        <v>6.2338574392608467E-2</v>
      </c>
      <c r="F178" s="240">
        <f t="shared" si="504"/>
        <v>4.5242683494738922E-2</v>
      </c>
      <c r="G178" s="240">
        <f t="shared" si="504"/>
        <v>3.2246290158026006E-2</v>
      </c>
      <c r="H178" s="240">
        <f t="shared" ref="H178:J178" si="533">H167/H$169</f>
        <v>3.1702818597445108E-2</v>
      </c>
      <c r="I178" s="240">
        <f t="shared" si="533"/>
        <v>3.3157313900998971E-2</v>
      </c>
      <c r="J178" s="240">
        <f t="shared" si="533"/>
        <v>3.2668817630100308E-2</v>
      </c>
      <c r="K178" s="240">
        <f t="shared" si="506"/>
        <v>2.8130832643981668E-2</v>
      </c>
      <c r="L178" s="240">
        <f t="shared" si="506"/>
        <v>2.2808041021776557E-2</v>
      </c>
      <c r="M178" s="240">
        <f t="shared" si="506"/>
        <v>1.8525543727354318E-2</v>
      </c>
      <c r="N178" s="40"/>
      <c r="O178" s="240">
        <f t="shared" si="507"/>
        <v>4.5242683494738922E-2</v>
      </c>
      <c r="P178" s="240">
        <f t="shared" ref="P178:S178" si="534">P167/P$169</f>
        <v>3.2246290158026006E-2</v>
      </c>
      <c r="Q178" s="240">
        <f t="shared" si="534"/>
        <v>3.1702818597445108E-2</v>
      </c>
      <c r="R178" s="240">
        <f t="shared" si="534"/>
        <v>3.3157313900998971E-2</v>
      </c>
      <c r="S178" s="240">
        <f t="shared" si="534"/>
        <v>3.2668817630100308E-2</v>
      </c>
      <c r="T178" s="307">
        <f t="shared" si="509"/>
        <v>2.8130832643981668E-2</v>
      </c>
      <c r="U178" s="307">
        <f t="shared" si="509"/>
        <v>2.2808041021776557E-2</v>
      </c>
      <c r="V178" s="307">
        <f t="shared" si="509"/>
        <v>1.8525543727354318E-2</v>
      </c>
      <c r="W178" s="281"/>
      <c r="X178" s="240">
        <f t="shared" si="514"/>
        <v>4.5242683494738922E-2</v>
      </c>
      <c r="Y178" s="240">
        <f t="shared" si="515"/>
        <v>3.2246290158026006E-2</v>
      </c>
      <c r="Z178" s="240">
        <f t="shared" si="516"/>
        <v>3.1702818597445108E-2</v>
      </c>
      <c r="AA178" s="240">
        <f t="shared" si="517"/>
        <v>3.3157313900998971E-2</v>
      </c>
      <c r="AB178" s="240">
        <f t="shared" si="518"/>
        <v>3.2668817630100308E-2</v>
      </c>
      <c r="AC178" s="307" t="e">
        <f t="shared" si="511"/>
        <v>#N/A</v>
      </c>
      <c r="AD178" s="307" t="e">
        <f t="shared" si="511"/>
        <v>#N/A</v>
      </c>
      <c r="AE178" s="307" t="e">
        <f t="shared" si="511"/>
        <v>#N/A</v>
      </c>
      <c r="AG178" s="255">
        <f>T178</f>
        <v>2.8130832643981668E-2</v>
      </c>
      <c r="AI178" s="308">
        <f>AG178/$AG$180</f>
        <v>6.206834153931768E-2</v>
      </c>
      <c r="AJ178" s="308">
        <f>AI178*(1+$D$178)</f>
        <v>6.206834153931768E-2</v>
      </c>
      <c r="AK178" s="308">
        <f>AJ178*(1+$D$178)</f>
        <v>6.206834153931768E-2</v>
      </c>
      <c r="AL178" s="309"/>
      <c r="AM178" s="308">
        <f>AI178</f>
        <v>6.206834153931768E-2</v>
      </c>
      <c r="AN178" s="308">
        <f t="shared" si="523"/>
        <v>6.206834153931768E-2</v>
      </c>
      <c r="AO178" s="308">
        <f>AK178</f>
        <v>6.206834153931768E-2</v>
      </c>
      <c r="AP178" s="309"/>
      <c r="AQ178" s="308">
        <f t="shared" si="529"/>
        <v>6.206834153931768E-2</v>
      </c>
      <c r="AR178" s="308">
        <f t="shared" si="524"/>
        <v>6.206834153931768E-2</v>
      </c>
      <c r="AS178" s="308">
        <f>AO178</f>
        <v>6.206834153931768E-2</v>
      </c>
      <c r="AU178" s="274"/>
    </row>
    <row r="179" spans="1:47">
      <c r="A179" s="185" t="s">
        <v>16</v>
      </c>
      <c r="B179" s="185" t="str">
        <f t="shared" si="503"/>
        <v>TPPUGAT</v>
      </c>
      <c r="C179" s="185" t="str">
        <f t="shared" si="503"/>
        <v>Gautrain</v>
      </c>
      <c r="E179" s="240">
        <f t="shared" si="504"/>
        <v>2.2182677367803961E-3</v>
      </c>
      <c r="F179" s="240">
        <f t="shared" si="504"/>
        <v>2.2368568855691134E-3</v>
      </c>
      <c r="G179" s="240">
        <f t="shared" si="504"/>
        <v>2.4244048968265087E-3</v>
      </c>
      <c r="H179" s="240">
        <f t="shared" ref="H179:J179" si="535">H168/H$169</f>
        <v>2.5135303147340925E-3</v>
      </c>
      <c r="I179" s="240">
        <f t="shared" si="535"/>
        <v>2.3909559779129053E-3</v>
      </c>
      <c r="J179" s="240">
        <f t="shared" si="535"/>
        <v>2.3256811626463062E-3</v>
      </c>
      <c r="K179" s="240">
        <f t="shared" si="506"/>
        <v>2.5520265693077838E-3</v>
      </c>
      <c r="L179" s="240">
        <f t="shared" si="506"/>
        <v>2.6834595900341613E-3</v>
      </c>
      <c r="M179" s="240">
        <f t="shared" si="506"/>
        <v>2.7807612908988481E-3</v>
      </c>
      <c r="N179" s="40"/>
      <c r="O179" s="240">
        <f t="shared" si="507"/>
        <v>2.2368568855691134E-3</v>
      </c>
      <c r="P179" s="240">
        <f t="shared" ref="P179:S179" si="536">P168/P$169</f>
        <v>2.4244048968265087E-3</v>
      </c>
      <c r="Q179" s="240">
        <f t="shared" si="536"/>
        <v>2.5135303147340925E-3</v>
      </c>
      <c r="R179" s="240">
        <f t="shared" si="536"/>
        <v>2.3909559779129053E-3</v>
      </c>
      <c r="S179" s="240">
        <f t="shared" si="536"/>
        <v>2.3256811626463062E-3</v>
      </c>
      <c r="T179" s="307">
        <f t="shared" si="509"/>
        <v>2.5520265693077838E-3</v>
      </c>
      <c r="U179" s="307">
        <f t="shared" si="509"/>
        <v>2.6834595900341613E-3</v>
      </c>
      <c r="V179" s="307">
        <f t="shared" si="509"/>
        <v>2.7807612908988481E-3</v>
      </c>
      <c r="W179" s="281"/>
      <c r="X179" s="240">
        <f t="shared" si="514"/>
        <v>2.2368568855691134E-3</v>
      </c>
      <c r="Y179" s="240">
        <f t="shared" si="515"/>
        <v>2.4244048968265087E-3</v>
      </c>
      <c r="Z179" s="240">
        <f t="shared" si="516"/>
        <v>2.5135303147340925E-3</v>
      </c>
      <c r="AA179" s="240">
        <f t="shared" si="517"/>
        <v>2.3909559779129053E-3</v>
      </c>
      <c r="AB179" s="240">
        <f t="shared" si="518"/>
        <v>2.3256811626463062E-3</v>
      </c>
      <c r="AC179" s="307" t="e">
        <f t="shared" si="511"/>
        <v>#N/A</v>
      </c>
      <c r="AD179" s="307" t="e">
        <f t="shared" si="511"/>
        <v>#N/A</v>
      </c>
      <c r="AE179" s="307" t="e">
        <f t="shared" si="511"/>
        <v>#N/A</v>
      </c>
      <c r="AG179" s="255">
        <f>T179</f>
        <v>2.5520265693077838E-3</v>
      </c>
      <c r="AI179" s="308">
        <f>AG179/$AG$180</f>
        <v>5.6308342780282735E-3</v>
      </c>
      <c r="AJ179" s="308">
        <f t="shared" ref="AJ179:AK179" si="537">AI179</f>
        <v>5.6308342780282735E-3</v>
      </c>
      <c r="AK179" s="308">
        <f t="shared" si="537"/>
        <v>5.6308342780282735E-3</v>
      </c>
      <c r="AL179" s="309"/>
      <c r="AM179" s="308">
        <f t="shared" si="528"/>
        <v>5.6308342780282735E-3</v>
      </c>
      <c r="AN179" s="308">
        <f t="shared" si="523"/>
        <v>5.6308342780282735E-3</v>
      </c>
      <c r="AO179" s="308">
        <f t="shared" si="523"/>
        <v>5.6308342780282735E-3</v>
      </c>
      <c r="AP179" s="309"/>
      <c r="AQ179" s="308">
        <f>AM179</f>
        <v>5.6308342780282735E-3</v>
      </c>
      <c r="AR179" s="308">
        <f t="shared" si="524"/>
        <v>5.6308342780282735E-3</v>
      </c>
      <c r="AS179" s="308">
        <f t="shared" si="524"/>
        <v>5.6308342780282735E-3</v>
      </c>
      <c r="AU179" s="274"/>
    </row>
    <row r="180" spans="1:47">
      <c r="A180" s="185" t="s">
        <v>16</v>
      </c>
      <c r="H180" s="281"/>
      <c r="I180" s="281"/>
      <c r="J180" s="281"/>
      <c r="L180" s="185"/>
      <c r="N180" s="40"/>
      <c r="P180" s="281"/>
      <c r="Q180" s="281"/>
      <c r="R180" s="281"/>
      <c r="S180" s="281"/>
      <c r="T180" s="281"/>
      <c r="X180" s="281"/>
      <c r="Y180" s="281"/>
      <c r="Z180" s="281"/>
      <c r="AA180" s="281"/>
      <c r="AB180" s="281"/>
      <c r="AC180" s="281"/>
      <c r="AD180" s="281"/>
      <c r="AG180" s="255">
        <f>SUM(AG175:AG179)</f>
        <v>0.45322352662124815</v>
      </c>
      <c r="AI180" s="33"/>
      <c r="AJ180" s="33"/>
      <c r="AK180" s="33"/>
    </row>
    <row r="181" spans="1:47">
      <c r="A181" s="185" t="s">
        <v>16</v>
      </c>
      <c r="C181" s="185" t="s">
        <v>145</v>
      </c>
      <c r="E181" s="33">
        <f>SUM(E172:E174)</f>
        <v>0.52815983173193326</v>
      </c>
      <c r="F181" s="33">
        <f t="shared" ref="F181:G181" si="538">SUM(F172:F174)</f>
        <v>0.49791812599982416</v>
      </c>
      <c r="G181" s="33">
        <f t="shared" si="538"/>
        <v>0.52435193740308439</v>
      </c>
      <c r="H181" s="33">
        <f t="shared" ref="H181:J181" si="539">SUM(H172:H174)</f>
        <v>0.52895500641929594</v>
      </c>
      <c r="I181" s="33">
        <f t="shared" si="539"/>
        <v>0.50761962260462834</v>
      </c>
      <c r="J181" s="33">
        <f t="shared" si="539"/>
        <v>0.49783300692159427</v>
      </c>
      <c r="K181" s="33">
        <f>SUM(K172:K174)</f>
        <v>0.5467764733787519</v>
      </c>
      <c r="L181" s="33">
        <f>SUM(L172:L174)</f>
        <v>0.59724923679772546</v>
      </c>
      <c r="M181" s="33">
        <f>SUM(M172:M174)</f>
        <v>0.64056875369089328</v>
      </c>
      <c r="N181" s="40"/>
      <c r="O181" s="33">
        <f>SUM(O172:O174)</f>
        <v>0.49791812599982416</v>
      </c>
      <c r="P181" s="33">
        <f t="shared" ref="P181:S181" si="540">SUM(P172:P174)</f>
        <v>0.52435193740308439</v>
      </c>
      <c r="Q181" s="33">
        <f t="shared" si="540"/>
        <v>0.52895500641929594</v>
      </c>
      <c r="R181" s="33">
        <f t="shared" si="540"/>
        <v>0.50761962260462834</v>
      </c>
      <c r="S181" s="33">
        <f t="shared" si="540"/>
        <v>0.49783300692159427</v>
      </c>
      <c r="T181" s="33">
        <f>SUM(T172:T174)</f>
        <v>0.5467764733787519</v>
      </c>
      <c r="U181" s="33">
        <f>SUM(U172:U174)</f>
        <v>0.59724923679772546</v>
      </c>
      <c r="V181" s="33">
        <f>SUM(V172:V174)</f>
        <v>0.64056875369089328</v>
      </c>
      <c r="X181" s="240">
        <f t="shared" si="514"/>
        <v>0.49791812599982416</v>
      </c>
      <c r="Y181" s="240">
        <f t="shared" si="515"/>
        <v>0.52435193740308439</v>
      </c>
      <c r="Z181" s="240">
        <f t="shared" si="516"/>
        <v>0.52895500641929594</v>
      </c>
      <c r="AA181" s="240">
        <f t="shared" si="517"/>
        <v>0.50761962260462834</v>
      </c>
      <c r="AB181" s="240">
        <f t="shared" si="518"/>
        <v>0.49783300692159427</v>
      </c>
      <c r="AC181" s="307" t="e">
        <f>SUM(AC172:AC174)</f>
        <v>#N/A</v>
      </c>
      <c r="AD181" s="307" t="e">
        <f>SUM(AD172:AD174)</f>
        <v>#N/A</v>
      </c>
      <c r="AE181" s="307" t="e">
        <f>SUM(AE172:AE174)</f>
        <v>#N/A</v>
      </c>
    </row>
    <row r="182" spans="1:47">
      <c r="A182" s="185" t="s">
        <v>16</v>
      </c>
      <c r="B182" s="273"/>
      <c r="C182" s="185" t="s">
        <v>146</v>
      </c>
      <c r="E182" s="33">
        <f t="shared" ref="E182:G182" si="541">1-E181</f>
        <v>0.47184016826806674</v>
      </c>
      <c r="F182" s="33">
        <f t="shared" si="541"/>
        <v>0.50208187400017579</v>
      </c>
      <c r="G182" s="33">
        <f t="shared" si="541"/>
        <v>0.47564806259691561</v>
      </c>
      <c r="H182" s="33">
        <f t="shared" ref="H182:J182" si="542">1-H181</f>
        <v>0.47104499358070406</v>
      </c>
      <c r="I182" s="33">
        <f t="shared" si="542"/>
        <v>0.49238037739537166</v>
      </c>
      <c r="J182" s="33">
        <f t="shared" si="542"/>
        <v>0.50216699307840573</v>
      </c>
      <c r="K182" s="33">
        <f>1-K181</f>
        <v>0.4532235266212481</v>
      </c>
      <c r="L182" s="33">
        <f>1-L181</f>
        <v>0.40275076320227454</v>
      </c>
      <c r="M182" s="33">
        <f>1-M181</f>
        <v>0.35943124630910672</v>
      </c>
      <c r="N182" s="40"/>
      <c r="O182" s="33">
        <f>1-O181</f>
        <v>0.50208187400017579</v>
      </c>
      <c r="P182" s="33">
        <f t="shared" ref="P182:S182" si="543">1-P181</f>
        <v>0.47564806259691561</v>
      </c>
      <c r="Q182" s="33">
        <f t="shared" si="543"/>
        <v>0.47104499358070406</v>
      </c>
      <c r="R182" s="33">
        <f t="shared" si="543"/>
        <v>0.49238037739537166</v>
      </c>
      <c r="S182" s="33">
        <f t="shared" si="543"/>
        <v>0.50216699307840573</v>
      </c>
      <c r="T182" s="33">
        <f>1-T181</f>
        <v>0.4532235266212481</v>
      </c>
      <c r="U182" s="33">
        <f>1-U181</f>
        <v>0.40275076320227454</v>
      </c>
      <c r="V182" s="33">
        <f>1-V181</f>
        <v>0.35943124630910672</v>
      </c>
      <c r="X182" s="240">
        <f t="shared" si="514"/>
        <v>0.50208187400017579</v>
      </c>
      <c r="Y182" s="240">
        <f t="shared" si="515"/>
        <v>0.47564806259691561</v>
      </c>
      <c r="Z182" s="240">
        <f t="shared" si="516"/>
        <v>0.47104499358070406</v>
      </c>
      <c r="AA182" s="240">
        <f t="shared" si="517"/>
        <v>0.49238037739537166</v>
      </c>
      <c r="AB182" s="240">
        <f t="shared" si="518"/>
        <v>0.50216699307840573</v>
      </c>
      <c r="AC182" s="307" t="e">
        <f>1-AC181</f>
        <v>#N/A</v>
      </c>
      <c r="AD182" s="307" t="e">
        <f>1-AD181</f>
        <v>#N/A</v>
      </c>
      <c r="AE182" s="307" t="e">
        <f>1-AE181</f>
        <v>#N/A</v>
      </c>
    </row>
    <row r="183" spans="1:47">
      <c r="A183" s="185" t="s">
        <v>16</v>
      </c>
      <c r="B183" s="273"/>
      <c r="L183" s="185"/>
      <c r="N183" s="40"/>
      <c r="X183" s="24">
        <f t="shared" ref="X183:AB183" si="544">SUM(X161:X162)/SUM(O161:O162)</f>
        <v>1</v>
      </c>
      <c r="Y183" s="24">
        <f t="shared" si="544"/>
        <v>1</v>
      </c>
      <c r="Z183" s="24">
        <f t="shared" si="544"/>
        <v>1</v>
      </c>
      <c r="AA183" s="24">
        <f t="shared" si="544"/>
        <v>1</v>
      </c>
      <c r="AB183" s="24">
        <f t="shared" si="544"/>
        <v>1</v>
      </c>
      <c r="AC183" s="24" t="e">
        <f>SUM(AC161:AC162)/SUM(T161:T162)</f>
        <v>#N/A</v>
      </c>
      <c r="AD183" s="24" t="e">
        <f>SUM(AD161:AD162)/SUM(U161:U162)</f>
        <v>#N/A</v>
      </c>
      <c r="AE183" s="24" t="e">
        <f>SUM(AE161:AE162)/SUM(V161:V162)</f>
        <v>#N/A</v>
      </c>
    </row>
    <row r="184" spans="1:47">
      <c r="A184" s="185" t="s">
        <v>16</v>
      </c>
      <c r="L184" s="185"/>
      <c r="N184" s="40"/>
    </row>
    <row r="185" spans="1:47" ht="15.75" thickBot="1">
      <c r="A185" s="185" t="s">
        <v>16</v>
      </c>
      <c r="C185" s="227" t="s">
        <v>204</v>
      </c>
      <c r="E185" s="7">
        <v>2012</v>
      </c>
      <c r="F185" s="7">
        <f>F4</f>
        <v>2015</v>
      </c>
      <c r="G185" s="7">
        <f>G4</f>
        <v>2017</v>
      </c>
      <c r="H185" s="7">
        <f t="shared" ref="H185:J185" si="545">H4</f>
        <v>2019</v>
      </c>
      <c r="I185" s="7">
        <f t="shared" si="545"/>
        <v>2020</v>
      </c>
      <c r="J185" s="7">
        <f t="shared" si="545"/>
        <v>2021</v>
      </c>
      <c r="K185" s="7">
        <v>2030</v>
      </c>
      <c r="L185" s="7">
        <v>2040</v>
      </c>
      <c r="M185" s="7">
        <v>2050</v>
      </c>
      <c r="N185" s="40"/>
      <c r="O185" s="8">
        <f>O171</f>
        <v>2015</v>
      </c>
      <c r="P185" s="8">
        <f t="shared" ref="P185:V185" si="546">P171</f>
        <v>2017</v>
      </c>
      <c r="Q185" s="8">
        <f t="shared" si="546"/>
        <v>2019</v>
      </c>
      <c r="R185" s="8">
        <f t="shared" si="546"/>
        <v>2020</v>
      </c>
      <c r="S185" s="8">
        <f t="shared" si="546"/>
        <v>2021</v>
      </c>
      <c r="T185" s="8">
        <f t="shared" si="546"/>
        <v>2030</v>
      </c>
      <c r="U185" s="8">
        <f t="shared" si="546"/>
        <v>2040</v>
      </c>
      <c r="V185" s="8">
        <f t="shared" si="546"/>
        <v>2050</v>
      </c>
      <c r="W185" s="185">
        <f>W4</f>
        <v>0</v>
      </c>
      <c r="X185" s="185">
        <f>X4</f>
        <v>0</v>
      </c>
      <c r="Y185" s="281">
        <f t="shared" ref="Y185:AR185" si="547">Y4</f>
        <v>0</v>
      </c>
      <c r="Z185" s="281">
        <f t="shared" si="547"/>
        <v>0</v>
      </c>
      <c r="AA185" s="281">
        <f t="shared" si="547"/>
        <v>0</v>
      </c>
      <c r="AB185" s="281">
        <f t="shared" si="547"/>
        <v>0</v>
      </c>
      <c r="AC185" s="281">
        <f t="shared" si="547"/>
        <v>0</v>
      </c>
      <c r="AD185" s="281">
        <f t="shared" si="547"/>
        <v>0</v>
      </c>
      <c r="AE185" s="281">
        <f t="shared" si="547"/>
        <v>0</v>
      </c>
      <c r="AF185" s="281">
        <f t="shared" si="547"/>
        <v>0</v>
      </c>
      <c r="AG185" s="281">
        <f t="shared" si="547"/>
        <v>0</v>
      </c>
      <c r="AH185" s="281">
        <f t="shared" si="547"/>
        <v>0</v>
      </c>
      <c r="AI185" s="281">
        <f t="shared" si="547"/>
        <v>0</v>
      </c>
      <c r="AJ185" s="281">
        <f t="shared" si="547"/>
        <v>0</v>
      </c>
      <c r="AK185" s="281">
        <f t="shared" si="547"/>
        <v>0</v>
      </c>
      <c r="AL185" s="281">
        <f t="shared" si="547"/>
        <v>0</v>
      </c>
      <c r="AM185" s="281">
        <f t="shared" si="547"/>
        <v>0</v>
      </c>
      <c r="AN185" s="281">
        <f t="shared" si="547"/>
        <v>0</v>
      </c>
      <c r="AO185" s="281">
        <f t="shared" si="547"/>
        <v>0</v>
      </c>
      <c r="AP185" s="281">
        <f t="shared" si="547"/>
        <v>0</v>
      </c>
      <c r="AQ185" s="281">
        <f t="shared" si="547"/>
        <v>0</v>
      </c>
      <c r="AR185" s="281">
        <f t="shared" si="547"/>
        <v>0</v>
      </c>
    </row>
    <row r="186" spans="1:47">
      <c r="A186" s="185" t="s">
        <v>16</v>
      </c>
      <c r="B186" s="185" t="str">
        <f>B149</f>
        <v>TPPRCAR</v>
      </c>
      <c r="C186" s="185" t="str">
        <f>C149</f>
        <v>Car Priv.Veh. Vehicle km</v>
      </c>
      <c r="E186" s="298">
        <f t="shared" ref="E186:G193" si="548">E149</f>
        <v>77.614189675901358</v>
      </c>
      <c r="F186" s="10">
        <f>F149</f>
        <v>80.780869704812559</v>
      </c>
      <c r="G186" s="186">
        <f>G149</f>
        <v>80.152552888362095</v>
      </c>
      <c r="H186" s="186">
        <f>H149</f>
        <v>84.125623680017213</v>
      </c>
      <c r="I186" s="186">
        <f t="shared" ref="I186:J186" si="549">I149</f>
        <v>78.575402784147585</v>
      </c>
      <c r="J186" s="186">
        <f t="shared" si="549"/>
        <v>79.324692031817534</v>
      </c>
      <c r="K186" s="10">
        <f t="shared" ref="K186:M193" si="550">K149</f>
        <v>103.01164056617978</v>
      </c>
      <c r="L186" s="10">
        <f t="shared" si="550"/>
        <v>133.05285823121142</v>
      </c>
      <c r="M186" s="10">
        <f t="shared" si="550"/>
        <v>163.53710007497739</v>
      </c>
      <c r="N186" s="40"/>
      <c r="O186" s="233">
        <f>IF(O$113&lt;=$I$148,($I186-$F186)/10,IF(AND(O$113&gt;$I$148,O$113&lt;=$K$148),($K186-$I186)/10,IF(AND(O$113&gt;$K$148,O$113&lt;=$L$148),($L186-$K186)/2,($M186-$L186)/2)))+E186</f>
        <v>77.393642983834866</v>
      </c>
      <c r="P186" s="233">
        <f>IF(P$148&lt;=$I$148,($I186-$F186)/10,IF(AND(P$148&gt;$I$148,P$148&lt;=$K$148),($K186-$I186)/10,IF(AND(P$148&gt;$K$148,P$148&lt;=$L$148),($L186-$K186)/2,($M186-$L186)/2)))+O186</f>
        <v>77.173096291768374</v>
      </c>
      <c r="Q186" s="233">
        <f t="shared" ref="Q186:V186" si="551">IF(Q$148&lt;=$I$148,($I186-$F186)/10,IF(AND(Q$148&gt;$I$148,Q$148&lt;=$K$148),($K186-$I186)/10,IF(AND(Q$148&gt;$K$148,Q$148&lt;=$L$148),($L186-$K186)/2,($M186-$L186)/2)))+P186</f>
        <v>76.952549599701882</v>
      </c>
      <c r="R186" s="233">
        <f t="shared" si="551"/>
        <v>76.73200290763539</v>
      </c>
      <c r="S186" s="233">
        <f t="shared" si="551"/>
        <v>79.175626685838608</v>
      </c>
      <c r="T186" s="304">
        <f t="shared" si="551"/>
        <v>81.619250464041826</v>
      </c>
      <c r="U186" s="304">
        <f t="shared" si="551"/>
        <v>96.639859296557646</v>
      </c>
      <c r="V186" s="304">
        <f t="shared" si="551"/>
        <v>111.88198021844063</v>
      </c>
      <c r="W186" s="233">
        <f>E186</f>
        <v>77.614189675901358</v>
      </c>
      <c r="X186" s="233">
        <f t="shared" ref="X186:X187" si="552">IF(X$148&lt;=$I$148,($I186-$F186)/10,IF(AND(X$148&gt;$I$148,X$148&lt;=$K$148),($K186-$I186)/10,IF(AND(X$148&gt;$K$148,X$148&lt;=$L$148),($L186-$K186)/2,($M186-$L186)/2)))+W186</f>
        <v>77.393642983834866</v>
      </c>
      <c r="Y186" s="233">
        <f t="shared" ref="Y186:AR186" si="553">IF(Y$148&lt;=$I$148,($I186-$F186)/10,IF(AND(Y$148&gt;$I$148,Y$148&lt;=$K$148),($K186-$I186)/10,IF(AND(Y$148&gt;$K$148,Y$148&lt;=$L$148),($L186-$K186)/2,($M186-$L186)/2)))+X186</f>
        <v>77.173096291768374</v>
      </c>
      <c r="Z186" s="233">
        <f t="shared" si="553"/>
        <v>76.952549599701882</v>
      </c>
      <c r="AA186" s="233">
        <f t="shared" si="553"/>
        <v>76.73200290763539</v>
      </c>
      <c r="AB186" s="233">
        <f t="shared" si="553"/>
        <v>79.175626685838608</v>
      </c>
      <c r="AC186" s="233">
        <f t="shared" si="553"/>
        <v>81.619250464041826</v>
      </c>
      <c r="AD186" s="233">
        <f t="shared" si="553"/>
        <v>96.639859296557646</v>
      </c>
      <c r="AE186" s="233">
        <f t="shared" si="553"/>
        <v>111.88198021844063</v>
      </c>
      <c r="AF186" s="233">
        <f t="shared" si="553"/>
        <v>111.66143352637414</v>
      </c>
      <c r="AG186" s="233">
        <f t="shared" si="553"/>
        <v>111.44088683430765</v>
      </c>
      <c r="AH186" s="233">
        <f t="shared" si="553"/>
        <v>111.22034014224116</v>
      </c>
      <c r="AI186" s="233">
        <f t="shared" si="553"/>
        <v>110.99979345017466</v>
      </c>
      <c r="AJ186" s="233">
        <f t="shared" si="553"/>
        <v>110.77924675810817</v>
      </c>
      <c r="AK186" s="233">
        <f t="shared" si="553"/>
        <v>110.55870006604168</v>
      </c>
      <c r="AL186" s="233">
        <f t="shared" si="553"/>
        <v>110.33815337397519</v>
      </c>
      <c r="AM186" s="233">
        <f t="shared" si="553"/>
        <v>110.1176066819087</v>
      </c>
      <c r="AN186" s="233">
        <f t="shared" si="553"/>
        <v>109.89705998984221</v>
      </c>
      <c r="AO186" s="233">
        <f t="shared" si="553"/>
        <v>109.67651329777571</v>
      </c>
      <c r="AP186" s="233">
        <f t="shared" si="553"/>
        <v>109.45596660570922</v>
      </c>
      <c r="AQ186" s="233">
        <f t="shared" si="553"/>
        <v>109.23541991364273</v>
      </c>
      <c r="AR186" s="233">
        <f t="shared" si="553"/>
        <v>109.01487322157624</v>
      </c>
      <c r="AS186" s="233"/>
      <c r="AT186" s="233"/>
      <c r="AU186" s="233"/>
    </row>
    <row r="187" spans="1:47">
      <c r="A187" s="185" t="s">
        <v>16</v>
      </c>
      <c r="B187" s="185" t="str">
        <f t="shared" ref="B187:C193" si="554">B150</f>
        <v>TPPRSUV</v>
      </c>
      <c r="C187" s="185" t="str">
        <f t="shared" si="554"/>
        <v>SUV Priv.Veh. Vehicle km</v>
      </c>
      <c r="E187" s="298">
        <f t="shared" si="548"/>
        <v>9.939379683721306</v>
      </c>
      <c r="F187" s="10">
        <f t="shared" si="548"/>
        <v>13.247884240663684</v>
      </c>
      <c r="G187" s="10">
        <f t="shared" si="548"/>
        <v>17.032417488776947</v>
      </c>
      <c r="H187" s="10">
        <f t="shared" ref="H187:J187" si="555">H150</f>
        <v>17.87669503200366</v>
      </c>
      <c r="I187" s="10">
        <f t="shared" si="555"/>
        <v>16.697273091631363</v>
      </c>
      <c r="J187" s="10">
        <f t="shared" si="555"/>
        <v>16.856497056761228</v>
      </c>
      <c r="K187" s="10">
        <f t="shared" si="550"/>
        <v>21.889973620313206</v>
      </c>
      <c r="L187" s="10">
        <f t="shared" si="550"/>
        <v>28.273732374132432</v>
      </c>
      <c r="M187" s="10">
        <f t="shared" si="550"/>
        <v>34.751633765932695</v>
      </c>
      <c r="N187" s="40"/>
      <c r="O187" s="233">
        <f t="shared" ref="O187:O193" si="556">IF(O$113&lt;=$I$148,($I187-$F187)/10,IF(AND(O$113&gt;$I$148,O$113&lt;=$K$148),($K187-$I187)/10,IF(AND(O$113&gt;$K$148,O$113&lt;=$L$148),($L187-$K187)/2,($M187-$L187)/2)))+E187</f>
        <v>10.284318568818074</v>
      </c>
      <c r="P187" s="233">
        <f t="shared" ref="P187:V193" si="557">IF(P$148&lt;=$I$148,($I187-$F187)/10,IF(AND(P$148&gt;$I$148,P$148&lt;=$K$148),($K187-$I187)/10,IF(AND(P$148&gt;$K$148,P$148&lt;=$L$148),($L187-$K187)/2,($M187-$L187)/2)))+O187</f>
        <v>10.629257453914843</v>
      </c>
      <c r="Q187" s="233">
        <f t="shared" si="557"/>
        <v>10.974196339011611</v>
      </c>
      <c r="R187" s="233">
        <f t="shared" si="557"/>
        <v>11.319135224108379</v>
      </c>
      <c r="S187" s="233">
        <f t="shared" si="557"/>
        <v>11.838405276976564</v>
      </c>
      <c r="T187" s="304">
        <f t="shared" si="557"/>
        <v>12.357675329844749</v>
      </c>
      <c r="U187" s="304">
        <f t="shared" si="557"/>
        <v>15.549554706754362</v>
      </c>
      <c r="V187" s="304">
        <f t="shared" si="557"/>
        <v>18.788505402654494</v>
      </c>
      <c r="W187" s="233">
        <f t="shared" ref="W187:W193" si="558">E187</f>
        <v>9.939379683721306</v>
      </c>
      <c r="X187" s="233">
        <f t="shared" si="552"/>
        <v>10.284318568818074</v>
      </c>
      <c r="Y187" s="233">
        <f t="shared" ref="Y187:AR187" si="559">IF(Y$148&lt;=$I$148,($I187-$F187)/10,IF(AND(Y$148&gt;$I$148,Y$148&lt;=$K$148),($K187-$I187)/10,IF(AND(Y$148&gt;$K$148,Y$148&lt;=$L$148),($L187-$K187)/2,($M187-$L187)/2)))+X187</f>
        <v>10.629257453914843</v>
      </c>
      <c r="Z187" s="233">
        <f t="shared" si="559"/>
        <v>10.974196339011611</v>
      </c>
      <c r="AA187" s="233">
        <f t="shared" si="559"/>
        <v>11.319135224108379</v>
      </c>
      <c r="AB187" s="233">
        <f t="shared" si="559"/>
        <v>11.838405276976564</v>
      </c>
      <c r="AC187" s="233">
        <f t="shared" si="559"/>
        <v>12.357675329844749</v>
      </c>
      <c r="AD187" s="233">
        <f t="shared" si="559"/>
        <v>15.549554706754362</v>
      </c>
      <c r="AE187" s="233">
        <f t="shared" si="559"/>
        <v>18.788505402654494</v>
      </c>
      <c r="AF187" s="233">
        <f t="shared" si="559"/>
        <v>19.13344428775126</v>
      </c>
      <c r="AG187" s="233">
        <f t="shared" si="559"/>
        <v>19.478383172848027</v>
      </c>
      <c r="AH187" s="233">
        <f t="shared" si="559"/>
        <v>19.823322057944793</v>
      </c>
      <c r="AI187" s="233">
        <f t="shared" si="559"/>
        <v>20.16826094304156</v>
      </c>
      <c r="AJ187" s="233">
        <f t="shared" si="559"/>
        <v>20.513199828138326</v>
      </c>
      <c r="AK187" s="233">
        <f t="shared" si="559"/>
        <v>20.858138713235093</v>
      </c>
      <c r="AL187" s="233">
        <f t="shared" si="559"/>
        <v>21.203077598331859</v>
      </c>
      <c r="AM187" s="233">
        <f t="shared" si="559"/>
        <v>21.548016483428626</v>
      </c>
      <c r="AN187" s="233">
        <f t="shared" si="559"/>
        <v>21.892955368525392</v>
      </c>
      <c r="AO187" s="233">
        <f t="shared" si="559"/>
        <v>22.237894253622159</v>
      </c>
      <c r="AP187" s="233">
        <f t="shared" si="559"/>
        <v>22.582833138718925</v>
      </c>
      <c r="AQ187" s="233">
        <f t="shared" si="559"/>
        <v>22.927772023815692</v>
      </c>
      <c r="AR187" s="233">
        <f t="shared" si="559"/>
        <v>23.272710908912458</v>
      </c>
      <c r="AS187" s="233"/>
      <c r="AT187" s="233"/>
      <c r="AU187" s="233"/>
    </row>
    <row r="188" spans="1:47">
      <c r="A188" s="185" t="s">
        <v>16</v>
      </c>
      <c r="B188" s="185" t="str">
        <f t="shared" si="554"/>
        <v>TPPRMOT</v>
      </c>
      <c r="C188" s="185" t="str">
        <f t="shared" si="554"/>
        <v>Motorbikes Priv.Veh. Vehicle km</v>
      </c>
      <c r="E188" s="298">
        <f t="shared" si="548"/>
        <v>3.3646857046699763</v>
      </c>
      <c r="F188" s="10">
        <f t="shared" si="548"/>
        <v>2.838832337285075</v>
      </c>
      <c r="G188" s="10">
        <f t="shared" si="548"/>
        <v>3.0057207333135785</v>
      </c>
      <c r="H188" s="10">
        <f t="shared" ref="H188:J188" si="560">H151</f>
        <v>3.1547108880006456</v>
      </c>
      <c r="I188" s="10">
        <f t="shared" si="560"/>
        <v>2.9465776044055345</v>
      </c>
      <c r="J188" s="10">
        <f t="shared" si="560"/>
        <v>2.9746759511931575</v>
      </c>
      <c r="K188" s="10">
        <f t="shared" si="550"/>
        <v>3.8629365212317421</v>
      </c>
      <c r="L188" s="10">
        <f t="shared" si="550"/>
        <v>4.9894821836704288</v>
      </c>
      <c r="M188" s="10">
        <f t="shared" si="550"/>
        <v>6.1326412528116521</v>
      </c>
      <c r="N188" s="40"/>
      <c r="O188" s="233">
        <f t="shared" si="556"/>
        <v>3.3754602313820223</v>
      </c>
      <c r="P188" s="233">
        <f t="shared" si="557"/>
        <v>3.3862347580940684</v>
      </c>
      <c r="Q188" s="233">
        <f t="shared" si="557"/>
        <v>3.3970092848061144</v>
      </c>
      <c r="R188" s="233">
        <f t="shared" si="557"/>
        <v>3.4077838115181605</v>
      </c>
      <c r="S188" s="233">
        <f t="shared" si="557"/>
        <v>3.4994197032007812</v>
      </c>
      <c r="T188" s="304">
        <f t="shared" si="557"/>
        <v>3.591055594883402</v>
      </c>
      <c r="U188" s="304">
        <f t="shared" si="557"/>
        <v>4.1543284261027456</v>
      </c>
      <c r="V188" s="304">
        <f t="shared" si="557"/>
        <v>4.7259079606733572</v>
      </c>
      <c r="W188" s="233">
        <f t="shared" si="558"/>
        <v>3.3646857046699763</v>
      </c>
      <c r="X188" s="233">
        <f t="shared" ref="X188" si="561">IF(X$148&lt;=$I$148,($I188-$F188)/10,IF(AND(X$148&gt;$I$148,X$148&lt;=$K$148),($K188-$I188)/10,IF(AND(X$148&gt;$K$148,X$148&lt;=$L$148),($L188-$K188)/2,($M188-$L188)/2)))+W188</f>
        <v>3.3754602313820223</v>
      </c>
      <c r="Y188" s="233">
        <f t="shared" ref="Y188:AR188" si="562">IF(Y$148&lt;=$I$148,($I188-$F188)/10,IF(AND(Y$148&gt;$I$148,Y$148&lt;=$K$148),($K188-$I188)/10,IF(AND(Y$148&gt;$K$148,Y$148&lt;=$L$148),($L188-$K188)/2,($M188-$L188)/2)))+X188</f>
        <v>3.3862347580940684</v>
      </c>
      <c r="Z188" s="233">
        <f t="shared" si="562"/>
        <v>3.3970092848061144</v>
      </c>
      <c r="AA188" s="233">
        <f t="shared" si="562"/>
        <v>3.4077838115181605</v>
      </c>
      <c r="AB188" s="233">
        <f t="shared" si="562"/>
        <v>3.4994197032007812</v>
      </c>
      <c r="AC188" s="233">
        <f t="shared" si="562"/>
        <v>3.591055594883402</v>
      </c>
      <c r="AD188" s="233">
        <f t="shared" si="562"/>
        <v>4.1543284261027456</v>
      </c>
      <c r="AE188" s="233">
        <f t="shared" si="562"/>
        <v>4.7259079606733572</v>
      </c>
      <c r="AF188" s="233">
        <f t="shared" si="562"/>
        <v>4.7366824873854032</v>
      </c>
      <c r="AG188" s="233">
        <f t="shared" si="562"/>
        <v>4.7474570140974492</v>
      </c>
      <c r="AH188" s="233">
        <f t="shared" si="562"/>
        <v>4.7582315408094953</v>
      </c>
      <c r="AI188" s="233">
        <f t="shared" si="562"/>
        <v>4.7690060675215413</v>
      </c>
      <c r="AJ188" s="233">
        <f t="shared" si="562"/>
        <v>4.7797805942335874</v>
      </c>
      <c r="AK188" s="233">
        <f t="shared" si="562"/>
        <v>4.7905551209456334</v>
      </c>
      <c r="AL188" s="233">
        <f t="shared" si="562"/>
        <v>4.8013296476576794</v>
      </c>
      <c r="AM188" s="233">
        <f t="shared" si="562"/>
        <v>4.8121041743697255</v>
      </c>
      <c r="AN188" s="233">
        <f t="shared" si="562"/>
        <v>4.8228787010817715</v>
      </c>
      <c r="AO188" s="233">
        <f t="shared" si="562"/>
        <v>4.8336532277938176</v>
      </c>
      <c r="AP188" s="233">
        <f t="shared" si="562"/>
        <v>4.8444277545058636</v>
      </c>
      <c r="AQ188" s="233">
        <f t="shared" si="562"/>
        <v>4.8552022812179096</v>
      </c>
      <c r="AR188" s="233">
        <f t="shared" si="562"/>
        <v>4.8659768079299557</v>
      </c>
      <c r="AS188" s="233"/>
      <c r="AT188" s="233"/>
      <c r="AU188" s="233"/>
    </row>
    <row r="189" spans="1:47">
      <c r="A189" s="185" t="s">
        <v>16</v>
      </c>
      <c r="B189" s="185" t="str">
        <f t="shared" si="554"/>
        <v>TPPUBUS</v>
      </c>
      <c r="C189" s="185" t="str">
        <f t="shared" si="554"/>
        <v>Bus vehicle km</v>
      </c>
      <c r="E189" s="298">
        <f t="shared" si="548"/>
        <v>0.61799148971758899</v>
      </c>
      <c r="F189" s="10">
        <f t="shared" si="548"/>
        <v>1.1267099528419922</v>
      </c>
      <c r="G189" s="10">
        <f t="shared" si="548"/>
        <v>0.74009062785460766</v>
      </c>
      <c r="H189" s="10">
        <f t="shared" ref="H189:J189" si="563">H152</f>
        <v>0.7570387419116027</v>
      </c>
      <c r="I189" s="10">
        <f t="shared" si="563"/>
        <v>0.77061635068181966</v>
      </c>
      <c r="J189" s="10">
        <f t="shared" si="563"/>
        <v>0.78157163306235522</v>
      </c>
      <c r="K189" s="10">
        <f t="shared" si="550"/>
        <v>0.79573733662150214</v>
      </c>
      <c r="L189" s="10">
        <f t="shared" si="550"/>
        <v>0.76289936796133118</v>
      </c>
      <c r="M189" s="10">
        <f t="shared" si="550"/>
        <v>0.71012069602307804</v>
      </c>
      <c r="N189" s="40"/>
      <c r="O189" s="233">
        <f t="shared" si="556"/>
        <v>0.58238212950157175</v>
      </c>
      <c r="P189" s="233">
        <f t="shared" si="557"/>
        <v>0.54677276928555452</v>
      </c>
      <c r="Q189" s="233">
        <f t="shared" si="557"/>
        <v>0.51116340906953728</v>
      </c>
      <c r="R189" s="233">
        <f t="shared" si="557"/>
        <v>0.47555404885352004</v>
      </c>
      <c r="S189" s="233">
        <f t="shared" si="557"/>
        <v>0.47806614744748827</v>
      </c>
      <c r="T189" s="304">
        <f t="shared" si="557"/>
        <v>0.48057824604145649</v>
      </c>
      <c r="U189" s="304">
        <f t="shared" si="557"/>
        <v>0.46415926171137101</v>
      </c>
      <c r="V189" s="304">
        <f t="shared" si="557"/>
        <v>0.43776992574224444</v>
      </c>
      <c r="W189" s="233">
        <f t="shared" si="558"/>
        <v>0.61799148971758899</v>
      </c>
      <c r="X189" s="233">
        <f t="shared" ref="X189" si="564">IF(X$148&lt;=$I$148,($I189-$F189)/10,IF(AND(X$148&gt;$I$148,X$148&lt;=$K$148),($K189-$I189)/10,IF(AND(X$148&gt;$K$148,X$148&lt;=$L$148),($L189-$K189)/2,($M189-$L189)/2)))+W189</f>
        <v>0.58238212950157175</v>
      </c>
      <c r="Y189" s="233">
        <f t="shared" ref="Y189:AR189" si="565">IF(Y$148&lt;=$I$148,($I189-$F189)/10,IF(AND(Y$148&gt;$I$148,Y$148&lt;=$K$148),($K189-$I189)/10,IF(AND(Y$148&gt;$K$148,Y$148&lt;=$L$148),($L189-$K189)/2,($M189-$L189)/2)))+X189</f>
        <v>0.54677276928555452</v>
      </c>
      <c r="Z189" s="233">
        <f t="shared" si="565"/>
        <v>0.51116340906953728</v>
      </c>
      <c r="AA189" s="233">
        <f t="shared" si="565"/>
        <v>0.47555404885352004</v>
      </c>
      <c r="AB189" s="233">
        <f t="shared" si="565"/>
        <v>0.47806614744748827</v>
      </c>
      <c r="AC189" s="233">
        <f t="shared" si="565"/>
        <v>0.48057824604145649</v>
      </c>
      <c r="AD189" s="233">
        <f t="shared" si="565"/>
        <v>0.46415926171137101</v>
      </c>
      <c r="AE189" s="233">
        <f t="shared" si="565"/>
        <v>0.43776992574224444</v>
      </c>
      <c r="AF189" s="233">
        <f t="shared" si="565"/>
        <v>0.4021605655262272</v>
      </c>
      <c r="AG189" s="233">
        <f t="shared" si="565"/>
        <v>0.36655120531020996</v>
      </c>
      <c r="AH189" s="233">
        <f t="shared" si="565"/>
        <v>0.33094184509419272</v>
      </c>
      <c r="AI189" s="233">
        <f t="shared" si="565"/>
        <v>0.29533248487817548</v>
      </c>
      <c r="AJ189" s="233">
        <f t="shared" si="565"/>
        <v>0.25972312466215824</v>
      </c>
      <c r="AK189" s="233">
        <f t="shared" si="565"/>
        <v>0.22411376444614101</v>
      </c>
      <c r="AL189" s="233">
        <f t="shared" si="565"/>
        <v>0.18850440423012377</v>
      </c>
      <c r="AM189" s="233">
        <f t="shared" si="565"/>
        <v>0.15289504401410653</v>
      </c>
      <c r="AN189" s="233">
        <f t="shared" si="565"/>
        <v>0.11728568379808928</v>
      </c>
      <c r="AO189" s="233">
        <f t="shared" si="565"/>
        <v>8.1676323582072025E-2</v>
      </c>
      <c r="AP189" s="233">
        <f t="shared" si="565"/>
        <v>4.6066963366054772E-2</v>
      </c>
      <c r="AQ189" s="233">
        <f t="shared" si="565"/>
        <v>1.045760315003752E-2</v>
      </c>
      <c r="AR189" s="233">
        <f t="shared" si="565"/>
        <v>-2.5151757065979732E-2</v>
      </c>
      <c r="AS189" s="233"/>
      <c r="AT189" s="233"/>
      <c r="AU189" s="233"/>
    </row>
    <row r="190" spans="1:47">
      <c r="A190" s="185" t="s">
        <v>16</v>
      </c>
      <c r="B190" s="185" t="str">
        <f t="shared" si="554"/>
        <v>TPPUMBT</v>
      </c>
      <c r="C190" s="185" t="str">
        <f t="shared" si="554"/>
        <v>Minibus vehicle km</v>
      </c>
      <c r="E190" s="298">
        <f t="shared" si="548"/>
        <v>5.8698256197369378</v>
      </c>
      <c r="F190" s="10">
        <f t="shared" si="548"/>
        <v>6.7748466130043186</v>
      </c>
      <c r="G190" s="10">
        <f t="shared" si="548"/>
        <v>6.9919276256051859</v>
      </c>
      <c r="H190" s="10">
        <f t="shared" ref="H190:J190" si="566">H153</f>
        <v>7.1520431336484673</v>
      </c>
      <c r="I190" s="10">
        <f t="shared" si="566"/>
        <v>7.2803161508670957</v>
      </c>
      <c r="J190" s="10">
        <f t="shared" si="566"/>
        <v>7.3838150179515463</v>
      </c>
      <c r="K190" s="10">
        <f t="shared" si="550"/>
        <v>7.5176439982460925</v>
      </c>
      <c r="L190" s="10">
        <f t="shared" si="550"/>
        <v>7.2074107759860322</v>
      </c>
      <c r="M190" s="10">
        <f t="shared" si="550"/>
        <v>6.7087898767624283</v>
      </c>
      <c r="N190" s="40"/>
      <c r="O190" s="233">
        <f t="shared" si="556"/>
        <v>5.9203725735232151</v>
      </c>
      <c r="P190" s="233">
        <f t="shared" si="557"/>
        <v>5.9709195273094924</v>
      </c>
      <c r="Q190" s="233">
        <f t="shared" si="557"/>
        <v>6.0214664810957697</v>
      </c>
      <c r="R190" s="233">
        <f t="shared" si="557"/>
        <v>6.0720134348820469</v>
      </c>
      <c r="S190" s="233">
        <f t="shared" si="557"/>
        <v>6.0957462196199463</v>
      </c>
      <c r="T190" s="304">
        <f t="shared" si="557"/>
        <v>6.1194790043578458</v>
      </c>
      <c r="U190" s="304">
        <f t="shared" si="557"/>
        <v>5.964362393227816</v>
      </c>
      <c r="V190" s="304">
        <f t="shared" si="557"/>
        <v>5.7150519436160145</v>
      </c>
      <c r="W190" s="233">
        <f t="shared" si="558"/>
        <v>5.8698256197369378</v>
      </c>
      <c r="X190" s="233">
        <f t="shared" ref="X190" si="567">IF(X$148&lt;=$I$148,($I190-$F190)/10,IF(AND(X$148&gt;$I$148,X$148&lt;=$K$148),($K190-$I190)/10,IF(AND(X$148&gt;$K$148,X$148&lt;=$L$148),($L190-$K190)/2,($M190-$L190)/2)))+W190</f>
        <v>5.9203725735232151</v>
      </c>
      <c r="Y190" s="233">
        <f t="shared" ref="Y190:AR190" si="568">IF(Y$148&lt;=$I$148,($I190-$F190)/10,IF(AND(Y$148&gt;$I$148,Y$148&lt;=$K$148),($K190-$I190)/10,IF(AND(Y$148&gt;$K$148,Y$148&lt;=$L$148),($L190-$K190)/2,($M190-$L190)/2)))+X190</f>
        <v>5.9709195273094924</v>
      </c>
      <c r="Z190" s="233">
        <f t="shared" si="568"/>
        <v>6.0214664810957697</v>
      </c>
      <c r="AA190" s="233">
        <f t="shared" si="568"/>
        <v>6.0720134348820469</v>
      </c>
      <c r="AB190" s="233">
        <f t="shared" si="568"/>
        <v>6.0957462196199463</v>
      </c>
      <c r="AC190" s="233">
        <f t="shared" si="568"/>
        <v>6.1194790043578458</v>
      </c>
      <c r="AD190" s="233">
        <f t="shared" si="568"/>
        <v>5.964362393227816</v>
      </c>
      <c r="AE190" s="233">
        <f t="shared" si="568"/>
        <v>5.7150519436160145</v>
      </c>
      <c r="AF190" s="233">
        <f t="shared" si="568"/>
        <v>5.7655988974022918</v>
      </c>
      <c r="AG190" s="233">
        <f t="shared" si="568"/>
        <v>5.8161458511885691</v>
      </c>
      <c r="AH190" s="233">
        <f t="shared" si="568"/>
        <v>5.8666928049748464</v>
      </c>
      <c r="AI190" s="233">
        <f t="shared" si="568"/>
        <v>5.9172397587611236</v>
      </c>
      <c r="AJ190" s="233">
        <f t="shared" si="568"/>
        <v>5.9677867125474009</v>
      </c>
      <c r="AK190" s="233">
        <f t="shared" si="568"/>
        <v>6.0183336663336782</v>
      </c>
      <c r="AL190" s="233">
        <f t="shared" si="568"/>
        <v>6.0688806201199554</v>
      </c>
      <c r="AM190" s="233">
        <f t="shared" si="568"/>
        <v>6.1194275739062327</v>
      </c>
      <c r="AN190" s="233">
        <f t="shared" si="568"/>
        <v>6.16997452769251</v>
      </c>
      <c r="AO190" s="233">
        <f t="shared" si="568"/>
        <v>6.2205214814787873</v>
      </c>
      <c r="AP190" s="233">
        <f t="shared" si="568"/>
        <v>6.2710684352650645</v>
      </c>
      <c r="AQ190" s="233">
        <f t="shared" si="568"/>
        <v>6.3216153890513418</v>
      </c>
      <c r="AR190" s="233">
        <f t="shared" si="568"/>
        <v>6.3721623428376191</v>
      </c>
      <c r="AS190" s="233"/>
      <c r="AT190" s="233"/>
      <c r="AU190" s="233"/>
    </row>
    <row r="191" spans="1:47">
      <c r="A191" s="185" t="s">
        <v>16</v>
      </c>
      <c r="B191" s="185" t="str">
        <f t="shared" si="554"/>
        <v>TPPUBRT</v>
      </c>
      <c r="C191" s="185" t="str">
        <f t="shared" si="554"/>
        <v>BRT vehicle km</v>
      </c>
      <c r="E191" s="298">
        <f t="shared" si="548"/>
        <v>2.1087742850167138E-2</v>
      </c>
      <c r="F191" s="10">
        <f t="shared" si="548"/>
        <v>3.2055500417449041E-2</v>
      </c>
      <c r="G191" s="10">
        <f t="shared" si="548"/>
        <v>6.2982743372587108E-2</v>
      </c>
      <c r="H191" s="10">
        <f t="shared" ref="H191:J191" si="569">H154</f>
        <v>0.10097884850612647</v>
      </c>
      <c r="I191" s="10">
        <f t="shared" si="569"/>
        <v>0.10238010429217448</v>
      </c>
      <c r="J191" s="10">
        <f t="shared" si="569"/>
        <v>0.2942392564401286</v>
      </c>
      <c r="K191" s="10">
        <f t="shared" si="550"/>
        <v>0.56679170772868903</v>
      </c>
      <c r="L191" s="10">
        <f t="shared" si="550"/>
        <v>1.0840550139434115</v>
      </c>
      <c r="M191" s="10">
        <f t="shared" si="550"/>
        <v>1.5755840025137724</v>
      </c>
      <c r="N191" s="40"/>
      <c r="O191" s="233">
        <f t="shared" si="556"/>
        <v>2.8120203237639682E-2</v>
      </c>
      <c r="P191" s="233">
        <f t="shared" si="557"/>
        <v>3.5152663625112227E-2</v>
      </c>
      <c r="Q191" s="233">
        <f t="shared" si="557"/>
        <v>4.2185124012584771E-2</v>
      </c>
      <c r="R191" s="233">
        <f t="shared" si="557"/>
        <v>4.9217584400057315E-2</v>
      </c>
      <c r="S191" s="233">
        <f t="shared" si="557"/>
        <v>9.5658744743708779E-2</v>
      </c>
      <c r="T191" s="304">
        <f t="shared" si="557"/>
        <v>0.14209990508736023</v>
      </c>
      <c r="U191" s="304">
        <f t="shared" si="557"/>
        <v>0.4007315581947215</v>
      </c>
      <c r="V191" s="304">
        <f t="shared" si="557"/>
        <v>0.64649605247990194</v>
      </c>
      <c r="W191" s="233">
        <f t="shared" si="558"/>
        <v>2.1087742850167138E-2</v>
      </c>
      <c r="X191" s="233">
        <f t="shared" ref="X191" si="570">IF(X$148&lt;=$I$148,($I191-$F191)/10,IF(AND(X$148&gt;$I$148,X$148&lt;=$K$148),($K191-$I191)/10,IF(AND(X$148&gt;$K$148,X$148&lt;=$L$148),($L191-$K191)/2,($M191-$L191)/2)))+W191</f>
        <v>2.8120203237639682E-2</v>
      </c>
      <c r="Y191" s="233">
        <f t="shared" ref="Y191:AR191" si="571">IF(Y$148&lt;=$I$148,($I191-$F191)/10,IF(AND(Y$148&gt;$I$148,Y$148&lt;=$K$148),($K191-$I191)/10,IF(AND(Y$148&gt;$K$148,Y$148&lt;=$L$148),($L191-$K191)/2,($M191-$L191)/2)))+X191</f>
        <v>3.5152663625112227E-2</v>
      </c>
      <c r="Z191" s="233">
        <f t="shared" si="571"/>
        <v>4.2185124012584771E-2</v>
      </c>
      <c r="AA191" s="233">
        <f t="shared" si="571"/>
        <v>4.9217584400057315E-2</v>
      </c>
      <c r="AB191" s="233">
        <f t="shared" si="571"/>
        <v>9.5658744743708779E-2</v>
      </c>
      <c r="AC191" s="233">
        <f t="shared" si="571"/>
        <v>0.14209990508736023</v>
      </c>
      <c r="AD191" s="233">
        <f t="shared" si="571"/>
        <v>0.4007315581947215</v>
      </c>
      <c r="AE191" s="233">
        <f t="shared" si="571"/>
        <v>0.64649605247990194</v>
      </c>
      <c r="AF191" s="233">
        <f t="shared" si="571"/>
        <v>0.65352851286737446</v>
      </c>
      <c r="AG191" s="233">
        <f t="shared" si="571"/>
        <v>0.66056097325484697</v>
      </c>
      <c r="AH191" s="233">
        <f t="shared" si="571"/>
        <v>0.66759343364231949</v>
      </c>
      <c r="AI191" s="233">
        <f t="shared" si="571"/>
        <v>0.67462589402979201</v>
      </c>
      <c r="AJ191" s="233">
        <f t="shared" si="571"/>
        <v>0.68165835441726452</v>
      </c>
      <c r="AK191" s="233">
        <f t="shared" si="571"/>
        <v>0.68869081480473704</v>
      </c>
      <c r="AL191" s="233">
        <f t="shared" si="571"/>
        <v>0.69572327519220956</v>
      </c>
      <c r="AM191" s="233">
        <f t="shared" si="571"/>
        <v>0.70275573557968207</v>
      </c>
      <c r="AN191" s="233">
        <f t="shared" si="571"/>
        <v>0.70978819596715459</v>
      </c>
      <c r="AO191" s="233">
        <f t="shared" si="571"/>
        <v>0.71682065635462711</v>
      </c>
      <c r="AP191" s="233">
        <f t="shared" si="571"/>
        <v>0.72385311674209962</v>
      </c>
      <c r="AQ191" s="233">
        <f t="shared" si="571"/>
        <v>0.73088557712957214</v>
      </c>
      <c r="AR191" s="233">
        <f t="shared" si="571"/>
        <v>0.73791803751704466</v>
      </c>
      <c r="AS191" s="233"/>
      <c r="AT191" s="233"/>
      <c r="AU191" s="233"/>
    </row>
    <row r="192" spans="1:47">
      <c r="A192" s="185" t="s">
        <v>16</v>
      </c>
      <c r="B192" s="185" t="str">
        <f t="shared" si="554"/>
        <v>TPPUMER</v>
      </c>
      <c r="C192" s="185" t="str">
        <f t="shared" si="554"/>
        <v>Metro Rail pkm</v>
      </c>
      <c r="E192" s="298">
        <f t="shared" si="548"/>
        <v>15.023482841814213</v>
      </c>
      <c r="F192" s="10">
        <f t="shared" si="548"/>
        <v>12.322446292964566</v>
      </c>
      <c r="G192" s="10">
        <f t="shared" si="548"/>
        <v>8.6260563043864682</v>
      </c>
      <c r="H192" s="10">
        <f t="shared" ref="H192:J192" si="572">H155</f>
        <v>8.8235934445777957</v>
      </c>
      <c r="I192" s="10">
        <f t="shared" si="572"/>
        <v>8.9818459792306626</v>
      </c>
      <c r="J192" s="10">
        <f t="shared" si="572"/>
        <v>9.109534236706498</v>
      </c>
      <c r="K192" s="10">
        <f t="shared" si="550"/>
        <v>9.2746412545411498</v>
      </c>
      <c r="L192" s="10">
        <f t="shared" si="550"/>
        <v>8.8919014171168609</v>
      </c>
      <c r="M192" s="10">
        <f t="shared" si="550"/>
        <v>8.2767445989176256</v>
      </c>
      <c r="N192" s="40"/>
      <c r="O192" s="233">
        <f t="shared" si="556"/>
        <v>14.689422810440822</v>
      </c>
      <c r="P192" s="233">
        <f t="shared" si="557"/>
        <v>14.355362779067432</v>
      </c>
      <c r="Q192" s="233">
        <f t="shared" si="557"/>
        <v>14.021302747694042</v>
      </c>
      <c r="R192" s="233">
        <f t="shared" si="557"/>
        <v>13.687242716320652</v>
      </c>
      <c r="S192" s="233">
        <f t="shared" si="557"/>
        <v>13.716522243851701</v>
      </c>
      <c r="T192" s="304">
        <f t="shared" si="557"/>
        <v>13.74580177138275</v>
      </c>
      <c r="U192" s="304">
        <f t="shared" si="557"/>
        <v>13.554431852670605</v>
      </c>
      <c r="V192" s="304">
        <f t="shared" si="557"/>
        <v>13.246853443570988</v>
      </c>
      <c r="W192" s="233">
        <f t="shared" si="558"/>
        <v>15.023482841814213</v>
      </c>
      <c r="X192" s="233">
        <f t="shared" ref="X192" si="573">IF(X$148&lt;=$I$148,($I192-$F192)/10,IF(AND(X$148&gt;$I$148,X$148&lt;=$K$148),($K192-$I192)/10,IF(AND(X$148&gt;$K$148,X$148&lt;=$L$148),($L192-$K192)/2,($M192-$L192)/2)))+W192</f>
        <v>14.689422810440822</v>
      </c>
      <c r="Y192" s="233">
        <f t="shared" ref="Y192:AR192" si="574">IF(Y$148&lt;=$I$148,($I192-$F192)/10,IF(AND(Y$148&gt;$I$148,Y$148&lt;=$K$148),($K192-$I192)/10,IF(AND(Y$148&gt;$K$148,Y$148&lt;=$L$148),($L192-$K192)/2,($M192-$L192)/2)))+X192</f>
        <v>14.355362779067432</v>
      </c>
      <c r="Z192" s="233">
        <f t="shared" si="574"/>
        <v>14.021302747694042</v>
      </c>
      <c r="AA192" s="233">
        <f t="shared" si="574"/>
        <v>13.687242716320652</v>
      </c>
      <c r="AB192" s="233">
        <f t="shared" si="574"/>
        <v>13.716522243851701</v>
      </c>
      <c r="AC192" s="233">
        <f t="shared" si="574"/>
        <v>13.74580177138275</v>
      </c>
      <c r="AD192" s="233">
        <f t="shared" si="574"/>
        <v>13.554431852670605</v>
      </c>
      <c r="AE192" s="233">
        <f t="shared" si="574"/>
        <v>13.246853443570988</v>
      </c>
      <c r="AF192" s="233">
        <f t="shared" si="574"/>
        <v>12.912793412197598</v>
      </c>
      <c r="AG192" s="233">
        <f t="shared" si="574"/>
        <v>12.578733380824207</v>
      </c>
      <c r="AH192" s="233">
        <f t="shared" si="574"/>
        <v>12.244673349450817</v>
      </c>
      <c r="AI192" s="233">
        <f t="shared" si="574"/>
        <v>11.910613318077427</v>
      </c>
      <c r="AJ192" s="233">
        <f t="shared" si="574"/>
        <v>11.576553286704037</v>
      </c>
      <c r="AK192" s="233">
        <f t="shared" si="574"/>
        <v>11.242493255330647</v>
      </c>
      <c r="AL192" s="233">
        <f t="shared" si="574"/>
        <v>10.908433223957257</v>
      </c>
      <c r="AM192" s="233">
        <f t="shared" si="574"/>
        <v>10.574373192583867</v>
      </c>
      <c r="AN192" s="233">
        <f t="shared" si="574"/>
        <v>10.240313161210477</v>
      </c>
      <c r="AO192" s="233">
        <f t="shared" si="574"/>
        <v>9.9062531298370864</v>
      </c>
      <c r="AP192" s="233">
        <f t="shared" si="574"/>
        <v>9.5721930984636963</v>
      </c>
      <c r="AQ192" s="233">
        <f t="shared" si="574"/>
        <v>9.2381330670903061</v>
      </c>
      <c r="AR192" s="233">
        <f t="shared" si="574"/>
        <v>8.904073035716916</v>
      </c>
      <c r="AS192" s="233"/>
      <c r="AT192" s="233"/>
      <c r="AU192" s="233"/>
    </row>
    <row r="193" spans="1:61">
      <c r="A193" s="185" t="s">
        <v>16</v>
      </c>
      <c r="B193" s="185" t="str">
        <f t="shared" si="554"/>
        <v>TPPUGAT</v>
      </c>
      <c r="C193" s="185" t="str">
        <f t="shared" si="554"/>
        <v>Gautrain pkm</v>
      </c>
      <c r="E193" s="298">
        <f t="shared" si="548"/>
        <v>0.53459848266953358</v>
      </c>
      <c r="F193" s="10">
        <f t="shared" si="548"/>
        <v>0.60923770891438467</v>
      </c>
      <c r="G193" s="10">
        <f t="shared" si="548"/>
        <v>0.64854136839212595</v>
      </c>
      <c r="H193" s="10">
        <f t="shared" ref="H193:J193" si="575">H156</f>
        <v>0.6995709084876961</v>
      </c>
      <c r="I193" s="10">
        <f t="shared" si="575"/>
        <v>0.6476760572601008</v>
      </c>
      <c r="J193" s="10">
        <f t="shared" si="575"/>
        <v>0.64850440608752602</v>
      </c>
      <c r="K193" s="10">
        <f t="shared" si="550"/>
        <v>0.84139460790012854</v>
      </c>
      <c r="L193" s="10">
        <f t="shared" si="550"/>
        <v>1.0461686783454414</v>
      </c>
      <c r="M193" s="10">
        <f t="shared" si="550"/>
        <v>1.2423738452190181</v>
      </c>
      <c r="N193" s="40"/>
      <c r="O193" s="233">
        <f t="shared" si="556"/>
        <v>0.53844231750410521</v>
      </c>
      <c r="P193" s="233">
        <f t="shared" si="557"/>
        <v>0.54228615233867683</v>
      </c>
      <c r="Q193" s="233">
        <f t="shared" si="557"/>
        <v>0.54612998717324845</v>
      </c>
      <c r="R193" s="233">
        <f t="shared" si="557"/>
        <v>0.54997382200782008</v>
      </c>
      <c r="S193" s="233">
        <f t="shared" si="557"/>
        <v>0.56934567707182282</v>
      </c>
      <c r="T193" s="304">
        <f t="shared" si="557"/>
        <v>0.58871753213582556</v>
      </c>
      <c r="U193" s="304">
        <f t="shared" si="557"/>
        <v>0.69110456735848191</v>
      </c>
      <c r="V193" s="304">
        <f t="shared" si="557"/>
        <v>0.78920715079527026</v>
      </c>
      <c r="W193" s="233">
        <f t="shared" si="558"/>
        <v>0.53459848266953358</v>
      </c>
      <c r="X193" s="233">
        <f t="shared" ref="X193" si="576">IF(X$148&lt;=$I$148,($I193-$F193)/10,IF(AND(X$148&gt;$I$148,X$148&lt;=$K$148),($K193-$I193)/10,IF(AND(X$148&gt;$K$148,X$148&lt;=$L$148),($L193-$K193)/2,($M193-$L193)/2)))+W193</f>
        <v>0.53844231750410521</v>
      </c>
      <c r="Y193" s="233">
        <f t="shared" ref="Y193:AR193" si="577">IF(Y$148&lt;=$I$148,($I193-$F193)/10,IF(AND(Y$148&gt;$I$148,Y$148&lt;=$K$148),($K193-$I193)/10,IF(AND(Y$148&gt;$K$148,Y$148&lt;=$L$148),($L193-$K193)/2,($M193-$L193)/2)))+X193</f>
        <v>0.54228615233867683</v>
      </c>
      <c r="Z193" s="233">
        <f t="shared" si="577"/>
        <v>0.54612998717324845</v>
      </c>
      <c r="AA193" s="233">
        <f t="shared" si="577"/>
        <v>0.54997382200782008</v>
      </c>
      <c r="AB193" s="233">
        <f t="shared" si="577"/>
        <v>0.56934567707182282</v>
      </c>
      <c r="AC193" s="233">
        <f t="shared" si="577"/>
        <v>0.58871753213582556</v>
      </c>
      <c r="AD193" s="233">
        <f t="shared" si="577"/>
        <v>0.69110456735848191</v>
      </c>
      <c r="AE193" s="233">
        <f t="shared" si="577"/>
        <v>0.78920715079527026</v>
      </c>
      <c r="AF193" s="233">
        <f t="shared" si="577"/>
        <v>0.79305098562984189</v>
      </c>
      <c r="AG193" s="233">
        <f t="shared" si="577"/>
        <v>0.79689482046441351</v>
      </c>
      <c r="AH193" s="233">
        <f t="shared" si="577"/>
        <v>0.80073865529898514</v>
      </c>
      <c r="AI193" s="233">
        <f t="shared" si="577"/>
        <v>0.80458249013355676</v>
      </c>
      <c r="AJ193" s="233">
        <f t="shared" si="577"/>
        <v>0.80842632496812838</v>
      </c>
      <c r="AK193" s="233">
        <f t="shared" si="577"/>
        <v>0.81227015980270001</v>
      </c>
      <c r="AL193" s="233">
        <f t="shared" si="577"/>
        <v>0.81611399463727163</v>
      </c>
      <c r="AM193" s="233">
        <f t="shared" si="577"/>
        <v>0.81995782947184326</v>
      </c>
      <c r="AN193" s="233">
        <f t="shared" si="577"/>
        <v>0.82380166430641488</v>
      </c>
      <c r="AO193" s="233">
        <f t="shared" si="577"/>
        <v>0.82764549914098651</v>
      </c>
      <c r="AP193" s="233">
        <f t="shared" si="577"/>
        <v>0.83148933397555813</v>
      </c>
      <c r="AQ193" s="233">
        <f t="shared" si="577"/>
        <v>0.83533316881012976</v>
      </c>
      <c r="AR193" s="233">
        <f t="shared" si="577"/>
        <v>0.83917700364470138</v>
      </c>
      <c r="AS193" s="233"/>
      <c r="AT193" s="233"/>
      <c r="AU193" s="233"/>
    </row>
    <row r="194" spans="1:61">
      <c r="E194" s="10"/>
      <c r="F194" s="10"/>
      <c r="G194" s="10"/>
      <c r="I194" s="10"/>
      <c r="K194" s="10"/>
      <c r="L194" s="10"/>
      <c r="M194" s="10"/>
      <c r="N194" s="40"/>
      <c r="O194" s="233"/>
      <c r="R194" s="233"/>
      <c r="T194" s="233"/>
      <c r="U194" s="233"/>
      <c r="V194" s="233"/>
      <c r="W194" s="233"/>
      <c r="X194" s="233"/>
      <c r="AA194" s="233"/>
      <c r="AB194" s="233"/>
      <c r="AD194" s="233"/>
      <c r="AE194" s="233"/>
      <c r="AF194" s="233"/>
      <c r="AG194" s="233"/>
      <c r="AH194" s="233"/>
      <c r="AI194" s="233"/>
      <c r="AJ194" s="233"/>
      <c r="AK194" s="233"/>
      <c r="AL194" s="233"/>
      <c r="AM194" s="233"/>
      <c r="AN194" s="233"/>
      <c r="AO194" s="233"/>
      <c r="AP194" s="233"/>
      <c r="AQ194" s="233"/>
      <c r="AR194" s="233"/>
      <c r="AS194" s="233"/>
      <c r="AT194" s="233"/>
      <c r="AU194" s="233"/>
    </row>
    <row r="195" spans="1:61" ht="23.25">
      <c r="A195" s="185" t="s">
        <v>16</v>
      </c>
      <c r="B195" s="16" t="s">
        <v>18</v>
      </c>
      <c r="C195" s="16" t="s">
        <v>19</v>
      </c>
      <c r="D195" s="16" t="s">
        <v>20</v>
      </c>
      <c r="E195" s="16" t="s">
        <v>21</v>
      </c>
      <c r="F195" s="16" t="s">
        <v>22</v>
      </c>
      <c r="G195" s="16" t="s">
        <v>23</v>
      </c>
      <c r="H195" s="16" t="s">
        <v>24</v>
      </c>
      <c r="I195" s="16" t="s">
        <v>614</v>
      </c>
      <c r="J195" s="16" t="s">
        <v>644</v>
      </c>
      <c r="K195" s="16" t="s">
        <v>645</v>
      </c>
      <c r="L195" s="17" t="s">
        <v>25</v>
      </c>
      <c r="M195" s="18">
        <v>2012</v>
      </c>
      <c r="N195" s="18">
        <f t="shared" ref="N195:AO195" si="578">1+M195</f>
        <v>2013</v>
      </c>
      <c r="O195" s="18">
        <f t="shared" si="578"/>
        <v>2014</v>
      </c>
      <c r="P195" s="18">
        <f>1+O195</f>
        <v>2015</v>
      </c>
      <c r="Q195" s="18">
        <f t="shared" si="578"/>
        <v>2016</v>
      </c>
      <c r="R195" s="18">
        <f t="shared" si="578"/>
        <v>2017</v>
      </c>
      <c r="S195" s="18">
        <f t="shared" si="578"/>
        <v>2018</v>
      </c>
      <c r="T195" s="18">
        <f t="shared" si="578"/>
        <v>2019</v>
      </c>
      <c r="U195" s="18">
        <f t="shared" si="578"/>
        <v>2020</v>
      </c>
      <c r="V195" s="18">
        <f t="shared" si="578"/>
        <v>2021</v>
      </c>
      <c r="W195" s="18">
        <f t="shared" si="578"/>
        <v>2022</v>
      </c>
      <c r="X195" s="18">
        <f t="shared" si="578"/>
        <v>2023</v>
      </c>
      <c r="Y195" s="18">
        <f t="shared" si="578"/>
        <v>2024</v>
      </c>
      <c r="Z195" s="18">
        <f t="shared" si="578"/>
        <v>2025</v>
      </c>
      <c r="AA195" s="18">
        <f t="shared" si="578"/>
        <v>2026</v>
      </c>
      <c r="AB195" s="18">
        <f t="shared" si="578"/>
        <v>2027</v>
      </c>
      <c r="AC195" s="18">
        <f t="shared" si="578"/>
        <v>2028</v>
      </c>
      <c r="AD195" s="18">
        <f t="shared" si="578"/>
        <v>2029</v>
      </c>
      <c r="AE195" s="18">
        <f t="shared" si="578"/>
        <v>2030</v>
      </c>
      <c r="AF195" s="18">
        <f t="shared" si="578"/>
        <v>2031</v>
      </c>
      <c r="AG195" s="18">
        <f t="shared" si="578"/>
        <v>2032</v>
      </c>
      <c r="AH195" s="18">
        <f t="shared" si="578"/>
        <v>2033</v>
      </c>
      <c r="AI195" s="18">
        <f t="shared" si="578"/>
        <v>2034</v>
      </c>
      <c r="AJ195" s="18">
        <f t="shared" si="578"/>
        <v>2035</v>
      </c>
      <c r="AK195" s="18">
        <f t="shared" si="578"/>
        <v>2036</v>
      </c>
      <c r="AL195" s="18">
        <f t="shared" si="578"/>
        <v>2037</v>
      </c>
      <c r="AM195" s="18">
        <f t="shared" si="578"/>
        <v>2038</v>
      </c>
      <c r="AN195" s="18">
        <f t="shared" si="578"/>
        <v>2039</v>
      </c>
      <c r="AO195" s="18">
        <f t="shared" si="578"/>
        <v>2040</v>
      </c>
      <c r="AP195" s="18">
        <v>2045</v>
      </c>
      <c r="AQ195" s="18">
        <v>2050</v>
      </c>
      <c r="AR195" s="18">
        <v>2060</v>
      </c>
      <c r="AS195" s="18">
        <v>2070</v>
      </c>
      <c r="AT195" s="18"/>
      <c r="AW195" s="18"/>
      <c r="AX195" s="18"/>
      <c r="BH195" s="18">
        <v>2012</v>
      </c>
      <c r="BI195" s="18"/>
    </row>
    <row r="196" spans="1:61" s="191" customFormat="1">
      <c r="A196" s="114" t="s">
        <v>16</v>
      </c>
      <c r="B196" s="191" t="s">
        <v>392</v>
      </c>
      <c r="C196" s="191">
        <v>1</v>
      </c>
      <c r="D196" s="191">
        <v>2012</v>
      </c>
      <c r="E196" s="191">
        <v>2015</v>
      </c>
      <c r="F196" s="191">
        <v>2017</v>
      </c>
      <c r="G196" s="191">
        <v>2019</v>
      </c>
      <c r="H196" s="191">
        <v>2020</v>
      </c>
      <c r="I196" s="191">
        <v>2021</v>
      </c>
      <c r="J196" s="191">
        <v>2030</v>
      </c>
      <c r="K196" s="191">
        <v>2040</v>
      </c>
      <c r="L196" s="236">
        <v>2050</v>
      </c>
      <c r="M196" s="114">
        <f t="shared" ref="M196:V197" si="579">MATCH(J$214,$E$185:$M$185,$C196)</f>
        <v>1</v>
      </c>
      <c r="N196" s="114">
        <f t="shared" si="579"/>
        <v>1</v>
      </c>
      <c r="O196" s="114">
        <f t="shared" si="579"/>
        <v>1</v>
      </c>
      <c r="P196" s="114">
        <f t="shared" si="579"/>
        <v>2</v>
      </c>
      <c r="Q196" s="114">
        <f t="shared" si="579"/>
        <v>2</v>
      </c>
      <c r="R196" s="114">
        <f t="shared" si="579"/>
        <v>3</v>
      </c>
      <c r="S196" s="114">
        <f t="shared" si="579"/>
        <v>3</v>
      </c>
      <c r="T196" s="114">
        <f t="shared" si="579"/>
        <v>4</v>
      </c>
      <c r="U196" s="114">
        <f t="shared" si="579"/>
        <v>5</v>
      </c>
      <c r="V196" s="114">
        <f t="shared" si="579"/>
        <v>6</v>
      </c>
      <c r="W196" s="114">
        <f t="shared" ref="W196:AF197" si="580">MATCH(T$214,$E$185:$M$185,$C196)</f>
        <v>6</v>
      </c>
      <c r="X196" s="114">
        <f t="shared" si="580"/>
        <v>6</v>
      </c>
      <c r="Y196" s="114">
        <f t="shared" si="580"/>
        <v>6</v>
      </c>
      <c r="Z196" s="114">
        <f t="shared" si="580"/>
        <v>6</v>
      </c>
      <c r="AA196" s="114">
        <f t="shared" si="580"/>
        <v>6</v>
      </c>
      <c r="AB196" s="114">
        <f t="shared" si="580"/>
        <v>6</v>
      </c>
      <c r="AC196" s="114">
        <f t="shared" si="580"/>
        <v>6</v>
      </c>
      <c r="AD196" s="114">
        <f t="shared" si="580"/>
        <v>6</v>
      </c>
      <c r="AE196" s="114">
        <f t="shared" si="580"/>
        <v>7</v>
      </c>
      <c r="AF196" s="114">
        <f t="shared" si="580"/>
        <v>7</v>
      </c>
      <c r="AG196" s="114">
        <f t="shared" ref="AG196:AP197" si="581">MATCH(AD$214,$E$185:$M$185,$C196)</f>
        <v>7</v>
      </c>
      <c r="AH196" s="114">
        <f t="shared" si="581"/>
        <v>7</v>
      </c>
      <c r="AI196" s="114">
        <f t="shared" si="581"/>
        <v>7</v>
      </c>
      <c r="AJ196" s="114">
        <f t="shared" si="581"/>
        <v>7</v>
      </c>
      <c r="AK196" s="114">
        <f t="shared" si="581"/>
        <v>7</v>
      </c>
      <c r="AL196" s="114">
        <f t="shared" si="581"/>
        <v>7</v>
      </c>
      <c r="AM196" s="114">
        <f t="shared" si="581"/>
        <v>7</v>
      </c>
      <c r="AN196" s="114">
        <f t="shared" si="581"/>
        <v>7</v>
      </c>
      <c r="AO196" s="114">
        <f t="shared" si="581"/>
        <v>8</v>
      </c>
      <c r="AP196" s="114">
        <f t="shared" si="581"/>
        <v>8</v>
      </c>
      <c r="AQ196" s="114">
        <f t="shared" ref="AQ196:AQ197" si="582">MATCH(AN$214,$E$185:$M$185,$C196)</f>
        <v>9</v>
      </c>
      <c r="AR196" s="191">
        <f>MATCH(AO$214,$C$210:$K$210,$C196)</f>
        <v>9</v>
      </c>
      <c r="AS196" s="191">
        <f>MATCH(AP$214,$C$210:$K$210,$C196)</f>
        <v>9</v>
      </c>
      <c r="BH196" s="114">
        <f>MATCH(BE$214,$C$210:$K$210,$C196)</f>
        <v>1</v>
      </c>
    </row>
    <row r="197" spans="1:61">
      <c r="A197" s="40" t="s">
        <v>16</v>
      </c>
      <c r="B197" s="185" t="s">
        <v>393</v>
      </c>
      <c r="C197" s="185">
        <v>0</v>
      </c>
      <c r="D197" s="185" cm="1">
        <f t="array" ref="D197">INDEX($D196:$L196,0,COUNT($D196:$L196)-D198)</f>
        <v>2050</v>
      </c>
      <c r="E197" s="281" cm="1">
        <f t="array" ref="E197">INDEX($D196:$L196,0,COUNT($D196:$L196)-E198)</f>
        <v>2040</v>
      </c>
      <c r="F197" s="281" cm="1">
        <f t="array" ref="F197">INDEX($D196:$L196,0,COUNT($D196:$L196)-F198)</f>
        <v>2030</v>
      </c>
      <c r="G197" s="281" cm="1">
        <f t="array" ref="G197">INDEX($D196:$L196,0,COUNT($D196:$L196)-G198)</f>
        <v>2021</v>
      </c>
      <c r="H197" s="281" cm="1">
        <f t="array" ref="H197">INDEX($D196:$L196,0,COUNT($D196:$L196)-H198)</f>
        <v>2020</v>
      </c>
      <c r="I197" s="281" cm="1">
        <f t="array" ref="I197">INDEX($D196:$L196,0,COUNT($D196:$L196)-I198)</f>
        <v>2019</v>
      </c>
      <c r="J197" s="281" cm="1">
        <f t="array" ref="J197">INDEX($D196:$L196,0,COUNT($D196:$L196)-J198)</f>
        <v>2017</v>
      </c>
      <c r="K197" s="281" cm="1">
        <f t="array" ref="K197">INDEX($D196:$L196,0,COUNT($D196:$L196)-K198)</f>
        <v>2015</v>
      </c>
      <c r="L197" s="281" cm="1">
        <f t="array" ref="L197">INDEX($D196:$L196,0,COUNT($D196:$L196)-L198)</f>
        <v>2012</v>
      </c>
      <c r="M197" s="40">
        <f t="shared" si="579"/>
        <v>1</v>
      </c>
      <c r="N197" s="40" t="e">
        <f t="shared" si="579"/>
        <v>#N/A</v>
      </c>
      <c r="O197" s="40" t="e">
        <f t="shared" si="579"/>
        <v>#N/A</v>
      </c>
      <c r="P197" s="40">
        <f t="shared" si="579"/>
        <v>2</v>
      </c>
      <c r="Q197" s="40" t="e">
        <f t="shared" si="579"/>
        <v>#N/A</v>
      </c>
      <c r="R197" s="40">
        <f t="shared" si="579"/>
        <v>3</v>
      </c>
      <c r="S197" s="40" t="e">
        <f t="shared" si="579"/>
        <v>#N/A</v>
      </c>
      <c r="T197" s="40">
        <f t="shared" si="579"/>
        <v>4</v>
      </c>
      <c r="U197" s="40">
        <f t="shared" si="579"/>
        <v>5</v>
      </c>
      <c r="V197" s="40">
        <f t="shared" si="579"/>
        <v>6</v>
      </c>
      <c r="W197" s="40" t="e">
        <f t="shared" si="580"/>
        <v>#N/A</v>
      </c>
      <c r="X197" s="40" t="e">
        <f t="shared" si="580"/>
        <v>#N/A</v>
      </c>
      <c r="Y197" s="40" t="e">
        <f t="shared" si="580"/>
        <v>#N/A</v>
      </c>
      <c r="Z197" s="40" t="e">
        <f t="shared" si="580"/>
        <v>#N/A</v>
      </c>
      <c r="AA197" s="40" t="e">
        <f t="shared" si="580"/>
        <v>#N/A</v>
      </c>
      <c r="AB197" s="40" t="e">
        <f t="shared" si="580"/>
        <v>#N/A</v>
      </c>
      <c r="AC197" s="40" t="e">
        <f t="shared" si="580"/>
        <v>#N/A</v>
      </c>
      <c r="AD197" s="40" t="e">
        <f t="shared" si="580"/>
        <v>#N/A</v>
      </c>
      <c r="AE197" s="40">
        <f t="shared" si="580"/>
        <v>7</v>
      </c>
      <c r="AF197" s="40" t="e">
        <f t="shared" si="580"/>
        <v>#N/A</v>
      </c>
      <c r="AG197" s="40" t="e">
        <f t="shared" si="581"/>
        <v>#N/A</v>
      </c>
      <c r="AH197" s="40" t="e">
        <f t="shared" si="581"/>
        <v>#N/A</v>
      </c>
      <c r="AI197" s="40" t="e">
        <f t="shared" si="581"/>
        <v>#N/A</v>
      </c>
      <c r="AJ197" s="40" t="e">
        <f t="shared" si="581"/>
        <v>#N/A</v>
      </c>
      <c r="AK197" s="40" t="e">
        <f t="shared" si="581"/>
        <v>#N/A</v>
      </c>
      <c r="AL197" s="40" t="e">
        <f t="shared" si="581"/>
        <v>#N/A</v>
      </c>
      <c r="AM197" s="40" t="e">
        <f t="shared" si="581"/>
        <v>#N/A</v>
      </c>
      <c r="AN197" s="40" t="e">
        <f t="shared" si="581"/>
        <v>#N/A</v>
      </c>
      <c r="AO197" s="40">
        <f t="shared" si="581"/>
        <v>8</v>
      </c>
      <c r="AP197" s="40" t="e">
        <f t="shared" si="581"/>
        <v>#N/A</v>
      </c>
      <c r="AQ197" s="40">
        <f t="shared" si="582"/>
        <v>9</v>
      </c>
      <c r="AR197" s="185" t="e">
        <f>MATCH(AO$214,$C$210:$K$210,$C197)</f>
        <v>#N/A</v>
      </c>
      <c r="AS197" s="185" t="e">
        <f>MATCH(AP$214,$C$210:$K$210,$C197)</f>
        <v>#N/A</v>
      </c>
      <c r="BH197" s="40">
        <f>MATCH(BE$214,$C$210:$K$210,$C197)</f>
        <v>1</v>
      </c>
    </row>
    <row r="198" spans="1:61">
      <c r="A198" s="40" t="s">
        <v>16</v>
      </c>
      <c r="B198" s="185" t="s">
        <v>391</v>
      </c>
      <c r="C198" s="185">
        <v>-1</v>
      </c>
      <c r="D198" s="185">
        <v>0</v>
      </c>
      <c r="E198" s="281">
        <v>1</v>
      </c>
      <c r="F198" s="281">
        <v>2</v>
      </c>
      <c r="G198" s="281">
        <v>3</v>
      </c>
      <c r="H198" s="281">
        <v>4</v>
      </c>
      <c r="I198" s="281">
        <v>5</v>
      </c>
      <c r="J198" s="281">
        <v>6</v>
      </c>
      <c r="K198" s="281">
        <v>7</v>
      </c>
      <c r="L198" s="281">
        <v>8</v>
      </c>
      <c r="M198" s="185">
        <f>MATCH(J$214,$C$211:$K$211,$C198)</f>
        <v>9</v>
      </c>
      <c r="N198" s="185">
        <f>MATCH(K$214,$D$197:$L$197,$C198)</f>
        <v>8</v>
      </c>
      <c r="O198" s="185">
        <f t="shared" ref="O198:AS198" si="583">MATCH(L$214,$C$211:$K$211,$C198)</f>
        <v>8</v>
      </c>
      <c r="P198" s="185">
        <f t="shared" si="583"/>
        <v>8</v>
      </c>
      <c r="Q198" s="185">
        <f t="shared" si="583"/>
        <v>7</v>
      </c>
      <c r="R198" s="185">
        <f t="shared" si="583"/>
        <v>7</v>
      </c>
      <c r="S198" s="185">
        <f t="shared" si="583"/>
        <v>6</v>
      </c>
      <c r="T198" s="185">
        <f t="shared" si="583"/>
        <v>6</v>
      </c>
      <c r="U198" s="185">
        <f t="shared" si="583"/>
        <v>5</v>
      </c>
      <c r="V198" s="185">
        <f t="shared" si="583"/>
        <v>4</v>
      </c>
      <c r="W198" s="185">
        <f t="shared" si="583"/>
        <v>3</v>
      </c>
      <c r="X198" s="185">
        <f t="shared" si="583"/>
        <v>3</v>
      </c>
      <c r="Y198" s="185">
        <f t="shared" si="583"/>
        <v>3</v>
      </c>
      <c r="Z198" s="185">
        <f t="shared" si="583"/>
        <v>3</v>
      </c>
      <c r="AA198" s="185">
        <f t="shared" si="583"/>
        <v>3</v>
      </c>
      <c r="AB198" s="185">
        <f t="shared" si="583"/>
        <v>3</v>
      </c>
      <c r="AC198" s="185">
        <f t="shared" si="583"/>
        <v>3</v>
      </c>
      <c r="AD198" s="185">
        <f t="shared" si="583"/>
        <v>3</v>
      </c>
      <c r="AE198" s="185">
        <f t="shared" si="583"/>
        <v>3</v>
      </c>
      <c r="AF198" s="185">
        <f t="shared" si="583"/>
        <v>2</v>
      </c>
      <c r="AG198" s="185">
        <f t="shared" si="583"/>
        <v>2</v>
      </c>
      <c r="AH198" s="185">
        <f t="shared" si="583"/>
        <v>2</v>
      </c>
      <c r="AI198" s="185">
        <f t="shared" si="583"/>
        <v>2</v>
      </c>
      <c r="AJ198" s="185">
        <f t="shared" si="583"/>
        <v>2</v>
      </c>
      <c r="AK198" s="185">
        <f t="shared" si="583"/>
        <v>2</v>
      </c>
      <c r="AL198" s="185">
        <f t="shared" si="583"/>
        <v>2</v>
      </c>
      <c r="AM198" s="185">
        <f t="shared" si="583"/>
        <v>2</v>
      </c>
      <c r="AN198" s="185">
        <f t="shared" si="583"/>
        <v>2</v>
      </c>
      <c r="AO198" s="185">
        <f t="shared" si="583"/>
        <v>2</v>
      </c>
      <c r="AP198" s="185">
        <f t="shared" si="583"/>
        <v>1</v>
      </c>
      <c r="AQ198" s="185">
        <f t="shared" si="583"/>
        <v>1</v>
      </c>
      <c r="AR198" s="185" t="e">
        <f t="shared" si="583"/>
        <v>#N/A</v>
      </c>
      <c r="AS198" s="185" t="e">
        <f t="shared" si="583"/>
        <v>#N/A</v>
      </c>
      <c r="BH198" s="185">
        <f>MATCH(BE$214,$C$211:$K$211,$C198)</f>
        <v>9</v>
      </c>
    </row>
    <row r="199" spans="1:61" s="117" customFormat="1">
      <c r="A199" s="116" t="s">
        <v>16</v>
      </c>
      <c r="B199" s="117" t="s">
        <v>394</v>
      </c>
      <c r="L199" s="122"/>
      <c r="M199" s="189">
        <f>IF(ISNA(M196),-1,IF(ISNA(M198),99,IF(ISNA(M197),M196,0)))</f>
        <v>0</v>
      </c>
      <c r="N199" s="189">
        <f>IF(ISNA(N196),-1,IF(ISNA(N198),99,IF(ISNA(N197),N196,0)))</f>
        <v>1</v>
      </c>
      <c r="O199" s="189">
        <f t="shared" ref="O199:AS199" si="584">IF(ISNA(O196),-1,IF(ISNA(O198),99,IF(ISNA(O197),O196,0)))</f>
        <v>1</v>
      </c>
      <c r="P199" s="189">
        <f t="shared" si="584"/>
        <v>0</v>
      </c>
      <c r="Q199" s="189">
        <f t="shared" si="584"/>
        <v>2</v>
      </c>
      <c r="R199" s="189">
        <f t="shared" ref="R199" si="585">IF(ISNA(R196),-1,IF(ISNA(R198),99,IF(ISNA(R197),R196,0)))</f>
        <v>0</v>
      </c>
      <c r="S199" s="189">
        <f t="shared" si="584"/>
        <v>3</v>
      </c>
      <c r="T199" s="189">
        <f t="shared" si="584"/>
        <v>0</v>
      </c>
      <c r="U199" s="189">
        <f t="shared" si="584"/>
        <v>0</v>
      </c>
      <c r="V199" s="189">
        <f t="shared" si="584"/>
        <v>0</v>
      </c>
      <c r="W199" s="189">
        <f t="shared" si="584"/>
        <v>6</v>
      </c>
      <c r="X199" s="189">
        <f t="shared" si="584"/>
        <v>6</v>
      </c>
      <c r="Y199" s="189">
        <f t="shared" si="584"/>
        <v>6</v>
      </c>
      <c r="Z199" s="189">
        <f t="shared" si="584"/>
        <v>6</v>
      </c>
      <c r="AA199" s="189">
        <f t="shared" si="584"/>
        <v>6</v>
      </c>
      <c r="AB199" s="189">
        <f t="shared" si="584"/>
        <v>6</v>
      </c>
      <c r="AC199" s="189">
        <f t="shared" si="584"/>
        <v>6</v>
      </c>
      <c r="AD199" s="189">
        <f t="shared" si="584"/>
        <v>6</v>
      </c>
      <c r="AE199" s="189">
        <f t="shared" si="584"/>
        <v>0</v>
      </c>
      <c r="AF199" s="189">
        <f t="shared" si="584"/>
        <v>7</v>
      </c>
      <c r="AG199" s="189">
        <f t="shared" si="584"/>
        <v>7</v>
      </c>
      <c r="AH199" s="189">
        <f t="shared" si="584"/>
        <v>7</v>
      </c>
      <c r="AI199" s="189">
        <f t="shared" si="584"/>
        <v>7</v>
      </c>
      <c r="AJ199" s="189">
        <f t="shared" si="584"/>
        <v>7</v>
      </c>
      <c r="AK199" s="189">
        <f t="shared" si="584"/>
        <v>7</v>
      </c>
      <c r="AL199" s="189">
        <f t="shared" si="584"/>
        <v>7</v>
      </c>
      <c r="AM199" s="189">
        <f t="shared" si="584"/>
        <v>7</v>
      </c>
      <c r="AN199" s="189">
        <f t="shared" si="584"/>
        <v>7</v>
      </c>
      <c r="AO199" s="189">
        <f t="shared" si="584"/>
        <v>0</v>
      </c>
      <c r="AP199" s="189">
        <f t="shared" si="584"/>
        <v>8</v>
      </c>
      <c r="AQ199" s="189">
        <f t="shared" si="584"/>
        <v>0</v>
      </c>
      <c r="AR199" s="189">
        <f t="shared" si="584"/>
        <v>99</v>
      </c>
      <c r="AS199" s="189">
        <f t="shared" si="584"/>
        <v>99</v>
      </c>
      <c r="AT199" s="189"/>
      <c r="AW199" s="189"/>
      <c r="AX199" s="189"/>
      <c r="BH199" s="189">
        <f>IF(ISNA(BH196),-1,IF(ISNA(BH198),99,IF(ISNA(BH197),BH196,0)))</f>
        <v>0</v>
      </c>
      <c r="BI199" s="189"/>
    </row>
    <row r="200" spans="1:61">
      <c r="A200" s="185" t="s">
        <v>16</v>
      </c>
      <c r="B200" s="22" t="str">
        <f t="shared" ref="B200:B207" si="586">IF(A200="*","","COM_PROJ")</f>
        <v/>
      </c>
      <c r="C200" s="23" t="str">
        <f t="shared" ref="C200:C207" si="587">IF($A200="*","","-")</f>
        <v/>
      </c>
      <c r="D200" s="57" t="str">
        <f t="shared" ref="D200:D207" si="588">B172</f>
        <v>TPPRCAR</v>
      </c>
      <c r="E200" s="23" t="str">
        <f t="shared" ref="E200:K207" si="589">IF($A200="*","","-")</f>
        <v/>
      </c>
      <c r="F200" s="23"/>
      <c r="H200" s="23" t="str">
        <f t="shared" si="589"/>
        <v/>
      </c>
      <c r="J200" s="23" t="str">
        <f t="shared" si="589"/>
        <v/>
      </c>
      <c r="K200" s="23" t="str">
        <f t="shared" si="589"/>
        <v/>
      </c>
      <c r="L200" s="22" t="str">
        <f t="shared" ref="L200:L207" si="590">IF(A200="*","",0)</f>
        <v/>
      </c>
      <c r="M200" s="186" cm="1">
        <f t="array" ref="M200">IF(M$199=-1,N200,IF(M$199=99,L200,IF(M$199=0,INDEX($E186:$M186,0,M$197),(INDEX($E186:$M186,0,M$199+1)-INDEX($E186:$M186,0,M$199))/(INDEX($E$185:$M$185,0,M$199+1)-INDEX($E$185:$M$185,0,M$199))+L200)))</f>
        <v>77.614189675901358</v>
      </c>
      <c r="N200" s="186" cm="1">
        <f t="array" ref="N200">IF(N$199=-1,O200,IF(N$199=99,M200,IF(N$199=0,INDEX($E186:$M186,0,N$197),(INDEX($E186:$M186,0,N$199+1)-INDEX($E186:$M186,0,N$199))/(INDEX($E$185:$M$185,0,N$199+1)-INDEX($E$185:$M$185,0,N$199))+M200)))</f>
        <v>78.66974968553842</v>
      </c>
      <c r="O200" s="186" cm="1">
        <f t="array" ref="O200">IF(O$199=-1,P200,IF(O$199=99,N200,IF(O$199=0,INDEX($E186:$M186,0,O$197),(INDEX($E186:$M186,0,O$199+1)-INDEX($E186:$M186,0,O$199))/(INDEX($E$185:$M$185,0,O$199+1)-INDEX($E$185:$M$185,0,O$199))+N200)))</f>
        <v>79.725309695175483</v>
      </c>
      <c r="P200" s="186" cm="1">
        <f t="array" ref="P200">IF(P$199=-1,Q200,IF(P$199=99,O200,IF(P$199=0,INDEX($E186:$M186,0,P$197),(INDEX($E186:$M186,0,P$199+1)-INDEX($E186:$M186,0,P$199))/(INDEX($E$185:$M$185,0,P$199+1)-INDEX($E$185:$M$185,0,P$199))+O200)))</f>
        <v>80.780869704812559</v>
      </c>
      <c r="Q200" s="186" cm="1">
        <f t="array" ref="Q200">IF(Q$199=-1,R200,IF(Q$199=99,P200,IF(Q$199=0,INDEX($E186:$M186,0,Q$197),(INDEX($E186:$M186,0,Q$199+1)-INDEX($E186:$M186,0,Q$199))/(INDEX($E$185:$M$185,0,Q$199+1)-INDEX($E$185:$M$185,0,Q$199))+P200)))</f>
        <v>80.466711296587334</v>
      </c>
      <c r="R200" s="186" cm="1">
        <f t="array" ref="R200">IF(R$199=-1,S200,IF(R$199=99,Q200,IF(R$199=0,INDEX($E186:$M186,0,R$197),(INDEX($E186:$M186,0,R$199+1)-INDEX($E186:$M186,0,R$199))/(INDEX($E$185:$M$185,0,R$199+1)-INDEX($E$185:$M$185,0,R$199))+Q200)))</f>
        <v>80.152552888362095</v>
      </c>
      <c r="S200" s="186" cm="1">
        <f t="array" ref="S200">IF(S$199=-1,T200,IF(S$199=99,R200,IF(S$199=0,INDEX($E186:$M186,0,S$197),(INDEX($E186:$M186,0,S$199+1)-INDEX($E186:$M186,0,S$199))/(INDEX($E$185:$M$185,0,S$199+1)-INDEX($E$185:$M$185,0,S$199))+R200)))</f>
        <v>82.139088284189654</v>
      </c>
      <c r="T200" s="186" cm="1">
        <f t="array" ref="T200">IF(T$199=-1,U200,IF(T$199=99,S200,IF(T$199=0,INDEX($E186:$M186,0,T$197),(INDEX($E186:$M186,0,T$199+1)-INDEX($E186:$M186,0,T$199))/(INDEX($E$185:$M$185,0,T$199+1)-INDEX($E$185:$M$185,0,T$199))+S200)))</f>
        <v>84.125623680017213</v>
      </c>
      <c r="U200" s="186" cm="1">
        <f t="array" ref="U200">IF(U$199=-1,V200,IF(U$199=99,T200,IF(U$199=0,INDEX($E186:$M186,0,U$197),(INDEX($E186:$M186,0,U$199+1)-INDEX($E186:$M186,0,U$199))/(INDEX($E$185:$M$185,0,U$199+1)-INDEX($E$185:$M$185,0,U$199))+T200)))</f>
        <v>78.575402784147585</v>
      </c>
      <c r="V200" s="186" cm="1">
        <f t="array" ref="V200">IF(V$199=-1,W200,IF(V$199=99,U200,IF(V$199=0,INDEX($E186:$M186,0,V$197),(INDEX($E186:$M186,0,V$199+1)-INDEX($E186:$M186,0,V$199))/(INDEX($E$185:$M$185,0,V$199+1)-INDEX($E$185:$M$185,0,V$199))+U200)))</f>
        <v>79.324692031817534</v>
      </c>
      <c r="W200" s="186" cm="1">
        <f t="array" ref="W200">IF(W$199=-1,X200,IF(W$199=99,V200,IF(W$199=0,INDEX($E186:$M186,0,W$197),(INDEX($E186:$M186,0,W$199+1)-INDEX($E186:$M186,0,W$199))/(INDEX($E$185:$M$185,0,W$199+1)-INDEX($E$185:$M$185,0,W$199))+V200)))</f>
        <v>81.956575202302233</v>
      </c>
      <c r="X200" s="186" cm="1">
        <f t="array" ref="X200">IF(X$199=-1,Y200,IF(X$199=99,W200,IF(X$199=0,INDEX($E186:$M186,0,X$197),(INDEX($E186:$M186,0,X$199+1)-INDEX($E186:$M186,0,X$199))/(INDEX($E$185:$M$185,0,X$199+1)-INDEX($E$185:$M$185,0,X$199))+W200)))</f>
        <v>84.588458372786931</v>
      </c>
      <c r="Y200" s="186" cm="1">
        <f t="array" ref="Y200">IF(Y$199=-1,Z200,IF(Y$199=99,X200,IF(Y$199=0,INDEX($E186:$M186,0,Y$197),(INDEX($E186:$M186,0,Y$199+1)-INDEX($E186:$M186,0,Y$199))/(INDEX($E$185:$M$185,0,Y$199+1)-INDEX($E$185:$M$185,0,Y$199))+X200)))</f>
        <v>87.22034154327163</v>
      </c>
      <c r="Z200" s="186" cm="1">
        <f t="array" ref="Z200">IF(Z$199=-1,AA200,IF(Z$199=99,Y200,IF(Z$199=0,INDEX($E186:$M186,0,Z$197),(INDEX($E186:$M186,0,Z$199+1)-INDEX($E186:$M186,0,Z$199))/(INDEX($E$185:$M$185,0,Z$199+1)-INDEX($E$185:$M$185,0,Z$199))+Y200)))</f>
        <v>89.852224713756328</v>
      </c>
      <c r="AA200" s="186" cm="1">
        <f t="array" ref="AA200">IF(AA$199=-1,AB200,IF(AA$199=99,Z200,IF(AA$199=0,INDEX($E186:$M186,0,AA$197),(INDEX($E186:$M186,0,AA$199+1)-INDEX($E186:$M186,0,AA$199))/(INDEX($E$185:$M$185,0,AA$199+1)-INDEX($E$185:$M$185,0,AA$199))+Z200)))</f>
        <v>92.484107884241027</v>
      </c>
      <c r="AB200" s="186" cm="1">
        <f t="array" ref="AB200">IF(AB$199=-1,AC200,IF(AB$199=99,AA200,IF(AB$199=0,INDEX($E186:$M186,0,AB$197),(INDEX($E186:$M186,0,AB$199+1)-INDEX($E186:$M186,0,AB$199))/(INDEX($E$185:$M$185,0,AB$199+1)-INDEX($E$185:$M$185,0,AB$199))+AA200)))</f>
        <v>95.115991054725725</v>
      </c>
      <c r="AC200" s="186" cm="1">
        <f t="array" ref="AC200">IF(AC$199=-1,AD200,IF(AC$199=99,AB200,IF(AC$199=0,INDEX($E186:$M186,0,AC$197),(INDEX($E186:$M186,0,AC$199+1)-INDEX($E186:$M186,0,AC$199))/(INDEX($E$185:$M$185,0,AC$199+1)-INDEX($E$185:$M$185,0,AC$199))+AB200)))</f>
        <v>97.747874225210424</v>
      </c>
      <c r="AD200" s="186" cm="1">
        <f t="array" ref="AD200">IF(AD$199=-1,AE200,IF(AD$199=99,AC200,IF(AD$199=0,INDEX($E186:$M186,0,AD$197),(INDEX($E186:$M186,0,AD$199+1)-INDEX($E186:$M186,0,AD$199))/(INDEX($E$185:$M$185,0,AD$199+1)-INDEX($E$185:$M$185,0,AD$199))+AC200)))</f>
        <v>100.37975739569512</v>
      </c>
      <c r="AE200" s="186" cm="1">
        <f t="array" ref="AE200">IF(AE$199=-1,AF200,IF(AE$199=99,AD200,IF(AE$199=0,INDEX($E186:$M186,0,AE$197),(INDEX($E186:$M186,0,AE$199+1)-INDEX($E186:$M186,0,AE$199))/(INDEX($E$185:$M$185,0,AE$199+1)-INDEX($E$185:$M$185,0,AE$199))+AD200)))</f>
        <v>103.01164056617978</v>
      </c>
      <c r="AF200" s="186" cm="1">
        <f t="array" ref="AF200">IF(AF$199=-1,AG200,IF(AF$199=99,AE200,IF(AF$199=0,INDEX($E186:$M186,0,AF$197),(INDEX($E186:$M186,0,AF$199+1)-INDEX($E186:$M186,0,AF$199))/(INDEX($E$185:$M$185,0,AF$199+1)-INDEX($E$185:$M$185,0,AF$199))+AE200)))</f>
        <v>106.01576233268294</v>
      </c>
      <c r="AG200" s="186" cm="1">
        <f t="array" ref="AG200">IF(AG$199=-1,AH200,IF(AG$199=99,AF200,IF(AG$199=0,INDEX($E186:$M186,0,AG$197),(INDEX($E186:$M186,0,AG$199+1)-INDEX($E186:$M186,0,AG$199))/(INDEX($E$185:$M$185,0,AG$199+1)-INDEX($E$185:$M$185,0,AG$199))+AF200)))</f>
        <v>109.0198840991861</v>
      </c>
      <c r="AH200" s="186" cm="1">
        <f t="array" ref="AH200">IF(AH$199=-1,AI200,IF(AH$199=99,AG200,IF(AH$199=0,INDEX($E186:$M186,0,AH$197),(INDEX($E186:$M186,0,AH$199+1)-INDEX($E186:$M186,0,AH$199))/(INDEX($E$185:$M$185,0,AH$199+1)-INDEX($E$185:$M$185,0,AH$199))+AG200)))</f>
        <v>112.02400586568926</v>
      </c>
      <c r="AI200" s="186" cm="1">
        <f t="array" ref="AI200">IF(AI$199=-1,AJ200,IF(AI$199=99,AH200,IF(AI$199=0,INDEX($E186:$M186,0,AI$197),(INDEX($E186:$M186,0,AI$199+1)-INDEX($E186:$M186,0,AI$199))/(INDEX($E$185:$M$185,0,AI$199+1)-INDEX($E$185:$M$185,0,AI$199))+AH200)))</f>
        <v>115.02812763219242</v>
      </c>
      <c r="AJ200" s="186" cm="1">
        <f t="array" ref="AJ200">IF(AJ$199=-1,AK200,IF(AJ$199=99,AI200,IF(AJ$199=0,INDEX($E186:$M186,0,AJ$197),(INDEX($E186:$M186,0,AJ$199+1)-INDEX($E186:$M186,0,AJ$199))/(INDEX($E$185:$M$185,0,AJ$199+1)-INDEX($E$185:$M$185,0,AJ$199))+AI200)))</f>
        <v>118.03224939869558</v>
      </c>
      <c r="AK200" s="186" cm="1">
        <f t="array" ref="AK200">IF(AK$199=-1,AL200,IF(AK$199=99,AJ200,IF(AK$199=0,INDEX($E186:$M186,0,AK$197),(INDEX($E186:$M186,0,AK$199+1)-INDEX($E186:$M186,0,AK$199))/(INDEX($E$185:$M$185,0,AK$199+1)-INDEX($E$185:$M$185,0,AK$199))+AJ200)))</f>
        <v>121.03637116519874</v>
      </c>
      <c r="AL200" s="186" cm="1">
        <f t="array" ref="AL200">IF(AL$199=-1,AM200,IF(AL$199=99,AK200,IF(AL$199=0,INDEX($E186:$M186,0,AL$197),(INDEX($E186:$M186,0,AL$199+1)-INDEX($E186:$M186,0,AL$199))/(INDEX($E$185:$M$185,0,AL$199+1)-INDEX($E$185:$M$185,0,AL$199))+AK200)))</f>
        <v>124.04049293170191</v>
      </c>
      <c r="AM200" s="186" cm="1">
        <f t="array" ref="AM200">IF(AM$199=-1,AN200,IF(AM$199=99,AL200,IF(AM$199=0,INDEX($E186:$M186,0,AM$197),(INDEX($E186:$M186,0,AM$199+1)-INDEX($E186:$M186,0,AM$199))/(INDEX($E$185:$M$185,0,AM$199+1)-INDEX($E$185:$M$185,0,AM$199))+AL200)))</f>
        <v>127.04461469820507</v>
      </c>
      <c r="AN200" s="186" cm="1">
        <f t="array" ref="AN200">IF(AN$199=-1,AO200,IF(AN$199=99,AM200,IF(AN$199=0,INDEX($E186:$M186,0,AN$197),(INDEX($E186:$M186,0,AN$199+1)-INDEX($E186:$M186,0,AN$199))/(INDEX($E$185:$M$185,0,AN$199+1)-INDEX($E$185:$M$185,0,AN$199))+AM200)))</f>
        <v>130.04873646470824</v>
      </c>
      <c r="AO200" s="186" cm="1">
        <f t="array" ref="AO200">IF(AO$199=-1,AP200,IF(AO$199=99,AN200,IF(AO$199=0,INDEX($E186:$M186,0,AO$197),(INDEX($E186:$M186,0,AO$199+1)-INDEX($E186:$M186,0,AO$199))/(INDEX($E$185:$M$185,0,AO$199+1)-INDEX($E$185:$M$185,0,AO$199))+AN200)))</f>
        <v>133.05285823121142</v>
      </c>
      <c r="AP200" s="186" cm="1">
        <f t="array" ref="AP200">IF(AP$199=-1,AQ200,IF(AP$199=99,AO200,IF(AP$199=0,INDEX($E186:$M186,0,AP$197),(INDEX($E186:$M186,0,AP$199+1)-INDEX($E186:$M186,0,AP$199))/(INDEX($E$185:$M$185,0,AP$199+1)-INDEX($E$185:$M$185,0,AP$199))+AO200)))</f>
        <v>136.101282415588</v>
      </c>
      <c r="AQ200" s="186" cm="1">
        <f t="array" ref="AQ200">IF(AQ$199=-1,AR200,IF(AQ$199=99,AP200,IF(AQ$199=0,INDEX($E186:$M186,0,AQ$197),(INDEX($E186:$M186,0,AQ$199+1)-INDEX($E186:$M186,0,AQ$199))/(INDEX($E$185:$M$185,0,AQ$199+1)-INDEX($E$185:$M$185,0,AQ$199))+AP200)))</f>
        <v>163.53710007497739</v>
      </c>
      <c r="AR200" s="186" cm="1">
        <f t="array" ref="AR200">IF(AR$199=-1,AS200,IF(AR$199=99,AQ200,IF(AR$199=0,INDEX($E186:$M186,0,AR$197),(INDEX($E186:$M186,0,AR$199+1)-INDEX($E186:$M186,0,AR$199))/(INDEX($E$185:$M$185,0,AR$199+1)-INDEX($E$185:$M$185,0,AR$199))+AQ200)))</f>
        <v>163.53710007497739</v>
      </c>
      <c r="AS200" s="186" cm="1">
        <f t="array" ref="AS200">IF(AS$199=-1,#REF!,IF(AS$199=99,AR200,IF(AS$199=0,INDEX($E186:$M186,0,AS$197),(INDEX($E186:$M186,0,AS$199+1)-INDEX($E186:$M186,0,AS$199))/(INDEX($E$185:$M$185,0,AS$199+1)-INDEX($E$185:$M$185,0,AS$199))+AR200)))</f>
        <v>163.53710007497739</v>
      </c>
      <c r="AT200" s="186"/>
      <c r="AW200" s="186"/>
      <c r="AX200" s="186"/>
      <c r="BH200" s="186">
        <f t="shared" ref="BH200:BH207" si="591">E186</f>
        <v>77.614189675901358</v>
      </c>
      <c r="BI200" s="109">
        <f t="shared" ref="BI200:BI207" si="592">(M200-BH200)/M200</f>
        <v>0</v>
      </c>
    </row>
    <row r="201" spans="1:61">
      <c r="A201" s="185" t="s">
        <v>16</v>
      </c>
      <c r="B201" s="22" t="str">
        <f t="shared" si="586"/>
        <v/>
      </c>
      <c r="C201" s="23" t="str">
        <f t="shared" si="587"/>
        <v/>
      </c>
      <c r="D201" s="57" t="str">
        <f t="shared" si="588"/>
        <v>TPPRSUV</v>
      </c>
      <c r="E201" s="23" t="str">
        <f t="shared" si="589"/>
        <v/>
      </c>
      <c r="F201" s="23"/>
      <c r="H201" s="23" t="str">
        <f t="shared" si="589"/>
        <v/>
      </c>
      <c r="J201" s="23" t="str">
        <f t="shared" si="589"/>
        <v/>
      </c>
      <c r="K201" s="23" t="str">
        <f t="shared" si="589"/>
        <v/>
      </c>
      <c r="L201" s="22" t="str">
        <f t="shared" si="590"/>
        <v/>
      </c>
      <c r="M201" s="186" cm="1">
        <f t="array" ref="M201">IF(M$199=-1,N201,IF(M$199=99,L201,IF(M$199=0,INDEX($E187:$M187,0,M$197),(INDEX($E187:$M187,0,M$199+1)-INDEX($E187:$M187,0,M$199))/(INDEX($E$185:$M$185,0,M$199+1)-INDEX($E$185:$M$185,0,M$199))+L201)))</f>
        <v>9.939379683721306</v>
      </c>
      <c r="N201" s="186" cm="1">
        <f t="array" ref="N201">IF(N$199=-1,O201,IF(N$199=99,M201,IF(N$199=0,INDEX($E187:$M187,0,N$197),(INDEX($E187:$M187,0,N$199+1)-INDEX($E187:$M187,0,N$199))/(INDEX($E$185:$M$185,0,N$199+1)-INDEX($E$185:$M$185,0,N$199))+M201)))</f>
        <v>11.042214536035432</v>
      </c>
      <c r="O201" s="186" cm="1">
        <f t="array" ref="O201">IF(O$199=-1,P201,IF(O$199=99,N201,IF(O$199=0,INDEX($E187:$M187,0,O$197),(INDEX($E187:$M187,0,O$199+1)-INDEX($E187:$M187,0,O$199))/(INDEX($E$185:$M$185,0,O$199+1)-INDEX($E$185:$M$185,0,O$199))+N201)))</f>
        <v>12.145049388349559</v>
      </c>
      <c r="P201" s="186" cm="1">
        <f t="array" ref="P201">IF(P$199=-1,Q201,IF(P$199=99,O201,IF(P$199=0,INDEX($E187:$M187,0,P$197),(INDEX($E187:$M187,0,P$199+1)-INDEX($E187:$M187,0,P$199))/(INDEX($E$185:$M$185,0,P$199+1)-INDEX($E$185:$M$185,0,P$199))+O201)))</f>
        <v>13.247884240663684</v>
      </c>
      <c r="Q201" s="186" cm="1">
        <f t="array" ref="Q201">IF(Q$199=-1,R201,IF(Q$199=99,P201,IF(Q$199=0,INDEX($E187:$M187,0,Q$197),(INDEX($E187:$M187,0,Q$199+1)-INDEX($E187:$M187,0,Q$199))/(INDEX($E$185:$M$185,0,Q$199+1)-INDEX($E$185:$M$185,0,Q$199))+P201)))</f>
        <v>15.140150864720315</v>
      </c>
      <c r="R201" s="186" cm="1">
        <f t="array" ref="R201">IF(R$199=-1,S201,IF(R$199=99,Q201,IF(R$199=0,INDEX($E187:$M187,0,R$197),(INDEX($E187:$M187,0,R$199+1)-INDEX($E187:$M187,0,R$199))/(INDEX($E$185:$M$185,0,R$199+1)-INDEX($E$185:$M$185,0,R$199))+Q201)))</f>
        <v>17.032417488776947</v>
      </c>
      <c r="S201" s="186" cm="1">
        <f t="array" ref="S201">IF(S$199=-1,T201,IF(S$199=99,R201,IF(S$199=0,INDEX($E187:$M187,0,S$197),(INDEX($E187:$M187,0,S$199+1)-INDEX($E187:$M187,0,S$199))/(INDEX($E$185:$M$185,0,S$199+1)-INDEX($E$185:$M$185,0,S$199))+R201)))</f>
        <v>17.454556260390305</v>
      </c>
      <c r="T201" s="186" cm="1">
        <f t="array" ref="T201">IF(T$199=-1,U201,IF(T$199=99,S201,IF(T$199=0,INDEX($E187:$M187,0,T$197),(INDEX($E187:$M187,0,T$199+1)-INDEX($E187:$M187,0,T$199))/(INDEX($E$185:$M$185,0,T$199+1)-INDEX($E$185:$M$185,0,T$199))+S201)))</f>
        <v>17.87669503200366</v>
      </c>
      <c r="U201" s="186" cm="1">
        <f t="array" ref="U201">IF(U$199=-1,V201,IF(U$199=99,T201,IF(U$199=0,INDEX($E187:$M187,0,U$197),(INDEX($E187:$M187,0,U$199+1)-INDEX($E187:$M187,0,U$199))/(INDEX($E$185:$M$185,0,U$199+1)-INDEX($E$185:$M$185,0,U$199))+T201)))</f>
        <v>16.697273091631363</v>
      </c>
      <c r="V201" s="186" cm="1">
        <f t="array" ref="V201">IF(V$199=-1,W201,IF(V$199=99,U201,IF(V$199=0,INDEX($E187:$M187,0,V$197),(INDEX($E187:$M187,0,V$199+1)-INDEX($E187:$M187,0,V$199))/(INDEX($E$185:$M$185,0,V$199+1)-INDEX($E$185:$M$185,0,V$199))+U201)))</f>
        <v>16.856497056761228</v>
      </c>
      <c r="W201" s="186" cm="1">
        <f t="array" ref="W201">IF(W$199=-1,X201,IF(W$199=99,V201,IF(W$199=0,INDEX($E187:$M187,0,W$197),(INDEX($E187:$M187,0,W$199+1)-INDEX($E187:$M187,0,W$199))/(INDEX($E$185:$M$185,0,W$199+1)-INDEX($E$185:$M$185,0,W$199))+V201)))</f>
        <v>17.415772230489225</v>
      </c>
      <c r="X201" s="186" cm="1">
        <f t="array" ref="X201">IF(X$199=-1,Y201,IF(X$199=99,W201,IF(X$199=0,INDEX($E187:$M187,0,X$197),(INDEX($E187:$M187,0,X$199+1)-INDEX($E187:$M187,0,X$199))/(INDEX($E$185:$M$185,0,X$199+1)-INDEX($E$185:$M$185,0,X$199))+W201)))</f>
        <v>17.975047404217221</v>
      </c>
      <c r="Y201" s="186" cm="1">
        <f t="array" ref="Y201">IF(Y$199=-1,Z201,IF(Y$199=99,X201,IF(Y$199=0,INDEX($E187:$M187,0,Y$197),(INDEX($E187:$M187,0,Y$199+1)-INDEX($E187:$M187,0,Y$199))/(INDEX($E$185:$M$185,0,Y$199+1)-INDEX($E$185:$M$185,0,Y$199))+X201)))</f>
        <v>18.534322577945218</v>
      </c>
      <c r="Z201" s="186" cm="1">
        <f t="array" ref="Z201">IF(Z$199=-1,AA201,IF(Z$199=99,Y201,IF(Z$199=0,INDEX($E187:$M187,0,Z$197),(INDEX($E187:$M187,0,Z$199+1)-INDEX($E187:$M187,0,Z$199))/(INDEX($E$185:$M$185,0,Z$199+1)-INDEX($E$185:$M$185,0,Z$199))+Y201)))</f>
        <v>19.093597751673215</v>
      </c>
      <c r="AA201" s="186" cm="1">
        <f t="array" ref="AA201">IF(AA$199=-1,AB201,IF(AA$199=99,Z201,IF(AA$199=0,INDEX($E187:$M187,0,AA$197),(INDEX($E187:$M187,0,AA$199+1)-INDEX($E187:$M187,0,AA$199))/(INDEX($E$185:$M$185,0,AA$199+1)-INDEX($E$185:$M$185,0,AA$199))+Z201)))</f>
        <v>19.652872925401212</v>
      </c>
      <c r="AB201" s="186" cm="1">
        <f t="array" ref="AB201">IF(AB$199=-1,AC201,IF(AB$199=99,AA201,IF(AB$199=0,INDEX($E187:$M187,0,AB$197),(INDEX($E187:$M187,0,AB$199+1)-INDEX($E187:$M187,0,AB$199))/(INDEX($E$185:$M$185,0,AB$199+1)-INDEX($E$185:$M$185,0,AB$199))+AA201)))</f>
        <v>20.212148099129209</v>
      </c>
      <c r="AC201" s="186" cm="1">
        <f t="array" ref="AC201">IF(AC$199=-1,AD201,IF(AC$199=99,AB201,IF(AC$199=0,INDEX($E187:$M187,0,AC$197),(INDEX($E187:$M187,0,AC$199+1)-INDEX($E187:$M187,0,AC$199))/(INDEX($E$185:$M$185,0,AC$199+1)-INDEX($E$185:$M$185,0,AC$199))+AB201)))</f>
        <v>20.771423272857206</v>
      </c>
      <c r="AD201" s="186" cm="1">
        <f t="array" ref="AD201">IF(AD$199=-1,AE201,IF(AD$199=99,AC201,IF(AD$199=0,INDEX($E187:$M187,0,AD$197),(INDEX($E187:$M187,0,AD$199+1)-INDEX($E187:$M187,0,AD$199))/(INDEX($E$185:$M$185,0,AD$199+1)-INDEX($E$185:$M$185,0,AD$199))+AC201)))</f>
        <v>21.330698446585203</v>
      </c>
      <c r="AE201" s="186" cm="1">
        <f t="array" ref="AE201">IF(AE$199=-1,AF201,IF(AE$199=99,AD201,IF(AE$199=0,INDEX($E187:$M187,0,AE$197),(INDEX($E187:$M187,0,AE$199+1)-INDEX($E187:$M187,0,AE$199))/(INDEX($E$185:$M$185,0,AE$199+1)-INDEX($E$185:$M$185,0,AE$199))+AD201)))</f>
        <v>21.889973620313206</v>
      </c>
      <c r="AF201" s="186" cm="1">
        <f t="array" ref="AF201">IF(AF$199=-1,AG201,IF(AF$199=99,AE201,IF(AF$199=0,INDEX($E187:$M187,0,AF$197),(INDEX($E187:$M187,0,AF$199+1)-INDEX($E187:$M187,0,AF$199))/(INDEX($E$185:$M$185,0,AF$199+1)-INDEX($E$185:$M$185,0,AF$199))+AE201)))</f>
        <v>22.528349495695128</v>
      </c>
      <c r="AG201" s="186" cm="1">
        <f t="array" ref="AG201">IF(AG$199=-1,AH201,IF(AG$199=99,AF201,IF(AG$199=0,INDEX($E187:$M187,0,AG$197),(INDEX($E187:$M187,0,AG$199+1)-INDEX($E187:$M187,0,AG$199))/(INDEX($E$185:$M$185,0,AG$199+1)-INDEX($E$185:$M$185,0,AG$199))+AF201)))</f>
        <v>23.16672537107705</v>
      </c>
      <c r="AH201" s="186" cm="1">
        <f t="array" ref="AH201">IF(AH$199=-1,AI201,IF(AH$199=99,AG201,IF(AH$199=0,INDEX($E187:$M187,0,AH$197),(INDEX($E187:$M187,0,AH$199+1)-INDEX($E187:$M187,0,AH$199))/(INDEX($E$185:$M$185,0,AH$199+1)-INDEX($E$185:$M$185,0,AH$199))+AG201)))</f>
        <v>23.805101246458971</v>
      </c>
      <c r="AI201" s="186" cm="1">
        <f t="array" ref="AI201">IF(AI$199=-1,AJ201,IF(AI$199=99,AH201,IF(AI$199=0,INDEX($E187:$M187,0,AI$197),(INDEX($E187:$M187,0,AI$199+1)-INDEX($E187:$M187,0,AI$199))/(INDEX($E$185:$M$185,0,AI$199+1)-INDEX($E$185:$M$185,0,AI$199))+AH201)))</f>
        <v>24.443477121840893</v>
      </c>
      <c r="AJ201" s="186" cm="1">
        <f t="array" ref="AJ201">IF(AJ$199=-1,AK201,IF(AJ$199=99,AI201,IF(AJ$199=0,INDEX($E187:$M187,0,AJ$197),(INDEX($E187:$M187,0,AJ$199+1)-INDEX($E187:$M187,0,AJ$199))/(INDEX($E$185:$M$185,0,AJ$199+1)-INDEX($E$185:$M$185,0,AJ$199))+AI201)))</f>
        <v>25.081852997222814</v>
      </c>
      <c r="AK201" s="186" cm="1">
        <f t="array" ref="AK201">IF(AK$199=-1,AL201,IF(AK$199=99,AJ201,IF(AK$199=0,INDEX($E187:$M187,0,AK$197),(INDEX($E187:$M187,0,AK$199+1)-INDEX($E187:$M187,0,AK$199))/(INDEX($E$185:$M$185,0,AK$199+1)-INDEX($E$185:$M$185,0,AK$199))+AJ201)))</f>
        <v>25.720228872604736</v>
      </c>
      <c r="AL201" s="186" cm="1">
        <f t="array" ref="AL201">IF(AL$199=-1,AM201,IF(AL$199=99,AK201,IF(AL$199=0,INDEX($E187:$M187,0,AL$197),(INDEX($E187:$M187,0,AL$199+1)-INDEX($E187:$M187,0,AL$199))/(INDEX($E$185:$M$185,0,AL$199+1)-INDEX($E$185:$M$185,0,AL$199))+AK201)))</f>
        <v>26.358604747986657</v>
      </c>
      <c r="AM201" s="186" cm="1">
        <f t="array" ref="AM201">IF(AM$199=-1,AN201,IF(AM$199=99,AL201,IF(AM$199=0,INDEX($E187:$M187,0,AM$197),(INDEX($E187:$M187,0,AM$199+1)-INDEX($E187:$M187,0,AM$199))/(INDEX($E$185:$M$185,0,AM$199+1)-INDEX($E$185:$M$185,0,AM$199))+AL201)))</f>
        <v>26.996980623368579</v>
      </c>
      <c r="AN201" s="186" cm="1">
        <f t="array" ref="AN201">IF(AN$199=-1,AO201,IF(AN$199=99,AM201,IF(AN$199=0,INDEX($E187:$M187,0,AN$197),(INDEX($E187:$M187,0,AN$199+1)-INDEX($E187:$M187,0,AN$199))/(INDEX($E$185:$M$185,0,AN$199+1)-INDEX($E$185:$M$185,0,AN$199))+AM201)))</f>
        <v>27.6353564987505</v>
      </c>
      <c r="AO201" s="186" cm="1">
        <f t="array" ref="AO201">IF(AO$199=-1,AP201,IF(AO$199=99,AN201,IF(AO$199=0,INDEX($E187:$M187,0,AO$197),(INDEX($E187:$M187,0,AO$199+1)-INDEX($E187:$M187,0,AO$199))/(INDEX($E$185:$M$185,0,AO$199+1)-INDEX($E$185:$M$185,0,AO$199))+AN201)))</f>
        <v>28.273732374132432</v>
      </c>
      <c r="AP201" s="186" cm="1">
        <f t="array" ref="AP201">IF(AP$199=-1,AQ201,IF(AP$199=99,AO201,IF(AP$199=0,INDEX($E187:$M187,0,AP$197),(INDEX($E187:$M187,0,AP$199+1)-INDEX($E187:$M187,0,AP$199))/(INDEX($E$185:$M$185,0,AP$199+1)-INDEX($E$185:$M$185,0,AP$199))+AO201)))</f>
        <v>28.92152251331246</v>
      </c>
      <c r="AQ201" s="186" cm="1">
        <f t="array" ref="AQ201">IF(AQ$199=-1,AR201,IF(AQ$199=99,AP201,IF(AQ$199=0,INDEX($E187:$M187,0,AQ$197),(INDEX($E187:$M187,0,AQ$199+1)-INDEX($E187:$M187,0,AQ$199))/(INDEX($E$185:$M$185,0,AQ$199+1)-INDEX($E$185:$M$185,0,AQ$199))+AP201)))</f>
        <v>34.751633765932695</v>
      </c>
      <c r="AR201" s="186" cm="1">
        <f t="array" ref="AR201">IF(AR$199=-1,AS201,IF(AR$199=99,AQ201,IF(AR$199=0,INDEX($E187:$M187,0,AR$197),(INDEX($E187:$M187,0,AR$199+1)-INDEX($E187:$M187,0,AR$199))/(INDEX($E$185:$M$185,0,AR$199+1)-INDEX($E$185:$M$185,0,AR$199))+AQ201)))</f>
        <v>34.751633765932695</v>
      </c>
      <c r="AS201" s="186" cm="1">
        <f t="array" ref="AS201">IF(AS$199=-1,#REF!,IF(AS$199=99,AR201,IF(AS$199=0,INDEX($E187:$M187,0,AS$197),(INDEX($E187:$M187,0,AS$199+1)-INDEX($E187:$M187,0,AS$199))/(INDEX($E$185:$M$185,0,AS$199+1)-INDEX($E$185:$M$185,0,AS$199))+AR201)))</f>
        <v>34.751633765932695</v>
      </c>
      <c r="AT201" s="186"/>
      <c r="AW201" s="186"/>
      <c r="AX201" s="186"/>
      <c r="BH201" s="186">
        <f t="shared" si="591"/>
        <v>9.939379683721306</v>
      </c>
      <c r="BI201" s="109">
        <f t="shared" si="592"/>
        <v>0</v>
      </c>
    </row>
    <row r="202" spans="1:61">
      <c r="A202" s="185" t="s">
        <v>16</v>
      </c>
      <c r="B202" s="22" t="str">
        <f t="shared" si="586"/>
        <v/>
      </c>
      <c r="C202" s="23" t="str">
        <f t="shared" si="587"/>
        <v/>
      </c>
      <c r="D202" s="57" t="str">
        <f t="shared" si="588"/>
        <v>TPPRMOT</v>
      </c>
      <c r="E202" s="23" t="str">
        <f t="shared" si="589"/>
        <v/>
      </c>
      <c r="F202" s="23"/>
      <c r="H202" s="23" t="str">
        <f t="shared" si="589"/>
        <v/>
      </c>
      <c r="J202" s="23" t="str">
        <f t="shared" si="589"/>
        <v/>
      </c>
      <c r="K202" s="23" t="str">
        <f t="shared" si="589"/>
        <v/>
      </c>
      <c r="L202" s="22" t="str">
        <f t="shared" si="590"/>
        <v/>
      </c>
      <c r="M202" s="186" cm="1">
        <f t="array" ref="M202">IF(M$199=-1,N202,IF(M$199=99,L202,IF(M$199=0,INDEX($E188:$M188,0,M$197),(INDEX($E188:$M188,0,M$199+1)-INDEX($E188:$M188,0,M$199))/(INDEX($E$185:$M$185,0,M$199+1)-INDEX($E$185:$M$185,0,M$199))+L202)))</f>
        <v>3.3646857046699763</v>
      </c>
      <c r="N202" s="186" cm="1">
        <f t="array" ref="N202">IF(N$199=-1,O202,IF(N$199=99,M202,IF(N$199=0,INDEX($E188:$M188,0,N$197),(INDEX($E188:$M188,0,N$199+1)-INDEX($E188:$M188,0,N$199))/(INDEX($E$185:$M$185,0,N$199+1)-INDEX($E$185:$M$185,0,N$199))+M202)))</f>
        <v>3.1894012488750092</v>
      </c>
      <c r="O202" s="186" cm="1">
        <f t="array" ref="O202">IF(O$199=-1,P202,IF(O$199=99,N202,IF(O$199=0,INDEX($E188:$M188,0,O$197),(INDEX($E188:$M188,0,O$199+1)-INDEX($E188:$M188,0,O$199))/(INDEX($E$185:$M$185,0,O$199+1)-INDEX($E$185:$M$185,0,O$199))+N202)))</f>
        <v>3.0141167930800421</v>
      </c>
      <c r="P202" s="186" cm="1">
        <f t="array" ref="P202">IF(P$199=-1,Q202,IF(P$199=99,O202,IF(P$199=0,INDEX($E188:$M188,0,P$197),(INDEX($E188:$M188,0,P$199+1)-INDEX($E188:$M188,0,P$199))/(INDEX($E$185:$M$185,0,P$199+1)-INDEX($E$185:$M$185,0,P$199))+O202)))</f>
        <v>2.838832337285075</v>
      </c>
      <c r="Q202" s="186" cm="1">
        <f t="array" ref="Q202">IF(Q$199=-1,R202,IF(Q$199=99,P202,IF(Q$199=0,INDEX($E188:$M188,0,Q$197),(INDEX($E188:$M188,0,Q$199+1)-INDEX($E188:$M188,0,Q$199))/(INDEX($E$185:$M$185,0,Q$199+1)-INDEX($E$185:$M$185,0,Q$199))+P202)))</f>
        <v>2.9222765352993267</v>
      </c>
      <c r="R202" s="186" cm="1">
        <f t="array" ref="R202">IF(R$199=-1,S202,IF(R$199=99,Q202,IF(R$199=0,INDEX($E188:$M188,0,R$197),(INDEX($E188:$M188,0,R$199+1)-INDEX($E188:$M188,0,R$199))/(INDEX($E$185:$M$185,0,R$199+1)-INDEX($E$185:$M$185,0,R$199))+Q202)))</f>
        <v>3.0057207333135785</v>
      </c>
      <c r="S202" s="186" cm="1">
        <f t="array" ref="S202">IF(S$199=-1,T202,IF(S$199=99,R202,IF(S$199=0,INDEX($E188:$M188,0,S$197),(INDEX($E188:$M188,0,S$199+1)-INDEX($E188:$M188,0,S$199))/(INDEX($E$185:$M$185,0,S$199+1)-INDEX($E$185:$M$185,0,S$199))+R202)))</f>
        <v>3.080215810657112</v>
      </c>
      <c r="T202" s="186" cm="1">
        <f t="array" ref="T202">IF(T$199=-1,U202,IF(T$199=99,S202,IF(T$199=0,INDEX($E188:$M188,0,T$197),(INDEX($E188:$M188,0,T$199+1)-INDEX($E188:$M188,0,T$199))/(INDEX($E$185:$M$185,0,T$199+1)-INDEX($E$185:$M$185,0,T$199))+S202)))</f>
        <v>3.1547108880006456</v>
      </c>
      <c r="U202" s="186" cm="1">
        <f t="array" ref="U202">IF(U$199=-1,V202,IF(U$199=99,T202,IF(U$199=0,INDEX($E188:$M188,0,U$197),(INDEX($E188:$M188,0,U$199+1)-INDEX($E188:$M188,0,U$199))/(INDEX($E$185:$M$185,0,U$199+1)-INDEX($E$185:$M$185,0,U$199))+T202)))</f>
        <v>2.9465776044055345</v>
      </c>
      <c r="V202" s="186" cm="1">
        <f t="array" ref="V202">IF(V$199=-1,W202,IF(V$199=99,U202,IF(V$199=0,INDEX($E188:$M188,0,V$197),(INDEX($E188:$M188,0,V$199+1)-INDEX($E188:$M188,0,V$199))/(INDEX($E$185:$M$185,0,V$199+1)-INDEX($E$185:$M$185,0,V$199))+U202)))</f>
        <v>2.9746759511931575</v>
      </c>
      <c r="W202" s="186" cm="1">
        <f t="array" ref="W202">IF(W$199=-1,X202,IF(W$199=99,V202,IF(W$199=0,INDEX($E188:$M188,0,W$197),(INDEX($E188:$M188,0,W$199+1)-INDEX($E188:$M188,0,W$199))/(INDEX($E$185:$M$185,0,W$199+1)-INDEX($E$185:$M$185,0,W$199))+V202)))</f>
        <v>3.0733715700863335</v>
      </c>
      <c r="X202" s="186" cm="1">
        <f t="array" ref="X202">IF(X$199=-1,Y202,IF(X$199=99,W202,IF(X$199=0,INDEX($E188:$M188,0,X$197),(INDEX($E188:$M188,0,X$199+1)-INDEX($E188:$M188,0,X$199))/(INDEX($E$185:$M$185,0,X$199+1)-INDEX($E$185:$M$185,0,X$199))+W202)))</f>
        <v>3.1720671889795096</v>
      </c>
      <c r="Y202" s="186" cm="1">
        <f t="array" ref="Y202">IF(Y$199=-1,Z202,IF(Y$199=99,X202,IF(Y$199=0,INDEX($E188:$M188,0,Y$197),(INDEX($E188:$M188,0,Y$199+1)-INDEX($E188:$M188,0,Y$199))/(INDEX($E$185:$M$185,0,Y$199+1)-INDEX($E$185:$M$185,0,Y$199))+X202)))</f>
        <v>3.2707628078726856</v>
      </c>
      <c r="Z202" s="186" cm="1">
        <f t="array" ref="Z202">IF(Z$199=-1,AA202,IF(Z$199=99,Y202,IF(Z$199=0,INDEX($E188:$M188,0,Z$197),(INDEX($E188:$M188,0,Z$199+1)-INDEX($E188:$M188,0,Z$199))/(INDEX($E$185:$M$185,0,Z$199+1)-INDEX($E$185:$M$185,0,Z$199))+Y202)))</f>
        <v>3.3694584267658616</v>
      </c>
      <c r="AA202" s="186" cm="1">
        <f t="array" ref="AA202">IF(AA$199=-1,AB202,IF(AA$199=99,Z202,IF(AA$199=0,INDEX($E188:$M188,0,AA$197),(INDEX($E188:$M188,0,AA$199+1)-INDEX($E188:$M188,0,AA$199))/(INDEX($E$185:$M$185,0,AA$199+1)-INDEX($E$185:$M$185,0,AA$199))+Z202)))</f>
        <v>3.4681540456590376</v>
      </c>
      <c r="AB202" s="186" cm="1">
        <f t="array" ref="AB202">IF(AB$199=-1,AC202,IF(AB$199=99,AA202,IF(AB$199=0,INDEX($E188:$M188,0,AB$197),(INDEX($E188:$M188,0,AB$199+1)-INDEX($E188:$M188,0,AB$199))/(INDEX($E$185:$M$185,0,AB$199+1)-INDEX($E$185:$M$185,0,AB$199))+AA202)))</f>
        <v>3.5668496645522136</v>
      </c>
      <c r="AC202" s="186" cm="1">
        <f t="array" ref="AC202">IF(AC$199=-1,AD202,IF(AC$199=99,AB202,IF(AC$199=0,INDEX($E188:$M188,0,AC$197),(INDEX($E188:$M188,0,AC$199+1)-INDEX($E188:$M188,0,AC$199))/(INDEX($E$185:$M$185,0,AC$199+1)-INDEX($E$185:$M$185,0,AC$199))+AB202)))</f>
        <v>3.6655452834453897</v>
      </c>
      <c r="AD202" s="186" cm="1">
        <f t="array" ref="AD202">IF(AD$199=-1,AE202,IF(AD$199=99,AC202,IF(AD$199=0,INDEX($E188:$M188,0,AD$197),(INDEX($E188:$M188,0,AD$199+1)-INDEX($E188:$M188,0,AD$199))/(INDEX($E$185:$M$185,0,AD$199+1)-INDEX($E$185:$M$185,0,AD$199))+AC202)))</f>
        <v>3.7642409023385657</v>
      </c>
      <c r="AE202" s="186" cm="1">
        <f t="array" ref="AE202">IF(AE$199=-1,AF202,IF(AE$199=99,AD202,IF(AE$199=0,INDEX($E188:$M188,0,AE$197),(INDEX($E188:$M188,0,AE$199+1)-INDEX($E188:$M188,0,AE$199))/(INDEX($E$185:$M$185,0,AE$199+1)-INDEX($E$185:$M$185,0,AE$199))+AD202)))</f>
        <v>3.8629365212317421</v>
      </c>
      <c r="AF202" s="186" cm="1">
        <f t="array" ref="AF202">IF(AF$199=-1,AG202,IF(AF$199=99,AE202,IF(AF$199=0,INDEX($E188:$M188,0,AF$197),(INDEX($E188:$M188,0,AF$199+1)-INDEX($E188:$M188,0,AF$199))/(INDEX($E$185:$M$185,0,AF$199+1)-INDEX($E$185:$M$185,0,AF$199))+AE202)))</f>
        <v>3.9755910874756109</v>
      </c>
      <c r="AG202" s="186" cm="1">
        <f t="array" ref="AG202">IF(AG$199=-1,AH202,IF(AG$199=99,AF202,IF(AG$199=0,INDEX($E188:$M188,0,AG$197),(INDEX($E188:$M188,0,AG$199+1)-INDEX($E188:$M188,0,AG$199))/(INDEX($E$185:$M$185,0,AG$199+1)-INDEX($E$185:$M$185,0,AG$199))+AF202)))</f>
        <v>4.0882456537194791</v>
      </c>
      <c r="AH202" s="186" cm="1">
        <f t="array" ref="AH202">IF(AH$199=-1,AI202,IF(AH$199=99,AG202,IF(AH$199=0,INDEX($E188:$M188,0,AH$197),(INDEX($E188:$M188,0,AH$199+1)-INDEX($E188:$M188,0,AH$199))/(INDEX($E$185:$M$185,0,AH$199+1)-INDEX($E$185:$M$185,0,AH$199))+AG202)))</f>
        <v>4.2009002199633478</v>
      </c>
      <c r="AI202" s="186" cm="1">
        <f t="array" ref="AI202">IF(AI$199=-1,AJ202,IF(AI$199=99,AH202,IF(AI$199=0,INDEX($E188:$M188,0,AI$197),(INDEX($E188:$M188,0,AI$199+1)-INDEX($E188:$M188,0,AI$199))/(INDEX($E$185:$M$185,0,AI$199+1)-INDEX($E$185:$M$185,0,AI$199))+AH202)))</f>
        <v>4.3135547862072166</v>
      </c>
      <c r="AJ202" s="186" cm="1">
        <f t="array" ref="AJ202">IF(AJ$199=-1,AK202,IF(AJ$199=99,AI202,IF(AJ$199=0,INDEX($E188:$M188,0,AJ$197),(INDEX($E188:$M188,0,AJ$199+1)-INDEX($E188:$M188,0,AJ$199))/(INDEX($E$185:$M$185,0,AJ$199+1)-INDEX($E$185:$M$185,0,AJ$199))+AI202)))</f>
        <v>4.4262093524510853</v>
      </c>
      <c r="AK202" s="186" cm="1">
        <f t="array" ref="AK202">IF(AK$199=-1,AL202,IF(AK$199=99,AJ202,IF(AK$199=0,INDEX($E188:$M188,0,AK$197),(INDEX($E188:$M188,0,AK$199+1)-INDEX($E188:$M188,0,AK$199))/(INDEX($E$185:$M$185,0,AK$199+1)-INDEX($E$185:$M$185,0,AK$199))+AJ202)))</f>
        <v>4.538863918694954</v>
      </c>
      <c r="AL202" s="186" cm="1">
        <f t="array" ref="AL202">IF(AL$199=-1,AM202,IF(AL$199=99,AK202,IF(AL$199=0,INDEX($E188:$M188,0,AL$197),(INDEX($E188:$M188,0,AL$199+1)-INDEX($E188:$M188,0,AL$199))/(INDEX($E$185:$M$185,0,AL$199+1)-INDEX($E$185:$M$185,0,AL$199))+AK202)))</f>
        <v>4.6515184849388227</v>
      </c>
      <c r="AM202" s="186" cm="1">
        <f t="array" ref="AM202">IF(AM$199=-1,AN202,IF(AM$199=99,AL202,IF(AM$199=0,INDEX($E188:$M188,0,AM$197),(INDEX($E188:$M188,0,AM$199+1)-INDEX($E188:$M188,0,AM$199))/(INDEX($E$185:$M$185,0,AM$199+1)-INDEX($E$185:$M$185,0,AM$199))+AL202)))</f>
        <v>4.7641730511826914</v>
      </c>
      <c r="AN202" s="186" cm="1">
        <f t="array" ref="AN202">IF(AN$199=-1,AO202,IF(AN$199=99,AM202,IF(AN$199=0,INDEX($E188:$M188,0,AN$197),(INDEX($E188:$M188,0,AN$199+1)-INDEX($E188:$M188,0,AN$199))/(INDEX($E$185:$M$185,0,AN$199+1)-INDEX($E$185:$M$185,0,AN$199))+AM202)))</f>
        <v>4.8768276174265601</v>
      </c>
      <c r="AO202" s="186" cm="1">
        <f t="array" ref="AO202">IF(AO$199=-1,AP202,IF(AO$199=99,AN202,IF(AO$199=0,INDEX($E188:$M188,0,AO$197),(INDEX($E188:$M188,0,AO$199+1)-INDEX($E188:$M188,0,AO$199))/(INDEX($E$185:$M$185,0,AO$199+1)-INDEX($E$185:$M$185,0,AO$199))+AN202)))</f>
        <v>4.9894821836704288</v>
      </c>
      <c r="AP202" s="186" cm="1">
        <f t="array" ref="AP202">IF(AP$199=-1,AQ202,IF(AP$199=99,AO202,IF(AP$199=0,INDEX($E188:$M188,0,AP$197),(INDEX($E188:$M188,0,AP$199+1)-INDEX($E188:$M188,0,AP$199))/(INDEX($E$185:$M$185,0,AP$199+1)-INDEX($E$185:$M$185,0,AP$199))+AO202)))</f>
        <v>5.1037980905845508</v>
      </c>
      <c r="AQ202" s="186" cm="1">
        <f t="array" ref="AQ202">IF(AQ$199=-1,AR202,IF(AQ$199=99,AP202,IF(AQ$199=0,INDEX($E188:$M188,0,AQ$197),(INDEX($E188:$M188,0,AQ$199+1)-INDEX($E188:$M188,0,AQ$199))/(INDEX($E$185:$M$185,0,AQ$199+1)-INDEX($E$185:$M$185,0,AQ$199))+AP202)))</f>
        <v>6.1326412528116521</v>
      </c>
      <c r="AR202" s="186" cm="1">
        <f t="array" ref="AR202">IF(AR$199=-1,AS202,IF(AR$199=99,AQ202,IF(AR$199=0,INDEX($E188:$M188,0,AR$197),(INDEX($E188:$M188,0,AR$199+1)-INDEX($E188:$M188,0,AR$199))/(INDEX($E$185:$M$185,0,AR$199+1)-INDEX($E$185:$M$185,0,AR$199))+AQ202)))</f>
        <v>6.1326412528116521</v>
      </c>
      <c r="AS202" s="186" cm="1">
        <f t="array" ref="AS202">IF(AS$199=-1,#REF!,IF(AS$199=99,AR202,IF(AS$199=0,INDEX($E188:$M188,0,AS$197),(INDEX($E188:$M188,0,AS$199+1)-INDEX($E188:$M188,0,AS$199))/(INDEX($E$185:$M$185,0,AS$199+1)-INDEX($E$185:$M$185,0,AS$199))+AR202)))</f>
        <v>6.1326412528116521</v>
      </c>
      <c r="AT202" s="186"/>
      <c r="AW202" s="186"/>
      <c r="AX202" s="186"/>
      <c r="BH202" s="186">
        <f t="shared" si="591"/>
        <v>3.3646857046699763</v>
      </c>
      <c r="BI202" s="109">
        <f t="shared" si="592"/>
        <v>0</v>
      </c>
    </row>
    <row r="203" spans="1:61">
      <c r="A203" s="185" t="s">
        <v>16</v>
      </c>
      <c r="B203" s="22" t="str">
        <f t="shared" si="586"/>
        <v/>
      </c>
      <c r="C203" s="23" t="str">
        <f t="shared" si="587"/>
        <v/>
      </c>
      <c r="D203" s="57" t="str">
        <f t="shared" si="588"/>
        <v>TPPUBUS</v>
      </c>
      <c r="E203" s="23" t="str">
        <f t="shared" si="589"/>
        <v/>
      </c>
      <c r="F203" s="23"/>
      <c r="H203" s="23" t="str">
        <f t="shared" si="589"/>
        <v/>
      </c>
      <c r="J203" s="23" t="str">
        <f t="shared" si="589"/>
        <v/>
      </c>
      <c r="K203" s="23" t="str">
        <f t="shared" si="589"/>
        <v/>
      </c>
      <c r="L203" s="22" t="str">
        <f t="shared" si="590"/>
        <v/>
      </c>
      <c r="M203" s="186">
        <f>INDEX('[2]TS BYDem'!J$10:J$59,MATCH($D203,'[2]TS BYDem'!D$10:D$59,0))</f>
        <v>1.4990333520535337</v>
      </c>
      <c r="N203" s="186" cm="1">
        <f t="array" ref="N203">IF(N$199=-1,O203,IF(N$199=99,M203,IF(N$199=0,INDEX($E189:$M189,0,N$197),(INDEX($E189:$M189,0,N$199+1)-INDEX($E189:$M189,0,N$199))/(INDEX($E$185:$M$185,0,N$199+1)-INDEX($E$185:$M$185,0,N$199))+M203)))</f>
        <v>1.6686061730950015</v>
      </c>
      <c r="O203" s="186" cm="1">
        <f t="array" ref="O203">IF(O$199=-1,P203,IF(O$199=99,N203,IF(O$199=0,INDEX($E189:$M189,0,O$197),(INDEX($E189:$M189,0,O$199+1)-INDEX($E189:$M189,0,O$199))/(INDEX($E$185:$M$185,0,O$199+1)-INDEX($E$185:$M$185,0,O$199))+N203)))</f>
        <v>1.8381789941364692</v>
      </c>
      <c r="P203" s="186" cm="1">
        <f t="array" ref="P203">IF(P$199=-1,Q203,IF(P$199=99,O203,IF(P$199=0,INDEX($E189:$M189,0,P$197),(INDEX($E189:$M189,0,P$199+1)-INDEX($E189:$M189,0,P$199))/(INDEX($E$185:$M$185,0,P$199+1)-INDEX($E$185:$M$185,0,P$199))+O203)))</f>
        <v>1.1267099528419922</v>
      </c>
      <c r="Q203" s="186" cm="1">
        <f t="array" ref="Q203">IF(Q$199=-1,R203,IF(Q$199=99,P203,IF(Q$199=0,INDEX($E189:$M189,0,Q$197),(INDEX($E189:$M189,0,Q$199+1)-INDEX($E189:$M189,0,Q$199))/(INDEX($E$185:$M$185,0,Q$199+1)-INDEX($E$185:$M$185,0,Q$199))+P203)))</f>
        <v>0.93340029034829985</v>
      </c>
      <c r="R203" s="186" cm="1">
        <f t="array" ref="R203">IF(R$199=-1,S203,IF(R$199=99,Q203,IF(R$199=0,INDEX($E189:$M189,0,R$197),(INDEX($E189:$M189,0,R$199+1)-INDEX($E189:$M189,0,R$199))/(INDEX($E$185:$M$185,0,R$199+1)-INDEX($E$185:$M$185,0,R$199))+Q203)))</f>
        <v>0.74009062785460766</v>
      </c>
      <c r="S203" s="186" cm="1">
        <f t="array" ref="S203">IF(S$199=-1,T203,IF(S$199=99,R203,IF(S$199=0,INDEX($E189:$M189,0,S$197),(INDEX($E189:$M189,0,S$199+1)-INDEX($E189:$M189,0,S$199))/(INDEX($E$185:$M$185,0,S$199+1)-INDEX($E$185:$M$185,0,S$199))+R203)))</f>
        <v>0.74856468488310512</v>
      </c>
      <c r="T203" s="186" cm="1">
        <f t="array" ref="T203">IF(T$199=-1,U203,IF(T$199=99,S203,IF(T$199=0,INDEX($E189:$M189,0,T$197),(INDEX($E189:$M189,0,T$199+1)-INDEX($E189:$M189,0,T$199))/(INDEX($E$185:$M$185,0,T$199+1)-INDEX($E$185:$M$185,0,T$199))+S203)))</f>
        <v>0.7570387419116027</v>
      </c>
      <c r="U203" s="186" cm="1">
        <f t="array" ref="U203">IF(U$199=-1,V203,IF(U$199=99,T203,IF(U$199=0,INDEX($E189:$M189,0,U$197),(INDEX($E189:$M189,0,U$199+1)-INDEX($E189:$M189,0,U$199))/(INDEX($E$185:$M$185,0,U$199+1)-INDEX($E$185:$M$185,0,U$199))+T203)))</f>
        <v>0.77061635068181966</v>
      </c>
      <c r="V203" s="186" cm="1">
        <f t="array" ref="V203">IF(V$199=-1,W203,IF(V$199=99,U203,IF(V$199=0,INDEX($E189:$M189,0,V$197),(INDEX($E189:$M189,0,V$199+1)-INDEX($E189:$M189,0,V$199))/(INDEX($E$185:$M$185,0,V$199+1)-INDEX($E$185:$M$185,0,V$199))+U203)))</f>
        <v>0.78157163306235522</v>
      </c>
      <c r="W203" s="186" cm="1">
        <f t="array" ref="W203">IF(W$199=-1,X203,IF(W$199=99,V203,IF(W$199=0,INDEX($E189:$M189,0,W$197),(INDEX($E189:$M189,0,W$199+1)-INDEX($E189:$M189,0,W$199))/(INDEX($E$185:$M$185,0,W$199+1)-INDEX($E$185:$M$185,0,W$199))+V203)))</f>
        <v>0.78314560012448264</v>
      </c>
      <c r="X203" s="186" cm="1">
        <f t="array" ref="X203">IF(X$199=-1,Y203,IF(X$199=99,W203,IF(X$199=0,INDEX($E189:$M189,0,X$197),(INDEX($E189:$M189,0,X$199+1)-INDEX($E189:$M189,0,X$199))/(INDEX($E$185:$M$185,0,X$199+1)-INDEX($E$185:$M$185,0,X$199))+W203)))</f>
        <v>0.78471956718661007</v>
      </c>
      <c r="Y203" s="186" cm="1">
        <f t="array" ref="Y203">IF(Y$199=-1,Z203,IF(Y$199=99,X203,IF(Y$199=0,INDEX($E189:$M189,0,Y$197),(INDEX($E189:$M189,0,Y$199+1)-INDEX($E189:$M189,0,Y$199))/(INDEX($E$185:$M$185,0,Y$199+1)-INDEX($E$185:$M$185,0,Y$199))+X203)))</f>
        <v>0.78629353424873749</v>
      </c>
      <c r="Z203" s="186" cm="1">
        <f t="array" ref="Z203">IF(Z$199=-1,AA203,IF(Z$199=99,Y203,IF(Z$199=0,INDEX($E189:$M189,0,Z$197),(INDEX($E189:$M189,0,Z$199+1)-INDEX($E189:$M189,0,Z$199))/(INDEX($E$185:$M$185,0,Z$199+1)-INDEX($E$185:$M$185,0,Z$199))+Y203)))</f>
        <v>0.78786750131086491</v>
      </c>
      <c r="AA203" s="186" cm="1">
        <f t="array" ref="AA203">IF(AA$199=-1,AB203,IF(AA$199=99,Z203,IF(AA$199=0,INDEX($E189:$M189,0,AA$197),(INDEX($E189:$M189,0,AA$199+1)-INDEX($E189:$M189,0,AA$199))/(INDEX($E$185:$M$185,0,AA$199+1)-INDEX($E$185:$M$185,0,AA$199))+Z203)))</f>
        <v>0.78944146837299234</v>
      </c>
      <c r="AB203" s="186" cm="1">
        <f t="array" ref="AB203">IF(AB$199=-1,AC203,IF(AB$199=99,AA203,IF(AB$199=0,INDEX($E189:$M189,0,AB$197),(INDEX($E189:$M189,0,AB$199+1)-INDEX($E189:$M189,0,AB$199))/(INDEX($E$185:$M$185,0,AB$199+1)-INDEX($E$185:$M$185,0,AB$199))+AA203)))</f>
        <v>0.79101543543511976</v>
      </c>
      <c r="AC203" s="186" cm="1">
        <f t="array" ref="AC203">IF(AC$199=-1,AD203,IF(AC$199=99,AB203,IF(AC$199=0,INDEX($E189:$M189,0,AC$197),(INDEX($E189:$M189,0,AC$199+1)-INDEX($E189:$M189,0,AC$199))/(INDEX($E$185:$M$185,0,AC$199+1)-INDEX($E$185:$M$185,0,AC$199))+AB203)))</f>
        <v>0.79258940249724719</v>
      </c>
      <c r="AD203" s="186" cm="1">
        <f t="array" ref="AD203">IF(AD$199=-1,AE203,IF(AD$199=99,AC203,IF(AD$199=0,INDEX($E189:$M189,0,AD$197),(INDEX($E189:$M189,0,AD$199+1)-INDEX($E189:$M189,0,AD$199))/(INDEX($E$185:$M$185,0,AD$199+1)-INDEX($E$185:$M$185,0,AD$199))+AC203)))</f>
        <v>0.79416336955937461</v>
      </c>
      <c r="AE203" s="186" cm="1">
        <f t="array" ref="AE203">IF(AE$199=-1,AF203,IF(AE$199=99,AD203,IF(AE$199=0,INDEX($E189:$M189,0,AE$197),(INDEX($E189:$M189,0,AE$199+1)-INDEX($E189:$M189,0,AE$199))/(INDEX($E$185:$M$185,0,AE$199+1)-INDEX($E$185:$M$185,0,AE$199))+AD203)))</f>
        <v>0.79573733662150214</v>
      </c>
      <c r="AF203" s="186" cm="1">
        <f t="array" ref="AF203">IF(AF$199=-1,AG203,IF(AF$199=99,AE203,IF(AF$199=0,INDEX($E189:$M189,0,AF$197),(INDEX($E189:$M189,0,AF$199+1)-INDEX($E189:$M189,0,AF$199))/(INDEX($E$185:$M$185,0,AF$199+1)-INDEX($E$185:$M$185,0,AF$199))+AE203)))</f>
        <v>0.79245353975548505</v>
      </c>
      <c r="AG203" s="186" cm="1">
        <f t="array" ref="AG203">IF(AG$199=-1,AH203,IF(AG$199=99,AF203,IF(AG$199=0,INDEX($E189:$M189,0,AG$197),(INDEX($E189:$M189,0,AG$199+1)-INDEX($E189:$M189,0,AG$199))/(INDEX($E$185:$M$185,0,AG$199+1)-INDEX($E$185:$M$185,0,AG$199))+AF203)))</f>
        <v>0.78916974288946795</v>
      </c>
      <c r="AH203" s="186" cm="1">
        <f t="array" ref="AH203">IF(AH$199=-1,AI203,IF(AH$199=99,AG203,IF(AH$199=0,INDEX($E189:$M189,0,AH$197),(INDEX($E189:$M189,0,AH$199+1)-INDEX($E189:$M189,0,AH$199))/(INDEX($E$185:$M$185,0,AH$199+1)-INDEX($E$185:$M$185,0,AH$199))+AG203)))</f>
        <v>0.78588594602345085</v>
      </c>
      <c r="AI203" s="186" cm="1">
        <f t="array" ref="AI203">IF(AI$199=-1,AJ203,IF(AI$199=99,AH203,IF(AI$199=0,INDEX($E189:$M189,0,AI$197),(INDEX($E189:$M189,0,AI$199+1)-INDEX($E189:$M189,0,AI$199))/(INDEX($E$185:$M$185,0,AI$199+1)-INDEX($E$185:$M$185,0,AI$199))+AH203)))</f>
        <v>0.78260214915743376</v>
      </c>
      <c r="AJ203" s="186" cm="1">
        <f t="array" ref="AJ203">IF(AJ$199=-1,AK203,IF(AJ$199=99,AI203,IF(AJ$199=0,INDEX($E189:$M189,0,AJ$197),(INDEX($E189:$M189,0,AJ$199+1)-INDEX($E189:$M189,0,AJ$199))/(INDEX($E$185:$M$185,0,AJ$199+1)-INDEX($E$185:$M$185,0,AJ$199))+AI203)))</f>
        <v>0.77931835229141666</v>
      </c>
      <c r="AK203" s="186" cm="1">
        <f t="array" ref="AK203">IF(AK$199=-1,AL203,IF(AK$199=99,AJ203,IF(AK$199=0,INDEX($E189:$M189,0,AK$197),(INDEX($E189:$M189,0,AK$199+1)-INDEX($E189:$M189,0,AK$199))/(INDEX($E$185:$M$185,0,AK$199+1)-INDEX($E$185:$M$185,0,AK$199))+AJ203)))</f>
        <v>0.77603455542539956</v>
      </c>
      <c r="AL203" s="186" cm="1">
        <f t="array" ref="AL203">IF(AL$199=-1,AM203,IF(AL$199=99,AK203,IF(AL$199=0,INDEX($E189:$M189,0,AL$197),(INDEX($E189:$M189,0,AL$199+1)-INDEX($E189:$M189,0,AL$199))/(INDEX($E$185:$M$185,0,AL$199+1)-INDEX($E$185:$M$185,0,AL$199))+AK203)))</f>
        <v>0.77275075855938247</v>
      </c>
      <c r="AM203" s="186" cm="1">
        <f t="array" ref="AM203">IF(AM$199=-1,AN203,IF(AM$199=99,AL203,IF(AM$199=0,INDEX($E189:$M189,0,AM$197),(INDEX($E189:$M189,0,AM$199+1)-INDEX($E189:$M189,0,AM$199))/(INDEX($E$185:$M$185,0,AM$199+1)-INDEX($E$185:$M$185,0,AM$199))+AL203)))</f>
        <v>0.76946696169336537</v>
      </c>
      <c r="AN203" s="186" cm="1">
        <f t="array" ref="AN203">IF(AN$199=-1,AO203,IF(AN$199=99,AM203,IF(AN$199=0,INDEX($E189:$M189,0,AN$197),(INDEX($E189:$M189,0,AN$199+1)-INDEX($E189:$M189,0,AN$199))/(INDEX($E$185:$M$185,0,AN$199+1)-INDEX($E$185:$M$185,0,AN$199))+AM203)))</f>
        <v>0.76618316482734827</v>
      </c>
      <c r="AO203" s="186" cm="1">
        <f t="array" ref="AO203">IF(AO$199=-1,AP203,IF(AO$199=99,AN203,IF(AO$199=0,INDEX($E189:$M189,0,AO$197),(INDEX($E189:$M189,0,AO$199+1)-INDEX($E189:$M189,0,AO$199))/(INDEX($E$185:$M$185,0,AO$199+1)-INDEX($E$185:$M$185,0,AO$199))+AN203)))</f>
        <v>0.76289936796133118</v>
      </c>
      <c r="AP203" s="186" cm="1">
        <f t="array" ref="AP203">IF(AP$199=-1,AQ203,IF(AP$199=99,AO203,IF(AP$199=0,INDEX($E189:$M189,0,AP$197),(INDEX($E189:$M189,0,AP$199+1)-INDEX($E189:$M189,0,AP$199))/(INDEX($E$185:$M$185,0,AP$199+1)-INDEX($E$185:$M$185,0,AP$199))+AO203)))</f>
        <v>0.7576215007675059</v>
      </c>
      <c r="AQ203" s="186" cm="1">
        <f t="array" ref="AQ203">IF(AQ$199=-1,AR203,IF(AQ$199=99,AP203,IF(AQ$199=0,INDEX($E189:$M189,0,AQ$197),(INDEX($E189:$M189,0,AQ$199+1)-INDEX($E189:$M189,0,AQ$199))/(INDEX($E$185:$M$185,0,AQ$199+1)-INDEX($E$185:$M$185,0,AQ$199))+AP203)))</f>
        <v>0.71012069602307804</v>
      </c>
      <c r="AR203" s="186" cm="1">
        <f t="array" ref="AR203">IF(AR$199=-1,AS203,IF(AR$199=99,AQ203,IF(AR$199=0,INDEX($E189:$M189,0,AR$197),(INDEX($E189:$M189,0,AR$199+1)-INDEX($E189:$M189,0,AR$199))/(INDEX($E$185:$M$185,0,AR$199+1)-INDEX($E$185:$M$185,0,AR$199))+AQ203)))</f>
        <v>0.71012069602307804</v>
      </c>
      <c r="AS203" s="186" cm="1">
        <f t="array" ref="AS203">IF(AS$199=-1,#REF!,IF(AS$199=99,AR203,IF(AS$199=0,INDEX($E189:$M189,0,AS$197),(INDEX($E189:$M189,0,AS$199+1)-INDEX($E189:$M189,0,AS$199))/(INDEX($E$185:$M$185,0,AS$199+1)-INDEX($E$185:$M$185,0,AS$199))+AR203)))</f>
        <v>0.71012069602307804</v>
      </c>
      <c r="AT203" s="186"/>
      <c r="AW203" s="186"/>
      <c r="AX203" s="186"/>
      <c r="BH203" s="186">
        <f t="shared" si="591"/>
        <v>0.61799148971758899</v>
      </c>
      <c r="BI203" s="109">
        <f t="shared" si="592"/>
        <v>0.5877400000000006</v>
      </c>
    </row>
    <row r="204" spans="1:61">
      <c r="A204" s="185" t="s">
        <v>16</v>
      </c>
      <c r="B204" s="22" t="str">
        <f t="shared" si="586"/>
        <v/>
      </c>
      <c r="C204" s="23" t="str">
        <f t="shared" si="587"/>
        <v/>
      </c>
      <c r="D204" s="57" t="str">
        <f t="shared" si="588"/>
        <v>TPPUMBT</v>
      </c>
      <c r="E204" s="23" t="str">
        <f t="shared" si="589"/>
        <v/>
      </c>
      <c r="F204" s="23"/>
      <c r="H204" s="23" t="str">
        <f t="shared" si="589"/>
        <v/>
      </c>
      <c r="J204" s="23" t="str">
        <f t="shared" si="589"/>
        <v/>
      </c>
      <c r="K204" s="23" t="str">
        <f t="shared" si="589"/>
        <v/>
      </c>
      <c r="L204" s="22" t="str">
        <f t="shared" si="590"/>
        <v/>
      </c>
      <c r="M204" s="186">
        <f>INDEX('[2]TS BYDem'!J$10:J$59,MATCH($D204,'[2]TS BYDem'!D$10:D$59,0))</f>
        <v>6.1732186716195621</v>
      </c>
      <c r="N204" s="186" cm="1">
        <f t="array" ref="N204">IF(N$199=-1,O204,IF(N$199=99,M204,IF(N$199=0,INDEX($E190:$M190,0,N$197),(INDEX($E190:$M190,0,N$199+1)-INDEX($E190:$M190,0,N$199))/(INDEX($E$185:$M$185,0,N$199+1)-INDEX($E$185:$M$185,0,N$199))+M204)))</f>
        <v>6.4748923360420223</v>
      </c>
      <c r="O204" s="186" cm="1">
        <f t="array" ref="O204">IF(O$199=-1,P204,IF(O$199=99,N204,IF(O$199=0,INDEX($E190:$M190,0,O$197),(INDEX($E190:$M190,0,O$199+1)-INDEX($E190:$M190,0,O$199))/(INDEX($E$185:$M$185,0,O$199+1)-INDEX($E$185:$M$185,0,O$199))+N204)))</f>
        <v>6.7765660004644825</v>
      </c>
      <c r="P204" s="186" cm="1">
        <f t="array" ref="P204">IF(P$199=-1,Q204,IF(P$199=99,O204,IF(P$199=0,INDEX($E190:$M190,0,P$197),(INDEX($E190:$M190,0,P$199+1)-INDEX($E190:$M190,0,P$199))/(INDEX($E$185:$M$185,0,P$199+1)-INDEX($E$185:$M$185,0,P$199))+O204)))</f>
        <v>6.7748466130043186</v>
      </c>
      <c r="Q204" s="24" cm="1">
        <f t="array" ref="Q204">IF(Q$199=-1,R204,IF(Q$199=99,P204,IF(Q$199=0,INDEX($E190:$M190,0,Q$197),(INDEX($E190:$M190,0,Q$199+1)-INDEX($E190:$M190,0,Q$199))/(INDEX($E$185:$M$185,0,Q$199+1)-INDEX($E$185:$M$185,0,Q$199))+P204)))</f>
        <v>6.8833871193047518</v>
      </c>
      <c r="R204" s="186" cm="1">
        <f t="array" ref="R204">IF(R$199=-1,S204,IF(R$199=99,Q204,IF(R$199=0,INDEX($E190:$M190,0,R$197),(INDEX($E190:$M190,0,R$199+1)-INDEX($E190:$M190,0,R$199))/(INDEX($E$185:$M$185,0,R$199+1)-INDEX($E$185:$M$185,0,R$199))+Q204)))</f>
        <v>6.9919276256051859</v>
      </c>
      <c r="S204" s="186" cm="1">
        <f t="array" ref="S204">IF(S$199=-1,T204,IF(S$199=99,R204,IF(S$199=0,INDEX($E190:$M190,0,S$197),(INDEX($E190:$M190,0,S$199+1)-INDEX($E190:$M190,0,S$199))/(INDEX($E$185:$M$185,0,S$199+1)-INDEX($E$185:$M$185,0,S$199))+R204)))</f>
        <v>7.0719853796268266</v>
      </c>
      <c r="T204" s="186" cm="1">
        <f t="array" ref="T204">IF(T$199=-1,U204,IF(T$199=99,S204,IF(T$199=0,INDEX($E190:$M190,0,T$197),(INDEX($E190:$M190,0,T$199+1)-INDEX($E190:$M190,0,T$199))/(INDEX($E$185:$M$185,0,T$199+1)-INDEX($E$185:$M$185,0,T$199))+S204)))</f>
        <v>7.1520431336484673</v>
      </c>
      <c r="U204" s="186" cm="1">
        <f t="array" ref="U204">IF(U$199=-1,V204,IF(U$199=99,T204,IF(U$199=0,INDEX($E190:$M190,0,U$197),(INDEX($E190:$M190,0,U$199+1)-INDEX($E190:$M190,0,U$199))/(INDEX($E$185:$M$185,0,U$199+1)-INDEX($E$185:$M$185,0,U$199))+T204)))</f>
        <v>7.2803161508670957</v>
      </c>
      <c r="V204" s="186" cm="1">
        <f t="array" ref="V204">IF(V$199=-1,W204,IF(V$199=99,U204,IF(V$199=0,INDEX($E190:$M190,0,V$197),(INDEX($E190:$M190,0,V$199+1)-INDEX($E190:$M190,0,V$199))/(INDEX($E$185:$M$185,0,V$199+1)-INDEX($E$185:$M$185,0,V$199))+U204)))</f>
        <v>7.3838150179515463</v>
      </c>
      <c r="W204" s="186" cm="1">
        <f t="array" ref="W204">IF(W$199=-1,X204,IF(W$199=99,V204,IF(W$199=0,INDEX($E190:$M190,0,W$197),(INDEX($E190:$M190,0,W$199+1)-INDEX($E190:$M190,0,W$199))/(INDEX($E$185:$M$185,0,W$199+1)-INDEX($E$185:$M$185,0,W$199))+V204)))</f>
        <v>7.3986849046509402</v>
      </c>
      <c r="X204" s="186" cm="1">
        <f t="array" ref="X204">IF(X$199=-1,Y204,IF(X$199=99,W204,IF(X$199=0,INDEX($E190:$M190,0,X$197),(INDEX($E190:$M190,0,X$199+1)-INDEX($E190:$M190,0,X$199))/(INDEX($E$185:$M$185,0,X$199+1)-INDEX($E$185:$M$185,0,X$199))+W204)))</f>
        <v>7.4135547913503341</v>
      </c>
      <c r="Y204" s="186" cm="1">
        <f t="array" ref="Y204">IF(Y$199=-1,Z204,IF(Y$199=99,X204,IF(Y$199=0,INDEX($E190:$M190,0,Y$197),(INDEX($E190:$M190,0,Y$199+1)-INDEX($E190:$M190,0,Y$199))/(INDEX($E$185:$M$185,0,Y$199+1)-INDEX($E$185:$M$185,0,Y$199))+X204)))</f>
        <v>7.4284246780497281</v>
      </c>
      <c r="Z204" s="186" cm="1">
        <f t="array" ref="Z204">IF(Z$199=-1,AA204,IF(Z$199=99,Y204,IF(Z$199=0,INDEX($E190:$M190,0,Z$197),(INDEX($E190:$M190,0,Z$199+1)-INDEX($E190:$M190,0,Z$199))/(INDEX($E$185:$M$185,0,Z$199+1)-INDEX($E$185:$M$185,0,Z$199))+Y204)))</f>
        <v>7.443294564749122</v>
      </c>
      <c r="AA204" s="186" cm="1">
        <f t="array" ref="AA204">IF(AA$199=-1,AB204,IF(AA$199=99,Z204,IF(AA$199=0,INDEX($E190:$M190,0,AA$197),(INDEX($E190:$M190,0,AA$199+1)-INDEX($E190:$M190,0,AA$199))/(INDEX($E$185:$M$185,0,AA$199+1)-INDEX($E$185:$M$185,0,AA$199))+Z204)))</f>
        <v>7.4581644514485159</v>
      </c>
      <c r="AB204" s="186" cm="1">
        <f t="array" ref="AB204">IF(AB$199=-1,AC204,IF(AB$199=99,AA204,IF(AB$199=0,INDEX($E190:$M190,0,AB$197),(INDEX($E190:$M190,0,AB$199+1)-INDEX($E190:$M190,0,AB$199))/(INDEX($E$185:$M$185,0,AB$199+1)-INDEX($E$185:$M$185,0,AB$199))+AA204)))</f>
        <v>7.4730343381479098</v>
      </c>
      <c r="AC204" s="186" cm="1">
        <f t="array" ref="AC204">IF(AC$199=-1,AD204,IF(AC$199=99,AB204,IF(AC$199=0,INDEX($E190:$M190,0,AC$197),(INDEX($E190:$M190,0,AC$199+1)-INDEX($E190:$M190,0,AC$199))/(INDEX($E$185:$M$185,0,AC$199+1)-INDEX($E$185:$M$185,0,AC$199))+AB204)))</f>
        <v>7.4879042248473038</v>
      </c>
      <c r="AD204" s="186" cm="1">
        <f t="array" ref="AD204">IF(AD$199=-1,AE204,IF(AD$199=99,AC204,IF(AD$199=0,INDEX($E190:$M190,0,AD$197),(INDEX($E190:$M190,0,AD$199+1)-INDEX($E190:$M190,0,AD$199))/(INDEX($E$185:$M$185,0,AD$199+1)-INDEX($E$185:$M$185,0,AD$199))+AC204)))</f>
        <v>7.5027741115466977</v>
      </c>
      <c r="AE204" s="186" cm="1">
        <f t="array" ref="AE204">IF(AE$199=-1,AF204,IF(AE$199=99,AD204,IF(AE$199=0,INDEX($E190:$M190,0,AE$197),(INDEX($E190:$M190,0,AE$199+1)-INDEX($E190:$M190,0,AE$199))/(INDEX($E$185:$M$185,0,AE$199+1)-INDEX($E$185:$M$185,0,AE$199))+AD204)))</f>
        <v>7.5176439982460925</v>
      </c>
      <c r="AF204" s="186" cm="1">
        <f t="array" ref="AF204">IF(AF$199=-1,AG204,IF(AF$199=99,AE204,IF(AF$199=0,INDEX($E190:$M190,0,AF$197),(INDEX($E190:$M190,0,AF$199+1)-INDEX($E190:$M190,0,AF$199))/(INDEX($E$185:$M$185,0,AF$199+1)-INDEX($E$185:$M$185,0,AF$199))+AE204)))</f>
        <v>7.4866206760200864</v>
      </c>
      <c r="AG204" s="186" cm="1">
        <f t="array" ref="AG204">IF(AG$199=-1,AH204,IF(AG$199=99,AF204,IF(AG$199=0,INDEX($E190:$M190,0,AG$197),(INDEX($E190:$M190,0,AG$199+1)-INDEX($E190:$M190,0,AG$199))/(INDEX($E$185:$M$185,0,AG$199+1)-INDEX($E$185:$M$185,0,AG$199))+AF204)))</f>
        <v>7.4555973537940803</v>
      </c>
      <c r="AH204" s="186" cm="1">
        <f t="array" ref="AH204">IF(AH$199=-1,AI204,IF(AH$199=99,AG204,IF(AH$199=0,INDEX($E190:$M190,0,AH$197),(INDEX($E190:$M190,0,AH$199+1)-INDEX($E190:$M190,0,AH$199))/(INDEX($E$185:$M$185,0,AH$199+1)-INDEX($E$185:$M$185,0,AH$199))+AG204)))</f>
        <v>7.4245740315680742</v>
      </c>
      <c r="AI204" s="186" cm="1">
        <f t="array" ref="AI204">IF(AI$199=-1,AJ204,IF(AI$199=99,AH204,IF(AI$199=0,INDEX($E190:$M190,0,AI$197),(INDEX($E190:$M190,0,AI$199+1)-INDEX($E190:$M190,0,AI$199))/(INDEX($E$185:$M$185,0,AI$199+1)-INDEX($E$185:$M$185,0,AI$199))+AH204)))</f>
        <v>7.393550709342068</v>
      </c>
      <c r="AJ204" s="186" cm="1">
        <f t="array" ref="AJ204">IF(AJ$199=-1,AK204,IF(AJ$199=99,AI204,IF(AJ$199=0,INDEX($E190:$M190,0,AJ$197),(INDEX($E190:$M190,0,AJ$199+1)-INDEX($E190:$M190,0,AJ$199))/(INDEX($E$185:$M$185,0,AJ$199+1)-INDEX($E$185:$M$185,0,AJ$199))+AI204)))</f>
        <v>7.3625273871160619</v>
      </c>
      <c r="AK204" s="186" cm="1">
        <f t="array" ref="AK204">IF(AK$199=-1,AL204,IF(AK$199=99,AJ204,IF(AK$199=0,INDEX($E190:$M190,0,AK$197),(INDEX($E190:$M190,0,AK$199+1)-INDEX($E190:$M190,0,AK$199))/(INDEX($E$185:$M$185,0,AK$199+1)-INDEX($E$185:$M$185,0,AK$199))+AJ204)))</f>
        <v>7.3315040648900558</v>
      </c>
      <c r="AL204" s="186" cm="1">
        <f t="array" ref="AL204">IF(AL$199=-1,AM204,IF(AL$199=99,AK204,IF(AL$199=0,INDEX($E190:$M190,0,AL$197),(INDEX($E190:$M190,0,AL$199+1)-INDEX($E190:$M190,0,AL$199))/(INDEX($E$185:$M$185,0,AL$199+1)-INDEX($E$185:$M$185,0,AL$199))+AK204)))</f>
        <v>7.3004807426640497</v>
      </c>
      <c r="AM204" s="186" cm="1">
        <f t="array" ref="AM204">IF(AM$199=-1,AN204,IF(AM$199=99,AL204,IF(AM$199=0,INDEX($E190:$M190,0,AM$197),(INDEX($E190:$M190,0,AM$199+1)-INDEX($E190:$M190,0,AM$199))/(INDEX($E$185:$M$185,0,AM$199+1)-INDEX($E$185:$M$185,0,AM$199))+AL204)))</f>
        <v>7.2694574204380435</v>
      </c>
      <c r="AN204" s="186" cm="1">
        <f t="array" ref="AN204">IF(AN$199=-1,AO204,IF(AN$199=99,AM204,IF(AN$199=0,INDEX($E190:$M190,0,AN$197),(INDEX($E190:$M190,0,AN$199+1)-INDEX($E190:$M190,0,AN$199))/(INDEX($E$185:$M$185,0,AN$199+1)-INDEX($E$185:$M$185,0,AN$199))+AM204)))</f>
        <v>7.2384340982120374</v>
      </c>
      <c r="AO204" s="186" cm="1">
        <f t="array" ref="AO204">IF(AO$199=-1,AP204,IF(AO$199=99,AN204,IF(AO$199=0,INDEX($E190:$M190,0,AO$197),(INDEX($E190:$M190,0,AO$199+1)-INDEX($E190:$M190,0,AO$199))/(INDEX($E$185:$M$185,0,AO$199+1)-INDEX($E$185:$M$185,0,AO$199))+AN204)))</f>
        <v>7.2074107759860322</v>
      </c>
      <c r="AP204" s="186" cm="1">
        <f t="array" ref="AP204">IF(AP$199=-1,AQ204,IF(AP$199=99,AO204,IF(AP$199=0,INDEX($E190:$M190,0,AP$197),(INDEX($E190:$M190,0,AP$199+1)-INDEX($E190:$M190,0,AP$199))/(INDEX($E$185:$M$185,0,AP$199+1)-INDEX($E$185:$M$185,0,AP$199))+AO204)))</f>
        <v>7.1575486860636719</v>
      </c>
      <c r="AQ204" s="186" cm="1">
        <f t="array" ref="AQ204">IF(AQ$199=-1,AR204,IF(AQ$199=99,AP204,IF(AQ$199=0,INDEX($E190:$M190,0,AQ$197),(INDEX($E190:$M190,0,AQ$199+1)-INDEX($E190:$M190,0,AQ$199))/(INDEX($E$185:$M$185,0,AQ$199+1)-INDEX($E$185:$M$185,0,AQ$199))+AP204)))</f>
        <v>6.7087898767624283</v>
      </c>
      <c r="AR204" s="186" cm="1">
        <f t="array" ref="AR204">IF(AR$199=-1,AS204,IF(AR$199=99,AQ204,IF(AR$199=0,INDEX($E190:$M190,0,AR$197),(INDEX($E190:$M190,0,AR$199+1)-INDEX($E190:$M190,0,AR$199))/(INDEX($E$185:$M$185,0,AR$199+1)-INDEX($E$185:$M$185,0,AR$199))+AQ204)))</f>
        <v>6.7087898767624283</v>
      </c>
      <c r="AS204" s="186" cm="1">
        <f t="array" ref="AS204">IF(AS$199=-1,#REF!,IF(AS$199=99,AR204,IF(AS$199=0,INDEX($E190:$M190,0,AS$197),(INDEX($E190:$M190,0,AS$199+1)-INDEX($E190:$M190,0,AS$199))/(INDEX($E$185:$M$185,0,AS$199+1)-INDEX($E$185:$M$185,0,AS$199))+AR204)))</f>
        <v>6.7087898767624283</v>
      </c>
      <c r="AT204" s="186"/>
      <c r="AW204" s="186"/>
      <c r="AX204" s="186"/>
      <c r="BH204" s="186">
        <f t="shared" si="591"/>
        <v>5.8698256197369378</v>
      </c>
      <c r="BI204" s="109">
        <f t="shared" si="592"/>
        <v>4.9146655581378935E-2</v>
      </c>
    </row>
    <row r="205" spans="1:61">
      <c r="A205" s="185" t="s">
        <v>16</v>
      </c>
      <c r="B205" s="22" t="str">
        <f t="shared" si="586"/>
        <v/>
      </c>
      <c r="C205" s="23" t="str">
        <f t="shared" si="587"/>
        <v/>
      </c>
      <c r="D205" s="57" t="str">
        <f t="shared" si="588"/>
        <v>TPPUBRT</v>
      </c>
      <c r="E205" s="23" t="str">
        <f t="shared" si="589"/>
        <v/>
      </c>
      <c r="F205" s="23"/>
      <c r="H205" s="23" t="str">
        <f t="shared" si="589"/>
        <v/>
      </c>
      <c r="J205" s="23" t="str">
        <f t="shared" si="589"/>
        <v/>
      </c>
      <c r="K205" s="23" t="str">
        <f t="shared" si="589"/>
        <v/>
      </c>
      <c r="L205" s="22" t="str">
        <f t="shared" si="590"/>
        <v/>
      </c>
      <c r="M205" s="186">
        <f>INDEX('[2]TS BYDem'!J$10:J$59,MATCH($D205,'[2]TS BYDem'!D$10:D$59,0))</f>
        <v>0</v>
      </c>
      <c r="N205" s="186" cm="1">
        <f t="array" ref="N205">IF(N$199=-1,O205,IF(N$199=99,M205,IF(N$199=0,INDEX($E191:$M191,0,N$197),(INDEX($E191:$M191,0,N$199+1)-INDEX($E191:$M191,0,N$199))/(INDEX($E$185:$M$185,0,N$199+1)-INDEX($E$185:$M$185,0,N$199))+M205)))</f>
        <v>3.655919189093968E-3</v>
      </c>
      <c r="O205" s="186" cm="1">
        <f t="array" ref="O205">IF(O$199=-1,P205,IF(O$199=99,N205,IF(O$199=0,INDEX($E191:$M191,0,O$197),(INDEX($E191:$M191,0,O$199+1)-INDEX($E191:$M191,0,O$199))/(INDEX($E$185:$M$185,0,O$199+1)-INDEX($E$185:$M$185,0,O$199))+N205)))</f>
        <v>7.311838378187936E-3</v>
      </c>
      <c r="P205" s="186" cm="1">
        <f t="array" ref="P205">IF(P$199=-1,Q205,IF(P$199=99,O205,IF(P$199=0,INDEX($E191:$M191,0,P$197),(INDEX($E191:$M191,0,P$199+1)-INDEX($E191:$M191,0,P$199))/(INDEX($E$185:$M$185,0,P$199+1)-INDEX($E$185:$M$185,0,P$199))+O205)))</f>
        <v>3.2055500417449041E-2</v>
      </c>
      <c r="Q205" s="186" cm="1">
        <f t="array" ref="Q205">IF(Q$199=-1,R205,IF(Q$199=99,P205,IF(Q$199=0,INDEX($E191:$M191,0,Q$197),(INDEX($E191:$M191,0,Q$199+1)-INDEX($E191:$M191,0,Q$199))/(INDEX($E$185:$M$185,0,Q$199+1)-INDEX($E$185:$M$185,0,Q$199))+P205)))</f>
        <v>4.7519121895018071E-2</v>
      </c>
      <c r="R205" s="186" cm="1">
        <f t="array" ref="R205">IF(R$199=-1,S205,IF(R$199=99,Q205,IF(R$199=0,INDEX($E191:$M191,0,R$197),(INDEX($E191:$M191,0,R$199+1)-INDEX($E191:$M191,0,R$199))/(INDEX($E$185:$M$185,0,R$199+1)-INDEX($E$185:$M$185,0,R$199))+Q205)))</f>
        <v>6.2982743372587108E-2</v>
      </c>
      <c r="S205" s="186" cm="1">
        <f t="array" ref="S205">IF(S$199=-1,T205,IF(S$199=99,R205,IF(S$199=0,INDEX($E191:$M191,0,S$197),(INDEX($E191:$M191,0,S$199+1)-INDEX($E191:$M191,0,S$199))/(INDEX($E$185:$M$185,0,S$199+1)-INDEX($E$185:$M$185,0,S$199))+R205)))</f>
        <v>8.1980795939356782E-2</v>
      </c>
      <c r="T205" s="186" cm="1">
        <f t="array" ref="T205">IF(T$199=-1,U205,IF(T$199=99,S205,IF(T$199=0,INDEX($E191:$M191,0,T$197),(INDEX($E191:$M191,0,T$199+1)-INDEX($E191:$M191,0,T$199))/(INDEX($E$185:$M$185,0,T$199+1)-INDEX($E$185:$M$185,0,T$199))+S205)))</f>
        <v>0.10097884850612647</v>
      </c>
      <c r="U205" s="186" cm="1">
        <f t="array" ref="U205">IF(U$199=-1,V205,IF(U$199=99,T205,IF(U$199=0,INDEX($E191:$M191,0,U$197),(INDEX($E191:$M191,0,U$199+1)-INDEX($E191:$M191,0,U$199))/(INDEX($E$185:$M$185,0,U$199+1)-INDEX($E$185:$M$185,0,U$199))+T205)))</f>
        <v>0.10238010429217448</v>
      </c>
      <c r="V205" s="186" cm="1">
        <f t="array" ref="V205">IF(V$199=-1,W205,IF(V$199=99,U205,IF(V$199=0,INDEX($E191:$M191,0,V$197),(INDEX($E191:$M191,0,V$199+1)-INDEX($E191:$M191,0,V$199))/(INDEX($E$185:$M$185,0,V$199+1)-INDEX($E$185:$M$185,0,V$199))+U205)))</f>
        <v>0.2942392564401286</v>
      </c>
      <c r="W205" s="186" cm="1">
        <f t="array" ref="W205">IF(W$199=-1,X205,IF(W$199=99,V205,IF(W$199=0,INDEX($E191:$M191,0,W$197),(INDEX($E191:$M191,0,W$199+1)-INDEX($E191:$M191,0,W$199))/(INDEX($E$185:$M$185,0,W$199+1)-INDEX($E$185:$M$185,0,W$199))+V205)))</f>
        <v>0.32452286213885756</v>
      </c>
      <c r="X205" s="186" cm="1">
        <f t="array" ref="X205">IF(X$199=-1,Y205,IF(X$199=99,W205,IF(X$199=0,INDEX($E191:$M191,0,X$197),(INDEX($E191:$M191,0,X$199+1)-INDEX($E191:$M191,0,X$199))/(INDEX($E$185:$M$185,0,X$199+1)-INDEX($E$185:$M$185,0,X$199))+W205)))</f>
        <v>0.35480646783758651</v>
      </c>
      <c r="Y205" s="186" cm="1">
        <f t="array" ref="Y205">IF(Y$199=-1,Z205,IF(Y$199=99,X205,IF(Y$199=0,INDEX($E191:$M191,0,Y$197),(INDEX($E191:$M191,0,Y$199+1)-INDEX($E191:$M191,0,Y$199))/(INDEX($E$185:$M$185,0,Y$199+1)-INDEX($E$185:$M$185,0,Y$199))+X205)))</f>
        <v>0.38509007353631547</v>
      </c>
      <c r="Z205" s="186" cm="1">
        <f t="array" ref="Z205">IF(Z$199=-1,AA205,IF(Z$199=99,Y205,IF(Z$199=0,INDEX($E191:$M191,0,Z$197),(INDEX($E191:$M191,0,Z$199+1)-INDEX($E191:$M191,0,Z$199))/(INDEX($E$185:$M$185,0,Z$199+1)-INDEX($E$185:$M$185,0,Z$199))+Y205)))</f>
        <v>0.41537367923504442</v>
      </c>
      <c r="AA205" s="186" cm="1">
        <f t="array" ref="AA205">IF(AA$199=-1,AB205,IF(AA$199=99,Z205,IF(AA$199=0,INDEX($E191:$M191,0,AA$197),(INDEX($E191:$M191,0,AA$199+1)-INDEX($E191:$M191,0,AA$199))/(INDEX($E$185:$M$185,0,AA$199+1)-INDEX($E$185:$M$185,0,AA$199))+Z205)))</f>
        <v>0.44565728493377338</v>
      </c>
      <c r="AB205" s="186" cm="1">
        <f t="array" ref="AB205">IF(AB$199=-1,AC205,IF(AB$199=99,AA205,IF(AB$199=0,INDEX($E191:$M191,0,AB$197),(INDEX($E191:$M191,0,AB$199+1)-INDEX($E191:$M191,0,AB$199))/(INDEX($E$185:$M$185,0,AB$199+1)-INDEX($E$185:$M$185,0,AB$199))+AA205)))</f>
        <v>0.47594089063250233</v>
      </c>
      <c r="AC205" s="186" cm="1">
        <f t="array" ref="AC205">IF(AC$199=-1,AD205,IF(AC$199=99,AB205,IF(AC$199=0,INDEX($E191:$M191,0,AC$197),(INDEX($E191:$M191,0,AC$199+1)-INDEX($E191:$M191,0,AC$199))/(INDEX($E$185:$M$185,0,AC$199+1)-INDEX($E$185:$M$185,0,AC$199))+AB205)))</f>
        <v>0.50622449633123123</v>
      </c>
      <c r="AD205" s="186" cm="1">
        <f t="array" ref="AD205">IF(AD$199=-1,AE205,IF(AD$199=99,AC205,IF(AD$199=0,INDEX($E191:$M191,0,AD$197),(INDEX($E191:$M191,0,AD$199+1)-INDEX($E191:$M191,0,AD$199))/(INDEX($E$185:$M$185,0,AD$199+1)-INDEX($E$185:$M$185,0,AD$199))+AC205)))</f>
        <v>0.53650810202996013</v>
      </c>
      <c r="AE205" s="186" cm="1">
        <f t="array" ref="AE205">IF(AE$199=-1,AF205,IF(AE$199=99,AD205,IF(AE$199=0,INDEX($E191:$M191,0,AE$197),(INDEX($E191:$M191,0,AE$199+1)-INDEX($E191:$M191,0,AE$199))/(INDEX($E$185:$M$185,0,AE$199+1)-INDEX($E$185:$M$185,0,AE$199))+AD205)))</f>
        <v>0.56679170772868903</v>
      </c>
      <c r="AF205" s="186" cm="1">
        <f t="array" ref="AF205">IF(AF$199=-1,AG205,IF(AF$199=99,AE205,IF(AF$199=0,INDEX($E191:$M191,0,AF$197),(INDEX($E191:$M191,0,AF$199+1)-INDEX($E191:$M191,0,AF$199))/(INDEX($E$185:$M$185,0,AF$199+1)-INDEX($E$185:$M$185,0,AF$199))+AE205)))</f>
        <v>0.61851803835016128</v>
      </c>
      <c r="AG205" s="186" cm="1">
        <f t="array" ref="AG205">IF(AG$199=-1,AH205,IF(AG$199=99,AF205,IF(AG$199=0,INDEX($E191:$M191,0,AG$197),(INDEX($E191:$M191,0,AG$199+1)-INDEX($E191:$M191,0,AG$199))/(INDEX($E$185:$M$185,0,AG$199+1)-INDEX($E$185:$M$185,0,AG$199))+AF205)))</f>
        <v>0.67024436897163353</v>
      </c>
      <c r="AH205" s="186" cm="1">
        <f t="array" ref="AH205">IF(AH$199=-1,AI205,IF(AH$199=99,AG205,IF(AH$199=0,INDEX($E191:$M191,0,AH$197),(INDEX($E191:$M191,0,AH$199+1)-INDEX($E191:$M191,0,AH$199))/(INDEX($E$185:$M$185,0,AH$199+1)-INDEX($E$185:$M$185,0,AH$199))+AG205)))</f>
        <v>0.72197069959310578</v>
      </c>
      <c r="AI205" s="186" cm="1">
        <f t="array" ref="AI205">IF(AI$199=-1,AJ205,IF(AI$199=99,AH205,IF(AI$199=0,INDEX($E191:$M191,0,AI$197),(INDEX($E191:$M191,0,AI$199+1)-INDEX($E191:$M191,0,AI$199))/(INDEX($E$185:$M$185,0,AI$199+1)-INDEX($E$185:$M$185,0,AI$199))+AH205)))</f>
        <v>0.77369703021457803</v>
      </c>
      <c r="AJ205" s="186" cm="1">
        <f t="array" ref="AJ205">IF(AJ$199=-1,AK205,IF(AJ$199=99,AI205,IF(AJ$199=0,INDEX($E191:$M191,0,AJ$197),(INDEX($E191:$M191,0,AJ$199+1)-INDEX($E191:$M191,0,AJ$199))/(INDEX($E$185:$M$185,0,AJ$199+1)-INDEX($E$185:$M$185,0,AJ$199))+AI205)))</f>
        <v>0.82542336083605028</v>
      </c>
      <c r="AK205" s="186" cm="1">
        <f t="array" ref="AK205">IF(AK$199=-1,AL205,IF(AK$199=99,AJ205,IF(AK$199=0,INDEX($E191:$M191,0,AK$197),(INDEX($E191:$M191,0,AK$199+1)-INDEX($E191:$M191,0,AK$199))/(INDEX($E$185:$M$185,0,AK$199+1)-INDEX($E$185:$M$185,0,AK$199))+AJ205)))</f>
        <v>0.87714969145752253</v>
      </c>
      <c r="AL205" s="186" cm="1">
        <f t="array" ref="AL205">IF(AL$199=-1,AM205,IF(AL$199=99,AK205,IF(AL$199=0,INDEX($E191:$M191,0,AL$197),(INDEX($E191:$M191,0,AL$199+1)-INDEX($E191:$M191,0,AL$199))/(INDEX($E$185:$M$185,0,AL$199+1)-INDEX($E$185:$M$185,0,AL$199))+AK205)))</f>
        <v>0.92887602207899478</v>
      </c>
      <c r="AM205" s="186" cm="1">
        <f t="array" ref="AM205">IF(AM$199=-1,AN205,IF(AM$199=99,AL205,IF(AM$199=0,INDEX($E191:$M191,0,AM$197),(INDEX($E191:$M191,0,AM$199+1)-INDEX($E191:$M191,0,AM$199))/(INDEX($E$185:$M$185,0,AM$199+1)-INDEX($E$185:$M$185,0,AM$199))+AL205)))</f>
        <v>0.98060235270046703</v>
      </c>
      <c r="AN205" s="186" cm="1">
        <f t="array" ref="AN205">IF(AN$199=-1,AO205,IF(AN$199=99,AM205,IF(AN$199=0,INDEX($E191:$M191,0,AN$197),(INDEX($E191:$M191,0,AN$199+1)-INDEX($E191:$M191,0,AN$199))/(INDEX($E$185:$M$185,0,AN$199+1)-INDEX($E$185:$M$185,0,AN$199))+AM205)))</f>
        <v>1.0323286833219392</v>
      </c>
      <c r="AO205" s="186" cm="1">
        <f t="array" ref="AO205">IF(AO$199=-1,AP205,IF(AO$199=99,AN205,IF(AO$199=0,INDEX($E191:$M191,0,AO$197),(INDEX($E191:$M191,0,AO$199+1)-INDEX($E191:$M191,0,AO$199))/(INDEX($E$185:$M$185,0,AO$199+1)-INDEX($E$185:$M$185,0,AO$199))+AN205)))</f>
        <v>1.0840550139434115</v>
      </c>
      <c r="AP205" s="186" cm="1">
        <f t="array" ref="AP205">IF(AP$199=-1,AQ205,IF(AP$199=99,AO205,IF(AP$199=0,INDEX($E191:$M191,0,AP$197),(INDEX($E191:$M191,0,AP$199+1)-INDEX($E191:$M191,0,AP$199))/(INDEX($E$185:$M$185,0,AP$199+1)-INDEX($E$185:$M$185,0,AP$199))+AO205)))</f>
        <v>1.1332079128004475</v>
      </c>
      <c r="AQ205" s="186" cm="1">
        <f t="array" ref="AQ205">IF(AQ$199=-1,AR205,IF(AQ$199=99,AP205,IF(AQ$199=0,INDEX($E191:$M191,0,AQ$197),(INDEX($E191:$M191,0,AQ$199+1)-INDEX($E191:$M191,0,AQ$199))/(INDEX($E$185:$M$185,0,AQ$199+1)-INDEX($E$185:$M$185,0,AQ$199))+AP205)))</f>
        <v>1.5755840025137724</v>
      </c>
      <c r="AR205" s="186" cm="1">
        <f t="array" ref="AR205">IF(AR$199=-1,AS205,IF(AR$199=99,AQ205,IF(AR$199=0,INDEX($E191:$M191,0,AR$197),(INDEX($E191:$M191,0,AR$199+1)-INDEX($E191:$M191,0,AR$199))/(INDEX($E$185:$M$185,0,AR$199+1)-INDEX($E$185:$M$185,0,AR$199))+AQ205)))</f>
        <v>1.5755840025137724</v>
      </c>
      <c r="AS205" s="186" cm="1">
        <f t="array" ref="AS205">IF(AS$199=-1,#REF!,IF(AS$199=99,AR205,IF(AS$199=0,INDEX($E191:$M191,0,AS$197),(INDEX($E191:$M191,0,AS$199+1)-INDEX($E191:$M191,0,AS$199))/(INDEX($E$185:$M$185,0,AS$199+1)-INDEX($E$185:$M$185,0,AS$199))+AR205)))</f>
        <v>1.5755840025137724</v>
      </c>
      <c r="AT205" s="186"/>
      <c r="AW205" s="186"/>
      <c r="AX205" s="186"/>
      <c r="BH205" s="186">
        <f t="shared" si="591"/>
        <v>2.1087742850167138E-2</v>
      </c>
      <c r="BI205" s="109" t="e">
        <f t="shared" si="592"/>
        <v>#DIV/0!</v>
      </c>
    </row>
    <row r="206" spans="1:61">
      <c r="A206" s="185" t="s">
        <v>16</v>
      </c>
      <c r="B206" s="22" t="str">
        <f t="shared" si="586"/>
        <v/>
      </c>
      <c r="C206" s="23" t="str">
        <f t="shared" si="587"/>
        <v/>
      </c>
      <c r="D206" s="57" t="str">
        <f t="shared" si="588"/>
        <v>TPPUMER</v>
      </c>
      <c r="E206" s="23" t="str">
        <f t="shared" si="589"/>
        <v/>
      </c>
      <c r="F206" s="23"/>
      <c r="H206" s="23" t="str">
        <f t="shared" si="589"/>
        <v/>
      </c>
      <c r="J206" s="23" t="str">
        <f t="shared" si="589"/>
        <v/>
      </c>
      <c r="K206" s="23" t="str">
        <f t="shared" si="589"/>
        <v/>
      </c>
      <c r="L206" s="22" t="str">
        <f t="shared" si="590"/>
        <v/>
      </c>
      <c r="M206" s="186">
        <f>INDEX('[2]TS BYDem'!J$10:J$59,MATCH($D206,'[2]TS BYDem'!D$10:D$59,0))</f>
        <v>15.8</v>
      </c>
      <c r="N206" s="186" cm="1">
        <f t="array" ref="N206">IF(N$199=-1,O206,IF(N$199=99,M206,IF(N$199=0,INDEX($E192:$M192,0,N$197),(INDEX($E192:$M192,0,N$199+1)-INDEX($E192:$M192,0,N$199))/(INDEX($E$185:$M$185,0,N$199+1)-INDEX($E$185:$M$185,0,N$199))+M206)))</f>
        <v>14.899654483716786</v>
      </c>
      <c r="O206" s="186" cm="1">
        <f t="array" ref="O206">IF(O$199=-1,P206,IF(O$199=99,N206,IF(O$199=0,INDEX($E192:$M192,0,O$197),(INDEX($E192:$M192,0,O$199+1)-INDEX($E192:$M192,0,O$199))/(INDEX($E$185:$M$185,0,O$199+1)-INDEX($E$185:$M$185,0,O$199))+N206)))</f>
        <v>13.999308967433571</v>
      </c>
      <c r="P206" s="186" cm="1">
        <f t="array" ref="P206">IF(P$199=-1,Q206,IF(P$199=99,O206,IF(P$199=0,INDEX($E192:$M192,0,P$197),(INDEX($E192:$M192,0,P$199+1)-INDEX($E192:$M192,0,P$199))/(INDEX($E$185:$M$185,0,P$199+1)-INDEX($E$185:$M$185,0,P$199))+O206)))</f>
        <v>12.322446292964566</v>
      </c>
      <c r="Q206" s="186" cm="1">
        <f t="array" ref="Q206">IF(Q$199=-1,R206,IF(Q$199=99,P206,IF(Q$199=0,INDEX($E192:$M192,0,Q$197),(INDEX($E192:$M192,0,Q$199+1)-INDEX($E192:$M192,0,Q$199))/(INDEX($E$185:$M$185,0,Q$199+1)-INDEX($E$185:$M$185,0,Q$199))+P206)))</f>
        <v>10.474251298675517</v>
      </c>
      <c r="R206" s="186" cm="1">
        <f t="array" ref="R206">IF(R$199=-1,S206,IF(R$199=99,Q206,IF(R$199=0,INDEX($E192:$M192,0,R$197),(INDEX($E192:$M192,0,R$199+1)-INDEX($E192:$M192,0,R$199))/(INDEX($E$185:$M$185,0,R$199+1)-INDEX($E$185:$M$185,0,R$199))+Q206)))</f>
        <v>8.6260563043864682</v>
      </c>
      <c r="S206" s="186" cm="1">
        <f t="array" ref="S206">IF(S$199=-1,T206,IF(S$199=99,R206,IF(S$199=0,INDEX($E192:$M192,0,S$197),(INDEX($E192:$M192,0,S$199+1)-INDEX($E192:$M192,0,S$199))/(INDEX($E$185:$M$185,0,S$199+1)-INDEX($E$185:$M$185,0,S$199))+R206)))</f>
        <v>8.7248248744821311</v>
      </c>
      <c r="T206" s="186" cm="1">
        <f t="array" ref="T206">IF(T$199=-1,U206,IF(T$199=99,S206,IF(T$199=0,INDEX($E192:$M192,0,T$197),(INDEX($E192:$M192,0,T$199+1)-INDEX($E192:$M192,0,T$199))/(INDEX($E$185:$M$185,0,T$199+1)-INDEX($E$185:$M$185,0,T$199))+S206)))</f>
        <v>8.8235934445777957</v>
      </c>
      <c r="U206" s="186" cm="1">
        <f t="array" ref="U206">IF(U$199=-1,V206,IF(U$199=99,T206,IF(U$199=0,INDEX($E192:$M192,0,U$197),(INDEX($E192:$M192,0,U$199+1)-INDEX($E192:$M192,0,U$199))/(INDEX($E$185:$M$185,0,U$199+1)-INDEX($E$185:$M$185,0,U$199))+T206)))</f>
        <v>8.9818459792306626</v>
      </c>
      <c r="V206" s="186" cm="1">
        <f t="array" ref="V206">IF(V$199=-1,W206,IF(V$199=99,U206,IF(V$199=0,INDEX($E192:$M192,0,V$197),(INDEX($E192:$M192,0,V$199+1)-INDEX($E192:$M192,0,V$199))/(INDEX($E$185:$M$185,0,V$199+1)-INDEX($E$185:$M$185,0,V$199))+U206)))</f>
        <v>9.109534236706498</v>
      </c>
      <c r="W206" s="186" cm="1">
        <f t="array" ref="W206">IF(W$199=-1,X206,IF(W$199=99,V206,IF(W$199=0,INDEX($E192:$M192,0,W$197),(INDEX($E192:$M192,0,W$199+1)-INDEX($E192:$M192,0,W$199))/(INDEX($E$185:$M$185,0,W$199+1)-INDEX($E$185:$M$185,0,W$199))+V206)))</f>
        <v>9.1278794609103482</v>
      </c>
      <c r="X206" s="186" cm="1">
        <f t="array" ref="X206">IF(X$199=-1,Y206,IF(X$199=99,W206,IF(X$199=0,INDEX($E192:$M192,0,X$197),(INDEX($E192:$M192,0,X$199+1)-INDEX($E192:$M192,0,X$199))/(INDEX($E$185:$M$185,0,X$199+1)-INDEX($E$185:$M$185,0,X$199))+W206)))</f>
        <v>9.1462246851141984</v>
      </c>
      <c r="Y206" s="186" cm="1">
        <f t="array" ref="Y206">IF(Y$199=-1,Z206,IF(Y$199=99,X206,IF(Y$199=0,INDEX($E192:$M192,0,Y$197),(INDEX($E192:$M192,0,Y$199+1)-INDEX($E192:$M192,0,Y$199))/(INDEX($E$185:$M$185,0,Y$199+1)-INDEX($E$185:$M$185,0,Y$199))+X206)))</f>
        <v>9.1645699093180486</v>
      </c>
      <c r="Z206" s="186" cm="1">
        <f t="array" ref="Z206">IF(Z$199=-1,AA206,IF(Z$199=99,Y206,IF(Z$199=0,INDEX($E192:$M192,0,Z$197),(INDEX($E192:$M192,0,Z$199+1)-INDEX($E192:$M192,0,Z$199))/(INDEX($E$185:$M$185,0,Z$199+1)-INDEX($E$185:$M$185,0,Z$199))+Y206)))</f>
        <v>9.1829151335218988</v>
      </c>
      <c r="AA206" s="186" cm="1">
        <f t="array" ref="AA206">IF(AA$199=-1,AB206,IF(AA$199=99,Z206,IF(AA$199=0,INDEX($E192:$M192,0,AA$197),(INDEX($E192:$M192,0,AA$199+1)-INDEX($E192:$M192,0,AA$199))/(INDEX($E$185:$M$185,0,AA$199+1)-INDEX($E$185:$M$185,0,AA$199))+Z206)))</f>
        <v>9.201260357725749</v>
      </c>
      <c r="AB206" s="186" cm="1">
        <f t="array" ref="AB206">IF(AB$199=-1,AC206,IF(AB$199=99,AA206,IF(AB$199=0,INDEX($E192:$M192,0,AB$197),(INDEX($E192:$M192,0,AB$199+1)-INDEX($E192:$M192,0,AB$199))/(INDEX($E$185:$M$185,0,AB$199+1)-INDEX($E$185:$M$185,0,AB$199))+AA206)))</f>
        <v>9.2196055819295992</v>
      </c>
      <c r="AC206" s="186" cm="1">
        <f t="array" ref="AC206">IF(AC$199=-1,AD206,IF(AC$199=99,AB206,IF(AC$199=0,INDEX($E192:$M192,0,AC$197),(INDEX($E192:$M192,0,AC$199+1)-INDEX($E192:$M192,0,AC$199))/(INDEX($E$185:$M$185,0,AC$199+1)-INDEX($E$185:$M$185,0,AC$199))+AB206)))</f>
        <v>9.2379508061334494</v>
      </c>
      <c r="AD206" s="186" cm="1">
        <f t="array" ref="AD206">IF(AD$199=-1,AE206,IF(AD$199=99,AC206,IF(AD$199=0,INDEX($E192:$M192,0,AD$197),(INDEX($E192:$M192,0,AD$199+1)-INDEX($E192:$M192,0,AD$199))/(INDEX($E$185:$M$185,0,AD$199+1)-INDEX($E$185:$M$185,0,AD$199))+AC206)))</f>
        <v>9.2562960303372996</v>
      </c>
      <c r="AE206" s="186" cm="1">
        <f t="array" ref="AE206">IF(AE$199=-1,AF206,IF(AE$199=99,AD206,IF(AE$199=0,INDEX($E192:$M192,0,AE$197),(INDEX($E192:$M192,0,AE$199+1)-INDEX($E192:$M192,0,AE$199))/(INDEX($E$185:$M$185,0,AE$199+1)-INDEX($E$185:$M$185,0,AE$199))+AD206)))</f>
        <v>9.2746412545411498</v>
      </c>
      <c r="AF206" s="186" cm="1">
        <f t="array" ref="AF206">IF(AF$199=-1,AG206,IF(AF$199=99,AE206,IF(AF$199=0,INDEX($E192:$M192,0,AF$197),(INDEX($E192:$M192,0,AF$199+1)-INDEX($E192:$M192,0,AF$199))/(INDEX($E$185:$M$185,0,AF$199+1)-INDEX($E$185:$M$185,0,AF$199))+AE206)))</f>
        <v>9.2363672707987217</v>
      </c>
      <c r="AG206" s="186" cm="1">
        <f t="array" ref="AG206">IF(AG$199=-1,AH206,IF(AG$199=99,AF206,IF(AG$199=0,INDEX($E192:$M192,0,AG$197),(INDEX($E192:$M192,0,AG$199+1)-INDEX($E192:$M192,0,AG$199))/(INDEX($E$185:$M$185,0,AG$199+1)-INDEX($E$185:$M$185,0,AG$199))+AF206)))</f>
        <v>9.1980932870562935</v>
      </c>
      <c r="AH206" s="186" cm="1">
        <f t="array" ref="AH206">IF(AH$199=-1,AI206,IF(AH$199=99,AG206,IF(AH$199=0,INDEX($E192:$M192,0,AH$197),(INDEX($E192:$M192,0,AH$199+1)-INDEX($E192:$M192,0,AH$199))/(INDEX($E$185:$M$185,0,AH$199+1)-INDEX($E$185:$M$185,0,AH$199))+AG206)))</f>
        <v>9.1598193033138653</v>
      </c>
      <c r="AI206" s="186" cm="1">
        <f t="array" ref="AI206">IF(AI$199=-1,AJ206,IF(AI$199=99,AH206,IF(AI$199=0,INDEX($E192:$M192,0,AI$197),(INDEX($E192:$M192,0,AI$199+1)-INDEX($E192:$M192,0,AI$199))/(INDEX($E$185:$M$185,0,AI$199+1)-INDEX($E$185:$M$185,0,AI$199))+AH206)))</f>
        <v>9.1215453195714371</v>
      </c>
      <c r="AJ206" s="186" cm="1">
        <f t="array" ref="AJ206">IF(AJ$199=-1,AK206,IF(AJ$199=99,AI206,IF(AJ$199=0,INDEX($E192:$M192,0,AJ$197),(INDEX($E192:$M192,0,AJ$199+1)-INDEX($E192:$M192,0,AJ$199))/(INDEX($E$185:$M$185,0,AJ$199+1)-INDEX($E$185:$M$185,0,AJ$199))+AI206)))</f>
        <v>9.0832713358290089</v>
      </c>
      <c r="AK206" s="186" cm="1">
        <f t="array" ref="AK206">IF(AK$199=-1,AL206,IF(AK$199=99,AJ206,IF(AK$199=0,INDEX($E192:$M192,0,AK$197),(INDEX($E192:$M192,0,AK$199+1)-INDEX($E192:$M192,0,AK$199))/(INDEX($E$185:$M$185,0,AK$199+1)-INDEX($E$185:$M$185,0,AK$199))+AJ206)))</f>
        <v>9.0449973520865807</v>
      </c>
      <c r="AL206" s="186" cm="1">
        <f t="array" ref="AL206">IF(AL$199=-1,AM206,IF(AL$199=99,AK206,IF(AL$199=0,INDEX($E192:$M192,0,AL$197),(INDEX($E192:$M192,0,AL$199+1)-INDEX($E192:$M192,0,AL$199))/(INDEX($E$185:$M$185,0,AL$199+1)-INDEX($E$185:$M$185,0,AL$199))+AK206)))</f>
        <v>9.0067233683441525</v>
      </c>
      <c r="AM206" s="186" cm="1">
        <f t="array" ref="AM206">IF(AM$199=-1,AN206,IF(AM$199=99,AL206,IF(AM$199=0,INDEX($E192:$M192,0,AM$197),(INDEX($E192:$M192,0,AM$199+1)-INDEX($E192:$M192,0,AM$199))/(INDEX($E$185:$M$185,0,AM$199+1)-INDEX($E$185:$M$185,0,AM$199))+AL206)))</f>
        <v>8.9684493846017244</v>
      </c>
      <c r="AN206" s="186" cm="1">
        <f t="array" ref="AN206">IF(AN$199=-1,AO206,IF(AN$199=99,AM206,IF(AN$199=0,INDEX($E192:$M192,0,AN$197),(INDEX($E192:$M192,0,AN$199+1)-INDEX($E192:$M192,0,AN$199))/(INDEX($E$185:$M$185,0,AN$199+1)-INDEX($E$185:$M$185,0,AN$199))+AM206)))</f>
        <v>8.9301754008592962</v>
      </c>
      <c r="AO206" s="186" cm="1">
        <f t="array" ref="AO206">IF(AO$199=-1,AP206,IF(AO$199=99,AN206,IF(AO$199=0,INDEX($E192:$M192,0,AO$197),(INDEX($E192:$M192,0,AO$199+1)-INDEX($E192:$M192,0,AO$199))/(INDEX($E$185:$M$185,0,AO$199+1)-INDEX($E$185:$M$185,0,AO$199))+AN206)))</f>
        <v>8.8919014171168609</v>
      </c>
      <c r="AP206" s="186" cm="1">
        <f t="array" ref="AP206">IF(AP$199=-1,AQ206,IF(AP$199=99,AO206,IF(AP$199=0,INDEX($E192:$M192,0,AP$197),(INDEX($E192:$M192,0,AP$199+1)-INDEX($E192:$M192,0,AP$199))/(INDEX($E$185:$M$185,0,AP$199+1)-INDEX($E$185:$M$185,0,AP$199))+AO206)))</f>
        <v>8.8303857352969377</v>
      </c>
      <c r="AQ206" s="186" cm="1">
        <f t="array" ref="AQ206">IF(AQ$199=-1,AR206,IF(AQ$199=99,AP206,IF(AQ$199=0,INDEX($E192:$M192,0,AQ$197),(INDEX($E192:$M192,0,AQ$199+1)-INDEX($E192:$M192,0,AQ$199))/(INDEX($E$185:$M$185,0,AQ$199+1)-INDEX($E$185:$M$185,0,AQ$199))+AP206)))</f>
        <v>8.2767445989176256</v>
      </c>
      <c r="AR206" s="186" cm="1">
        <f t="array" ref="AR206">IF(AR$199=-1,AS206,IF(AR$199=99,AQ206,IF(AR$199=0,INDEX($E192:$M192,0,AR$197),(INDEX($E192:$M192,0,AR$199+1)-INDEX($E192:$M192,0,AR$199))/(INDEX($E$185:$M$185,0,AR$199+1)-INDEX($E$185:$M$185,0,AR$199))+AQ206)))</f>
        <v>8.2767445989176256</v>
      </c>
      <c r="AS206" s="186" cm="1">
        <f t="array" ref="AS206">IF(AS$199=-1,#REF!,IF(AS$199=99,AR206,IF(AS$199=0,INDEX($E192:$M192,0,AS$197),(INDEX($E192:$M192,0,AS$199+1)-INDEX($E192:$M192,0,AS$199))/(INDEX($E$185:$M$185,0,AS$199+1)-INDEX($E$185:$M$185,0,AS$199))+AR206)))</f>
        <v>8.2767445989176256</v>
      </c>
      <c r="AT206" s="186"/>
      <c r="AW206" s="186"/>
      <c r="AX206" s="186"/>
      <c r="BH206" s="186">
        <f t="shared" si="591"/>
        <v>15.023482841814213</v>
      </c>
      <c r="BI206" s="109">
        <f t="shared" si="592"/>
        <v>4.9146655581378998E-2</v>
      </c>
    </row>
    <row r="207" spans="1:61">
      <c r="A207" s="185" t="s">
        <v>16</v>
      </c>
      <c r="B207" s="22" t="str">
        <f t="shared" si="586"/>
        <v/>
      </c>
      <c r="C207" s="23" t="str">
        <f t="shared" si="587"/>
        <v/>
      </c>
      <c r="D207" s="57" t="str">
        <f t="shared" si="588"/>
        <v>TPPUGAT</v>
      </c>
      <c r="E207" s="23" t="str">
        <f t="shared" si="589"/>
        <v/>
      </c>
      <c r="F207" s="23"/>
      <c r="H207" s="23" t="str">
        <f t="shared" si="589"/>
        <v/>
      </c>
      <c r="J207" s="23" t="str">
        <f t="shared" si="589"/>
        <v/>
      </c>
      <c r="K207" s="23" t="str">
        <f t="shared" si="589"/>
        <v/>
      </c>
      <c r="L207" s="22" t="str">
        <f t="shared" si="590"/>
        <v/>
      </c>
      <c r="M207" s="186">
        <f>INDEX('[2]TS BYDem'!J$10:J$59,MATCH($D207,'[2]TS BYDem'!D$10:D$59,0))</f>
        <v>0</v>
      </c>
      <c r="N207" s="186" cm="1">
        <f t="array" ref="N207">IF(N$199=-1,O207,IF(N$199=99,M207,IF(N$199=0,INDEX($E193:$M193,0,N$197),(INDEX($E193:$M193,0,N$199+1)-INDEX($E193:$M193,0,N$199))/(INDEX($E$185:$M$185,0,N$199+1)-INDEX($E$185:$M$185,0,N$199))+M207)))</f>
        <v>2.4879742081617029E-2</v>
      </c>
      <c r="O207" s="186" cm="1">
        <f t="array" ref="O207">IF(O$199=-1,P207,IF(O$199=99,N207,IF(O$199=0,INDEX($E193:$M193,0,O$197),(INDEX($E193:$M193,0,O$199+1)-INDEX($E193:$M193,0,O$199))/(INDEX($E$185:$M$185,0,O$199+1)-INDEX($E$185:$M$185,0,O$199))+N207)))</f>
        <v>4.9759484163234058E-2</v>
      </c>
      <c r="P207" s="186" cm="1">
        <f t="array" ref="P207">IF(P$199=-1,Q207,IF(P$199=99,O207,IF(P$199=0,INDEX($E193:$M193,0,P$197),(INDEX($E193:$M193,0,P$199+1)-INDEX($E193:$M193,0,P$199))/(INDEX($E$185:$M$185,0,P$199+1)-INDEX($E$185:$M$185,0,P$199))+O207)))</f>
        <v>0.60923770891438467</v>
      </c>
      <c r="Q207" s="186" cm="1">
        <f t="array" ref="Q207">IF(Q$199=-1,R207,IF(Q$199=99,P207,IF(Q$199=0,INDEX($E193:$M193,0,Q$197),(INDEX($E193:$M193,0,Q$199+1)-INDEX($E193:$M193,0,Q$199))/(INDEX($E$185:$M$185,0,Q$199+1)-INDEX($E$185:$M$185,0,Q$199))+P207)))</f>
        <v>0.62888953865325536</v>
      </c>
      <c r="R207" s="186" cm="1">
        <f t="array" ref="R207">IF(R$199=-1,S207,IF(R$199=99,Q207,IF(R$199=0,INDEX($E193:$M193,0,R$197),(INDEX($E193:$M193,0,R$199+1)-INDEX($E193:$M193,0,R$199))/(INDEX($E$185:$M$185,0,R$199+1)-INDEX($E$185:$M$185,0,R$199))+Q207)))</f>
        <v>0.64854136839212595</v>
      </c>
      <c r="S207" s="186" cm="1">
        <f t="array" ref="S207">IF(S$199=-1,T207,IF(S$199=99,R207,IF(S$199=0,INDEX($E193:$M193,0,S$197),(INDEX($E193:$M193,0,S$199+1)-INDEX($E193:$M193,0,S$199))/(INDEX($E$185:$M$185,0,S$199+1)-INDEX($E$185:$M$185,0,S$199))+R207)))</f>
        <v>0.67405613843991108</v>
      </c>
      <c r="T207" s="186" cm="1">
        <f t="array" ref="T207">IF(T$199=-1,U207,IF(T$199=99,S207,IF(T$199=0,INDEX($E193:$M193,0,T$197),(INDEX($E193:$M193,0,T$199+1)-INDEX($E193:$M193,0,T$199))/(INDEX($E$185:$M$185,0,T$199+1)-INDEX($E$185:$M$185,0,T$199))+S207)))</f>
        <v>0.6995709084876961</v>
      </c>
      <c r="U207" s="186" cm="1">
        <f t="array" ref="U207">IF(U$199=-1,V207,IF(U$199=99,T207,IF(U$199=0,INDEX($E193:$M193,0,U$197),(INDEX($E193:$M193,0,U$199+1)-INDEX($E193:$M193,0,U$199))/(INDEX($E$185:$M$185,0,U$199+1)-INDEX($E$185:$M$185,0,U$199))+T207)))</f>
        <v>0.6476760572601008</v>
      </c>
      <c r="V207" s="186" cm="1">
        <f t="array" ref="V207">IF(V$199=-1,W207,IF(V$199=99,U207,IF(V$199=0,INDEX($E193:$M193,0,V$197),(INDEX($E193:$M193,0,V$199+1)-INDEX($E193:$M193,0,V$199))/(INDEX($E$185:$M$185,0,V$199+1)-INDEX($E$185:$M$185,0,V$199))+U207)))</f>
        <v>0.64850440608752602</v>
      </c>
      <c r="W207" s="186" cm="1">
        <f t="array" ref="W207">IF(W$199=-1,X207,IF(W$199=99,V207,IF(W$199=0,INDEX($E193:$M193,0,W$197),(INDEX($E193:$M193,0,W$199+1)-INDEX($E193:$M193,0,W$199))/(INDEX($E$185:$M$185,0,W$199+1)-INDEX($E$185:$M$185,0,W$199))+V207)))</f>
        <v>0.66993665073337072</v>
      </c>
      <c r="X207" s="186" cm="1">
        <f t="array" ref="X207">IF(X$199=-1,Y207,IF(X$199=99,W207,IF(X$199=0,INDEX($E193:$M193,0,X$197),(INDEX($E193:$M193,0,X$199+1)-INDEX($E193:$M193,0,X$199))/(INDEX($E$185:$M$185,0,X$199+1)-INDEX($E$185:$M$185,0,X$199))+W207)))</f>
        <v>0.69136889537921542</v>
      </c>
      <c r="Y207" s="186" cm="1">
        <f t="array" ref="Y207">IF(Y$199=-1,Z207,IF(Y$199=99,X207,IF(Y$199=0,INDEX($E193:$M193,0,Y$197),(INDEX($E193:$M193,0,Y$199+1)-INDEX($E193:$M193,0,Y$199))/(INDEX($E$185:$M$185,0,Y$199+1)-INDEX($E$185:$M$185,0,Y$199))+X207)))</f>
        <v>0.71280114002506012</v>
      </c>
      <c r="Z207" s="186" cm="1">
        <f t="array" ref="Z207">IF(Z$199=-1,AA207,IF(Z$199=99,Y207,IF(Z$199=0,INDEX($E193:$M193,0,Z$197),(INDEX($E193:$M193,0,Z$199+1)-INDEX($E193:$M193,0,Z$199))/(INDEX($E$185:$M$185,0,Z$199+1)-INDEX($E$185:$M$185,0,Z$199))+Y207)))</f>
        <v>0.73423338467090482</v>
      </c>
      <c r="AA207" s="186" cm="1">
        <f t="array" ref="AA207">IF(AA$199=-1,AB207,IF(AA$199=99,Z207,IF(AA$199=0,INDEX($E193:$M193,0,AA$197),(INDEX($E193:$M193,0,AA$199+1)-INDEX($E193:$M193,0,AA$199))/(INDEX($E$185:$M$185,0,AA$199+1)-INDEX($E$185:$M$185,0,AA$199))+Z207)))</f>
        <v>0.75566562931674952</v>
      </c>
      <c r="AB207" s="186" cm="1">
        <f t="array" ref="AB207">IF(AB$199=-1,AC207,IF(AB$199=99,AA207,IF(AB$199=0,INDEX($E193:$M193,0,AB$197),(INDEX($E193:$M193,0,AB$199+1)-INDEX($E193:$M193,0,AB$199))/(INDEX($E$185:$M$185,0,AB$199+1)-INDEX($E$185:$M$185,0,AB$199))+AA207)))</f>
        <v>0.77709787396259422</v>
      </c>
      <c r="AC207" s="186" cm="1">
        <f t="array" ref="AC207">IF(AC$199=-1,AD207,IF(AC$199=99,AB207,IF(AC$199=0,INDEX($E193:$M193,0,AC$197),(INDEX($E193:$M193,0,AC$199+1)-INDEX($E193:$M193,0,AC$199))/(INDEX($E$185:$M$185,0,AC$199+1)-INDEX($E$185:$M$185,0,AC$199))+AB207)))</f>
        <v>0.79853011860843892</v>
      </c>
      <c r="AD207" s="186" cm="1">
        <f t="array" ref="AD207">IF(AD$199=-1,AE207,IF(AD$199=99,AC207,IF(AD$199=0,INDEX($E193:$M193,0,AD$197),(INDEX($E193:$M193,0,AD$199+1)-INDEX($E193:$M193,0,AD$199))/(INDEX($E$185:$M$185,0,AD$199+1)-INDEX($E$185:$M$185,0,AD$199))+AC207)))</f>
        <v>0.81996236325428362</v>
      </c>
      <c r="AE207" s="186" cm="1">
        <f t="array" ref="AE207">IF(AE$199=-1,AF207,IF(AE$199=99,AD207,IF(AE$199=0,INDEX($E193:$M193,0,AE$197),(INDEX($E193:$M193,0,AE$199+1)-INDEX($E193:$M193,0,AE$199))/(INDEX($E$185:$M$185,0,AE$199+1)-INDEX($E$185:$M$185,0,AE$199))+AD207)))</f>
        <v>0.84139460790012854</v>
      </c>
      <c r="AF207" s="186" cm="1">
        <f t="array" ref="AF207">IF(AF$199=-1,AG207,IF(AF$199=99,AE207,IF(AF$199=0,INDEX($E193:$M193,0,AF$197),(INDEX($E193:$M193,0,AF$199+1)-INDEX($E193:$M193,0,AF$199))/(INDEX($E$185:$M$185,0,AF$199+1)-INDEX($E$185:$M$185,0,AF$199))+AE207)))</f>
        <v>0.86187201494465981</v>
      </c>
      <c r="AG207" s="186" cm="1">
        <f t="array" ref="AG207">IF(AG$199=-1,AH207,IF(AG$199=99,AF207,IF(AG$199=0,INDEX($E193:$M193,0,AG$197),(INDEX($E193:$M193,0,AG$199+1)-INDEX($E193:$M193,0,AG$199))/(INDEX($E$185:$M$185,0,AG$199+1)-INDEX($E$185:$M$185,0,AG$199))+AF207)))</f>
        <v>0.88234942198919109</v>
      </c>
      <c r="AH207" s="186" cm="1">
        <f t="array" ref="AH207">IF(AH$199=-1,AI207,IF(AH$199=99,AG207,IF(AH$199=0,INDEX($E193:$M193,0,AH$197),(INDEX($E193:$M193,0,AH$199+1)-INDEX($E193:$M193,0,AH$199))/(INDEX($E$185:$M$185,0,AH$199+1)-INDEX($E$185:$M$185,0,AH$199))+AG207)))</f>
        <v>0.90282682903372236</v>
      </c>
      <c r="AI207" s="186" cm="1">
        <f t="array" ref="AI207">IF(AI$199=-1,AJ207,IF(AI$199=99,AH207,IF(AI$199=0,INDEX($E193:$M193,0,AI$197),(INDEX($E193:$M193,0,AI$199+1)-INDEX($E193:$M193,0,AI$199))/(INDEX($E$185:$M$185,0,AI$199+1)-INDEX($E$185:$M$185,0,AI$199))+AH207)))</f>
        <v>0.92330423607825363</v>
      </c>
      <c r="AJ207" s="186" cm="1">
        <f t="array" ref="AJ207">IF(AJ$199=-1,AK207,IF(AJ$199=99,AI207,IF(AJ$199=0,INDEX($E193:$M193,0,AJ$197),(INDEX($E193:$M193,0,AJ$199+1)-INDEX($E193:$M193,0,AJ$199))/(INDEX($E$185:$M$185,0,AJ$199+1)-INDEX($E$185:$M$185,0,AJ$199))+AI207)))</f>
        <v>0.9437816431227849</v>
      </c>
      <c r="AK207" s="186" cm="1">
        <f t="array" ref="AK207">IF(AK$199=-1,AL207,IF(AK$199=99,AJ207,IF(AK$199=0,INDEX($E193:$M193,0,AK$197),(INDEX($E193:$M193,0,AK$199+1)-INDEX($E193:$M193,0,AK$199))/(INDEX($E$185:$M$185,0,AK$199+1)-INDEX($E$185:$M$185,0,AK$199))+AJ207)))</f>
        <v>0.96425905016731617</v>
      </c>
      <c r="AL207" s="186" cm="1">
        <f t="array" ref="AL207">IF(AL$199=-1,AM207,IF(AL$199=99,AK207,IF(AL$199=0,INDEX($E193:$M193,0,AL$197),(INDEX($E193:$M193,0,AL$199+1)-INDEX($E193:$M193,0,AL$199))/(INDEX($E$185:$M$185,0,AL$199+1)-INDEX($E$185:$M$185,0,AL$199))+AK207)))</f>
        <v>0.98473645721184744</v>
      </c>
      <c r="AM207" s="186" cm="1">
        <f t="array" ref="AM207">IF(AM$199=-1,AN207,IF(AM$199=99,AL207,IF(AM$199=0,INDEX($E193:$M193,0,AM$197),(INDEX($E193:$M193,0,AM$199+1)-INDEX($E193:$M193,0,AM$199))/(INDEX($E$185:$M$185,0,AM$199+1)-INDEX($E$185:$M$185,0,AM$199))+AL207)))</f>
        <v>1.0052138642563788</v>
      </c>
      <c r="AN207" s="186" cm="1">
        <f t="array" ref="AN207">IF(AN$199=-1,AO207,IF(AN$199=99,AM207,IF(AN$199=0,INDEX($E193:$M193,0,AN$197),(INDEX($E193:$M193,0,AN$199+1)-INDEX($E193:$M193,0,AN$199))/(INDEX($E$185:$M$185,0,AN$199+1)-INDEX($E$185:$M$185,0,AN$199))+AM207)))</f>
        <v>1.0256912713009101</v>
      </c>
      <c r="AO207" s="186" cm="1">
        <f t="array" ref="AO207">IF(AO$199=-1,AP207,IF(AO$199=99,AN207,IF(AO$199=0,INDEX($E193:$M193,0,AO$197),(INDEX($E193:$M193,0,AO$199+1)-INDEX($E193:$M193,0,AO$199))/(INDEX($E$185:$M$185,0,AO$199+1)-INDEX($E$185:$M$185,0,AO$199))+AN207)))</f>
        <v>1.0461686783454414</v>
      </c>
      <c r="AP207" s="186" cm="1">
        <f t="array" ref="AP207">IF(AP$199=-1,AQ207,IF(AP$199=99,AO207,IF(AP$199=0,INDEX($E193:$M193,0,AP$197),(INDEX($E193:$M193,0,AP$199+1)-INDEX($E193:$M193,0,AP$199))/(INDEX($E$185:$M$185,0,AP$199+1)-INDEX($E$185:$M$185,0,AP$199))+AO207)))</f>
        <v>1.0657891950327991</v>
      </c>
      <c r="AQ207" s="186" cm="1">
        <f t="array" ref="AQ207">IF(AQ$199=-1,AR207,IF(AQ$199=99,AP207,IF(AQ$199=0,INDEX($E193:$M193,0,AQ$197),(INDEX($E193:$M193,0,AQ$199+1)-INDEX($E193:$M193,0,AQ$199))/(INDEX($E$185:$M$185,0,AQ$199+1)-INDEX($E$185:$M$185,0,AQ$199))+AP207)))</f>
        <v>1.2423738452190181</v>
      </c>
      <c r="AR207" s="186" cm="1">
        <f t="array" ref="AR207">IF(AR$199=-1,AS207,IF(AR$199=99,AQ207,IF(AR$199=0,INDEX($E193:$M193,0,AR$197),(INDEX($E193:$M193,0,AR$199+1)-INDEX($E193:$M193,0,AR$199))/(INDEX($E$185:$M$185,0,AR$199+1)-INDEX($E$185:$M$185,0,AR$199))+AQ207)))</f>
        <v>1.2423738452190181</v>
      </c>
      <c r="AS207" s="186" cm="1">
        <f t="array" ref="AS207">IF(AS$199=-1,#REF!,IF(AS$199=99,AR207,IF(AS$199=0,INDEX($E193:$M193,0,AS$197),(INDEX($E193:$M193,0,AS$199+1)-INDEX($E193:$M193,0,AS$199))/(INDEX($E$185:$M$185,0,AS$199+1)-INDEX($E$185:$M$185,0,AS$199))+AR207)))</f>
        <v>1.2423738452190181</v>
      </c>
      <c r="AT207" s="186"/>
      <c r="AW207" s="186"/>
      <c r="AX207" s="186"/>
      <c r="BH207" s="186">
        <f t="shared" si="591"/>
        <v>0.53459848266953358</v>
      </c>
      <c r="BI207" s="109" t="e">
        <f t="shared" si="592"/>
        <v>#DIV/0!</v>
      </c>
    </row>
    <row r="208" spans="1:61">
      <c r="A208" s="185" t="s">
        <v>16</v>
      </c>
      <c r="G208" s="186"/>
      <c r="H208" s="186"/>
      <c r="I208" s="186"/>
      <c r="L208" s="186"/>
      <c r="M208" s="40"/>
      <c r="N208" s="233"/>
    </row>
    <row r="209" spans="1:58" s="322" customFormat="1" ht="23.25">
      <c r="A209" s="185" t="s">
        <v>16</v>
      </c>
      <c r="B209" s="16" t="s">
        <v>19</v>
      </c>
      <c r="C209" s="16" t="s">
        <v>20</v>
      </c>
      <c r="D209" s="16" t="s">
        <v>21</v>
      </c>
      <c r="E209" s="16" t="s">
        <v>22</v>
      </c>
      <c r="F209" s="16" t="s">
        <v>23</v>
      </c>
      <c r="G209" s="16" t="s">
        <v>24</v>
      </c>
      <c r="H209" s="16" t="s">
        <v>614</v>
      </c>
      <c r="I209" s="16" t="s">
        <v>644</v>
      </c>
      <c r="J209" s="16" t="s">
        <v>645</v>
      </c>
      <c r="K209" s="17" t="s">
        <v>25</v>
      </c>
      <c r="L209" s="186"/>
      <c r="M209" s="187"/>
      <c r="N209" s="233"/>
    </row>
    <row r="210" spans="1:58" s="322" customFormat="1">
      <c r="A210" s="114" t="s">
        <v>16</v>
      </c>
      <c r="B210" s="191">
        <v>1</v>
      </c>
      <c r="C210" s="191">
        <v>2012</v>
      </c>
      <c r="D210" s="191">
        <f>F4</f>
        <v>2015</v>
      </c>
      <c r="E210" s="191">
        <v>2017</v>
      </c>
      <c r="F210" s="191">
        <v>2019</v>
      </c>
      <c r="G210" s="191">
        <v>2020</v>
      </c>
      <c r="H210" s="191">
        <v>2021</v>
      </c>
      <c r="I210" s="191">
        <v>2030</v>
      </c>
      <c r="J210" s="191">
        <v>2040</v>
      </c>
      <c r="K210" s="236">
        <v>2050</v>
      </c>
      <c r="L210" s="186"/>
      <c r="M210" s="187"/>
      <c r="N210" s="233"/>
    </row>
    <row r="211" spans="1:58" s="322" customFormat="1">
      <c r="A211" s="40" t="s">
        <v>16</v>
      </c>
      <c r="B211" s="185">
        <v>0</v>
      </c>
      <c r="C211" s="185" cm="1">
        <f t="array" ref="C211">INDEX($C210:$K210,0,COUNT($C210:$K210)-C212)</f>
        <v>2050</v>
      </c>
      <c r="D211" s="281" cm="1">
        <f t="array" ref="D211">INDEX($C210:$K210,0,COUNT($C210:$K210)-D212)</f>
        <v>2040</v>
      </c>
      <c r="E211" s="281" cm="1">
        <f t="array" ref="E211">INDEX($C210:$K210,0,COUNT($C210:$K210)-E212)</f>
        <v>2030</v>
      </c>
      <c r="F211" s="281" cm="1">
        <f t="array" ref="F211">INDEX($C210:$K210,0,COUNT($C210:$K210)-F212)</f>
        <v>2021</v>
      </c>
      <c r="G211" s="281" cm="1">
        <f t="array" ref="G211">INDEX($C210:$K210,0,COUNT($C210:$K210)-G212)</f>
        <v>2020</v>
      </c>
      <c r="H211" s="281" cm="1">
        <f t="array" ref="H211">INDEX($C210:$K210,0,COUNT($C210:$K210)-H212)</f>
        <v>2019</v>
      </c>
      <c r="I211" s="281" cm="1">
        <f t="array" ref="I211">INDEX($C210:$K210,0,COUNT($C210:$K210)-I212)</f>
        <v>2017</v>
      </c>
      <c r="J211" s="281" cm="1">
        <f t="array" ref="J211">INDEX($C210:$K210,0,COUNT($C210:$K210)-J212)</f>
        <v>2015</v>
      </c>
      <c r="K211" s="281" cm="1">
        <f t="array" ref="K211">INDEX($C210:$K210,0,COUNT($C210:$K210)-K212)</f>
        <v>2012</v>
      </c>
      <c r="L211" s="186"/>
      <c r="M211" s="187"/>
      <c r="N211" s="233"/>
    </row>
    <row r="212" spans="1:58" s="322" customFormat="1">
      <c r="A212" s="40" t="s">
        <v>16</v>
      </c>
      <c r="B212" s="185">
        <v>-1</v>
      </c>
      <c r="C212" s="185">
        <v>0</v>
      </c>
      <c r="D212" s="281">
        <v>1</v>
      </c>
      <c r="E212" s="281">
        <v>2</v>
      </c>
      <c r="F212" s="281">
        <v>3</v>
      </c>
      <c r="G212" s="281">
        <v>4</v>
      </c>
      <c r="H212" s="281">
        <v>5</v>
      </c>
      <c r="I212" s="281">
        <v>6</v>
      </c>
      <c r="J212" s="281">
        <v>7</v>
      </c>
      <c r="K212" s="281">
        <v>8</v>
      </c>
      <c r="L212" s="186"/>
      <c r="M212" s="187"/>
      <c r="N212" s="233"/>
    </row>
    <row r="213" spans="1:58" s="322" customFormat="1">
      <c r="A213" s="116" t="s">
        <v>16</v>
      </c>
      <c r="B213" s="117"/>
      <c r="C213" s="117"/>
      <c r="D213" s="117"/>
      <c r="E213" s="117"/>
      <c r="F213" s="117"/>
      <c r="G213" s="117"/>
      <c r="H213" s="117"/>
      <c r="I213" s="117"/>
      <c r="J213" s="117"/>
      <c r="K213" s="122"/>
      <c r="L213" s="186"/>
      <c r="M213" s="187"/>
      <c r="N213" s="233"/>
    </row>
    <row r="214" spans="1:58">
      <c r="A214" s="116" t="s">
        <v>16</v>
      </c>
      <c r="J214" s="18">
        <v>2012</v>
      </c>
      <c r="K214" s="18">
        <f t="shared" ref="K214:AL214" si="593">1+J214</f>
        <v>2013</v>
      </c>
      <c r="L214" s="18">
        <f t="shared" si="593"/>
        <v>2014</v>
      </c>
      <c r="M214" s="18">
        <f t="shared" si="593"/>
        <v>2015</v>
      </c>
      <c r="N214" s="18">
        <f t="shared" si="593"/>
        <v>2016</v>
      </c>
      <c r="O214" s="18">
        <f t="shared" si="593"/>
        <v>2017</v>
      </c>
      <c r="P214" s="18">
        <f t="shared" si="593"/>
        <v>2018</v>
      </c>
      <c r="Q214" s="18">
        <f t="shared" si="593"/>
        <v>2019</v>
      </c>
      <c r="R214" s="18">
        <f t="shared" si="593"/>
        <v>2020</v>
      </c>
      <c r="S214" s="18">
        <f t="shared" si="593"/>
        <v>2021</v>
      </c>
      <c r="T214" s="18">
        <f t="shared" si="593"/>
        <v>2022</v>
      </c>
      <c r="U214" s="18">
        <f t="shared" si="593"/>
        <v>2023</v>
      </c>
      <c r="V214" s="18">
        <f t="shared" si="593"/>
        <v>2024</v>
      </c>
      <c r="W214" s="18">
        <f t="shared" si="593"/>
        <v>2025</v>
      </c>
      <c r="X214" s="18">
        <f t="shared" si="593"/>
        <v>2026</v>
      </c>
      <c r="Y214" s="18">
        <f t="shared" si="593"/>
        <v>2027</v>
      </c>
      <c r="Z214" s="18">
        <f t="shared" si="593"/>
        <v>2028</v>
      </c>
      <c r="AA214" s="18">
        <f t="shared" si="593"/>
        <v>2029</v>
      </c>
      <c r="AB214" s="18">
        <f t="shared" si="593"/>
        <v>2030</v>
      </c>
      <c r="AC214" s="18">
        <f t="shared" si="593"/>
        <v>2031</v>
      </c>
      <c r="AD214" s="18">
        <f t="shared" si="593"/>
        <v>2032</v>
      </c>
      <c r="AE214" s="18">
        <f t="shared" si="593"/>
        <v>2033</v>
      </c>
      <c r="AF214" s="18">
        <f t="shared" si="593"/>
        <v>2034</v>
      </c>
      <c r="AG214" s="18">
        <f t="shared" si="593"/>
        <v>2035</v>
      </c>
      <c r="AH214" s="18">
        <f t="shared" si="593"/>
        <v>2036</v>
      </c>
      <c r="AI214" s="18">
        <f t="shared" si="593"/>
        <v>2037</v>
      </c>
      <c r="AJ214" s="18">
        <f t="shared" si="593"/>
        <v>2038</v>
      </c>
      <c r="AK214" s="18">
        <f t="shared" si="593"/>
        <v>2039</v>
      </c>
      <c r="AL214" s="18">
        <f t="shared" si="593"/>
        <v>2040</v>
      </c>
      <c r="AM214" s="18">
        <v>2045</v>
      </c>
      <c r="AN214" s="18">
        <v>2050</v>
      </c>
      <c r="AO214" s="18">
        <v>2060</v>
      </c>
      <c r="AP214" s="18">
        <v>2070</v>
      </c>
      <c r="AQ214" s="18"/>
      <c r="AT214" s="18"/>
      <c r="AU214" s="18"/>
      <c r="BE214" s="18">
        <v>2012</v>
      </c>
      <c r="BF214" s="18"/>
    </row>
    <row r="215" spans="1:58" s="191" customFormat="1">
      <c r="A215" s="116" t="s">
        <v>16</v>
      </c>
      <c r="J215" s="114">
        <f t="shared" ref="J215:AP215" si="594">MATCH(J$214,$C$210:$K$210,$B210)</f>
        <v>1</v>
      </c>
      <c r="K215" s="191">
        <f t="shared" si="594"/>
        <v>1</v>
      </c>
      <c r="L215" s="191">
        <f t="shared" si="594"/>
        <v>1</v>
      </c>
      <c r="M215" s="191">
        <f t="shared" si="594"/>
        <v>2</v>
      </c>
      <c r="N215" s="191">
        <f t="shared" si="594"/>
        <v>2</v>
      </c>
      <c r="O215" s="191">
        <f t="shared" si="594"/>
        <v>3</v>
      </c>
      <c r="P215" s="191">
        <f t="shared" si="594"/>
        <v>3</v>
      </c>
      <c r="Q215" s="191">
        <f t="shared" si="594"/>
        <v>4</v>
      </c>
      <c r="R215" s="191">
        <f t="shared" si="594"/>
        <v>5</v>
      </c>
      <c r="S215" s="191">
        <f t="shared" si="594"/>
        <v>6</v>
      </c>
      <c r="T215" s="191">
        <f t="shared" si="594"/>
        <v>6</v>
      </c>
      <c r="U215" s="191">
        <f t="shared" si="594"/>
        <v>6</v>
      </c>
      <c r="V215" s="191">
        <f t="shared" si="594"/>
        <v>6</v>
      </c>
      <c r="W215" s="191">
        <f t="shared" si="594"/>
        <v>6</v>
      </c>
      <c r="X215" s="191">
        <f t="shared" si="594"/>
        <v>6</v>
      </c>
      <c r="Y215" s="191">
        <f t="shared" si="594"/>
        <v>6</v>
      </c>
      <c r="Z215" s="191">
        <f t="shared" si="594"/>
        <v>6</v>
      </c>
      <c r="AA215" s="191">
        <f t="shared" si="594"/>
        <v>6</v>
      </c>
      <c r="AB215" s="191">
        <f t="shared" si="594"/>
        <v>7</v>
      </c>
      <c r="AC215" s="191">
        <f t="shared" si="594"/>
        <v>7</v>
      </c>
      <c r="AD215" s="191">
        <f t="shared" si="594"/>
        <v>7</v>
      </c>
      <c r="AE215" s="191">
        <f t="shared" si="594"/>
        <v>7</v>
      </c>
      <c r="AF215" s="191">
        <f t="shared" si="594"/>
        <v>7</v>
      </c>
      <c r="AG215" s="191">
        <f t="shared" si="594"/>
        <v>7</v>
      </c>
      <c r="AH215" s="191">
        <f t="shared" si="594"/>
        <v>7</v>
      </c>
      <c r="AI215" s="191">
        <f t="shared" si="594"/>
        <v>7</v>
      </c>
      <c r="AJ215" s="191">
        <f t="shared" si="594"/>
        <v>7</v>
      </c>
      <c r="AK215" s="191">
        <f t="shared" si="594"/>
        <v>7</v>
      </c>
      <c r="AL215" s="191">
        <f t="shared" si="594"/>
        <v>8</v>
      </c>
      <c r="AM215" s="191">
        <f t="shared" si="594"/>
        <v>8</v>
      </c>
      <c r="AN215" s="191">
        <f t="shared" si="594"/>
        <v>9</v>
      </c>
      <c r="AO215" s="191">
        <f t="shared" si="594"/>
        <v>9</v>
      </c>
      <c r="AP215" s="191">
        <f t="shared" si="594"/>
        <v>9</v>
      </c>
      <c r="BE215" s="114">
        <f>MATCH(BE$214,$C$210:$K$210,$B210)</f>
        <v>1</v>
      </c>
    </row>
    <row r="216" spans="1:58">
      <c r="A216" s="116" t="s">
        <v>16</v>
      </c>
      <c r="J216" s="40">
        <f t="shared" ref="J216:AP216" si="595">MATCH(J$214,$C$210:$K$210,$B211)</f>
        <v>1</v>
      </c>
      <c r="K216" s="185" t="e">
        <f t="shared" si="595"/>
        <v>#N/A</v>
      </c>
      <c r="L216" s="185" t="e">
        <f t="shared" si="595"/>
        <v>#N/A</v>
      </c>
      <c r="M216" s="185">
        <f t="shared" si="595"/>
        <v>2</v>
      </c>
      <c r="N216" s="185" t="e">
        <f t="shared" si="595"/>
        <v>#N/A</v>
      </c>
      <c r="O216" s="185">
        <f t="shared" si="595"/>
        <v>3</v>
      </c>
      <c r="P216" s="185" t="e">
        <f t="shared" si="595"/>
        <v>#N/A</v>
      </c>
      <c r="Q216" s="185">
        <f t="shared" si="595"/>
        <v>4</v>
      </c>
      <c r="R216" s="185">
        <f t="shared" si="595"/>
        <v>5</v>
      </c>
      <c r="S216" s="185">
        <f t="shared" si="595"/>
        <v>6</v>
      </c>
      <c r="T216" s="185" t="e">
        <f t="shared" si="595"/>
        <v>#N/A</v>
      </c>
      <c r="U216" s="185" t="e">
        <f t="shared" si="595"/>
        <v>#N/A</v>
      </c>
      <c r="V216" s="185" t="e">
        <f t="shared" si="595"/>
        <v>#N/A</v>
      </c>
      <c r="W216" s="185" t="e">
        <f t="shared" si="595"/>
        <v>#N/A</v>
      </c>
      <c r="X216" s="185" t="e">
        <f t="shared" si="595"/>
        <v>#N/A</v>
      </c>
      <c r="Y216" s="185" t="e">
        <f t="shared" si="595"/>
        <v>#N/A</v>
      </c>
      <c r="Z216" s="185" t="e">
        <f t="shared" si="595"/>
        <v>#N/A</v>
      </c>
      <c r="AA216" s="185" t="e">
        <f t="shared" si="595"/>
        <v>#N/A</v>
      </c>
      <c r="AB216" s="185">
        <f t="shared" si="595"/>
        <v>7</v>
      </c>
      <c r="AC216" s="185" t="e">
        <f t="shared" si="595"/>
        <v>#N/A</v>
      </c>
      <c r="AD216" s="185" t="e">
        <f t="shared" si="595"/>
        <v>#N/A</v>
      </c>
      <c r="AE216" s="185" t="e">
        <f t="shared" si="595"/>
        <v>#N/A</v>
      </c>
      <c r="AF216" s="185" t="e">
        <f t="shared" si="595"/>
        <v>#N/A</v>
      </c>
      <c r="AG216" s="185" t="e">
        <f t="shared" si="595"/>
        <v>#N/A</v>
      </c>
      <c r="AH216" s="185" t="e">
        <f t="shared" si="595"/>
        <v>#N/A</v>
      </c>
      <c r="AI216" s="185" t="e">
        <f t="shared" si="595"/>
        <v>#N/A</v>
      </c>
      <c r="AJ216" s="185" t="e">
        <f t="shared" si="595"/>
        <v>#N/A</v>
      </c>
      <c r="AK216" s="185" t="e">
        <f t="shared" si="595"/>
        <v>#N/A</v>
      </c>
      <c r="AL216" s="185">
        <f t="shared" si="595"/>
        <v>8</v>
      </c>
      <c r="AM216" s="185" t="e">
        <f t="shared" si="595"/>
        <v>#N/A</v>
      </c>
      <c r="AN216" s="185">
        <f t="shared" si="595"/>
        <v>9</v>
      </c>
      <c r="AO216" s="185" t="e">
        <f t="shared" si="595"/>
        <v>#N/A</v>
      </c>
      <c r="AP216" s="185" t="e">
        <f t="shared" si="595"/>
        <v>#N/A</v>
      </c>
      <c r="BE216" s="40">
        <f>MATCH(BE$214,$C$210:$K$210,$B211)</f>
        <v>1</v>
      </c>
    </row>
    <row r="217" spans="1:58">
      <c r="A217" s="116" t="s">
        <v>16</v>
      </c>
      <c r="J217" s="185">
        <f t="shared" ref="J217:AP217" si="596">MATCH(J$214,$C$211:$K$211,$B212)</f>
        <v>9</v>
      </c>
      <c r="K217" s="185">
        <f t="shared" si="596"/>
        <v>8</v>
      </c>
      <c r="L217" s="185">
        <f t="shared" si="596"/>
        <v>8</v>
      </c>
      <c r="M217" s="185">
        <f t="shared" si="596"/>
        <v>8</v>
      </c>
      <c r="N217" s="185">
        <f t="shared" si="596"/>
        <v>7</v>
      </c>
      <c r="O217" s="185">
        <f t="shared" si="596"/>
        <v>7</v>
      </c>
      <c r="P217" s="185">
        <f t="shared" si="596"/>
        <v>6</v>
      </c>
      <c r="Q217" s="185">
        <f t="shared" si="596"/>
        <v>6</v>
      </c>
      <c r="R217" s="185">
        <f t="shared" si="596"/>
        <v>5</v>
      </c>
      <c r="S217" s="185">
        <f t="shared" si="596"/>
        <v>4</v>
      </c>
      <c r="T217" s="185">
        <f t="shared" si="596"/>
        <v>3</v>
      </c>
      <c r="U217" s="185">
        <f t="shared" si="596"/>
        <v>3</v>
      </c>
      <c r="V217" s="185">
        <f t="shared" si="596"/>
        <v>3</v>
      </c>
      <c r="W217" s="185">
        <f t="shared" si="596"/>
        <v>3</v>
      </c>
      <c r="X217" s="185">
        <f t="shared" si="596"/>
        <v>3</v>
      </c>
      <c r="Y217" s="185">
        <f t="shared" si="596"/>
        <v>3</v>
      </c>
      <c r="Z217" s="185">
        <f t="shared" si="596"/>
        <v>3</v>
      </c>
      <c r="AA217" s="185">
        <f t="shared" si="596"/>
        <v>3</v>
      </c>
      <c r="AB217" s="185">
        <f t="shared" si="596"/>
        <v>3</v>
      </c>
      <c r="AC217" s="185">
        <f t="shared" si="596"/>
        <v>2</v>
      </c>
      <c r="AD217" s="185">
        <f t="shared" si="596"/>
        <v>2</v>
      </c>
      <c r="AE217" s="185">
        <f t="shared" si="596"/>
        <v>2</v>
      </c>
      <c r="AF217" s="185">
        <f t="shared" si="596"/>
        <v>2</v>
      </c>
      <c r="AG217" s="185">
        <f t="shared" si="596"/>
        <v>2</v>
      </c>
      <c r="AH217" s="185">
        <f t="shared" si="596"/>
        <v>2</v>
      </c>
      <c r="AI217" s="185">
        <f t="shared" si="596"/>
        <v>2</v>
      </c>
      <c r="AJ217" s="185">
        <f t="shared" si="596"/>
        <v>2</v>
      </c>
      <c r="AK217" s="185">
        <f t="shared" si="596"/>
        <v>2</v>
      </c>
      <c r="AL217" s="185">
        <f t="shared" si="596"/>
        <v>2</v>
      </c>
      <c r="AM217" s="185">
        <f t="shared" si="596"/>
        <v>1</v>
      </c>
      <c r="AN217" s="185">
        <f t="shared" si="596"/>
        <v>1</v>
      </c>
      <c r="AO217" s="185" t="e">
        <f t="shared" si="596"/>
        <v>#N/A</v>
      </c>
      <c r="AP217" s="185" t="e">
        <f t="shared" si="596"/>
        <v>#N/A</v>
      </c>
      <c r="BE217" s="185">
        <f>MATCH(BE$214,$C$211:$K$211,$B212)</f>
        <v>9</v>
      </c>
    </row>
    <row r="218" spans="1:58" s="117" customFormat="1">
      <c r="A218" s="116" t="s">
        <v>16</v>
      </c>
      <c r="J218" s="189">
        <f t="shared" ref="J218:AP218" si="597">IF(ISNA(J215),-1,IF(ISNA(J217),99,IF(ISNA(J216),J215,0)))</f>
        <v>0</v>
      </c>
      <c r="K218" s="189">
        <f t="shared" si="597"/>
        <v>1</v>
      </c>
      <c r="L218" s="189">
        <f t="shared" si="597"/>
        <v>1</v>
      </c>
      <c r="M218" s="189">
        <f t="shared" si="597"/>
        <v>0</v>
      </c>
      <c r="N218" s="189">
        <f t="shared" si="597"/>
        <v>2</v>
      </c>
      <c r="O218" s="189">
        <f t="shared" si="597"/>
        <v>0</v>
      </c>
      <c r="P218" s="189">
        <f t="shared" si="597"/>
        <v>3</v>
      </c>
      <c r="Q218" s="189">
        <f t="shared" si="597"/>
        <v>0</v>
      </c>
      <c r="R218" s="189">
        <f t="shared" si="597"/>
        <v>0</v>
      </c>
      <c r="S218" s="189">
        <f t="shared" si="597"/>
        <v>0</v>
      </c>
      <c r="T218" s="189">
        <f t="shared" si="597"/>
        <v>6</v>
      </c>
      <c r="U218" s="189">
        <f t="shared" si="597"/>
        <v>6</v>
      </c>
      <c r="V218" s="189">
        <f t="shared" si="597"/>
        <v>6</v>
      </c>
      <c r="W218" s="189">
        <f t="shared" si="597"/>
        <v>6</v>
      </c>
      <c r="X218" s="189">
        <f t="shared" si="597"/>
        <v>6</v>
      </c>
      <c r="Y218" s="189">
        <f t="shared" si="597"/>
        <v>6</v>
      </c>
      <c r="Z218" s="189">
        <f t="shared" si="597"/>
        <v>6</v>
      </c>
      <c r="AA218" s="189">
        <f t="shared" si="597"/>
        <v>6</v>
      </c>
      <c r="AB218" s="189">
        <f t="shared" si="597"/>
        <v>0</v>
      </c>
      <c r="AC218" s="189">
        <f t="shared" si="597"/>
        <v>7</v>
      </c>
      <c r="AD218" s="189">
        <f t="shared" si="597"/>
        <v>7</v>
      </c>
      <c r="AE218" s="189">
        <f t="shared" si="597"/>
        <v>7</v>
      </c>
      <c r="AF218" s="189">
        <f t="shared" si="597"/>
        <v>7</v>
      </c>
      <c r="AG218" s="189">
        <f t="shared" si="597"/>
        <v>7</v>
      </c>
      <c r="AH218" s="189">
        <f t="shared" si="597"/>
        <v>7</v>
      </c>
      <c r="AI218" s="189">
        <f t="shared" si="597"/>
        <v>7</v>
      </c>
      <c r="AJ218" s="189">
        <f t="shared" si="597"/>
        <v>7</v>
      </c>
      <c r="AK218" s="189">
        <f t="shared" si="597"/>
        <v>7</v>
      </c>
      <c r="AL218" s="189">
        <f t="shared" si="597"/>
        <v>0</v>
      </c>
      <c r="AM218" s="189">
        <f t="shared" si="597"/>
        <v>8</v>
      </c>
      <c r="AN218" s="189">
        <f t="shared" si="597"/>
        <v>0</v>
      </c>
      <c r="AO218" s="189">
        <f t="shared" si="597"/>
        <v>99</v>
      </c>
      <c r="AP218" s="189">
        <f t="shared" si="597"/>
        <v>99</v>
      </c>
      <c r="AQ218" s="189"/>
      <c r="AT218" s="189"/>
      <c r="AU218" s="189"/>
      <c r="BE218" s="189">
        <f>IF(ISNA(BE215),-1,IF(ISNA(BE217),99,IF(ISNA(BE216),BE215,0)))</f>
        <v>0</v>
      </c>
      <c r="BF218" s="189"/>
    </row>
    <row r="219" spans="1:58">
      <c r="B219" s="22" t="str">
        <f t="shared" ref="B219:B226" si="598">IF(A219="*","","COM_PROJ")</f>
        <v>COM_PROJ</v>
      </c>
      <c r="C219" s="23" t="str">
        <f t="shared" ref="C219:C226" si="599">IF($A219="*","","-")</f>
        <v>-</v>
      </c>
      <c r="D219" s="57" t="str">
        <f t="shared" ref="D219:D226" si="600">B186</f>
        <v>TPPRCAR</v>
      </c>
      <c r="E219" s="23" t="str">
        <f t="shared" ref="E219:H226" si="601">IF($A219="*","","-")</f>
        <v>-</v>
      </c>
      <c r="F219" s="23" t="str">
        <f t="shared" si="601"/>
        <v>-</v>
      </c>
      <c r="G219" s="23" t="str">
        <f t="shared" si="601"/>
        <v>-</v>
      </c>
      <c r="H219" s="23" t="str">
        <f t="shared" si="601"/>
        <v>-</v>
      </c>
      <c r="I219" s="22">
        <f t="shared" ref="I219:I226" si="602">IF(A219="*","",0)</f>
        <v>0</v>
      </c>
      <c r="J219" s="186" cm="1">
        <f t="array" ref="J219">IF(J$218=-1,K219,IF(J$218=99,BD219,IF(J$218=0,INDEX($E186:$M186,0,J$216),(INDEX($E186:$M186,0,J$218+1)-INDEX($E186:$M186,0,J$218))/(INDEX($E$185:$M$185,0,J$218+1)-INDEX($E$185:$M$185,0,J$218))+BD219)))</f>
        <v>77.614189675901358</v>
      </c>
      <c r="K219" s="186" cm="1">
        <f t="array" ref="K219">IF(K$218=-1,L219,IF(K$218=99,BE219,IF(K$218=0,INDEX($E186:$M186,0,K$216),(INDEX($E186:$M186,0,K$218+1)-INDEX($E186:$M186,0,K$218))/(INDEX($E$185:$M$185,0,K$218+1)-INDEX($E$185:$M$185,0,K$218))+BE219)))</f>
        <v>78.66974968553842</v>
      </c>
      <c r="L219" s="186" cm="1">
        <f t="array" ref="L219">IF(L$218=-1,M219,IF(L$218=99,K219,IF(L$218=0,INDEX($E186:$M186,0,L$216),(INDEX($E186:$M186,0,L$218+1)-INDEX($E186:$M186,0,L$218))/(INDEX($E$185:$M$185,0,L$218+1)-INDEX($E$185:$M$185,0,L$218))+K219)))</f>
        <v>79.725309695175483</v>
      </c>
      <c r="M219" s="186" cm="1">
        <f t="array" ref="M219">IF(M$218=-1,N219,IF(M$218=99,L219,IF(M$218=0,INDEX($E186:$M186,0,M$216),(INDEX($E186:$M186,0,M$218+1)-INDEX($E186:$M186,0,M$218))/(INDEX($E$185:$M$185,0,M$218+1)-INDEX($E$185:$M$185,0,M$218))+L219)))</f>
        <v>80.780869704812559</v>
      </c>
      <c r="N219" s="186" cm="1">
        <f t="array" ref="N219">IF(N$218=-1,O219,IF(N$218=99,M219,IF(N$218=0,INDEX($E186:$M186,0,N$216),(INDEX($E186:$M186,0,N$218+1)-INDEX($E186:$M186,0,N$218))/(INDEX($E$185:$M$185,0,N$218+1)-INDEX($E$185:$M$185,0,N$218))+M219)))</f>
        <v>80.466711296587334</v>
      </c>
      <c r="O219" s="186" cm="1">
        <f t="array" ref="O219">IF(O$218=-1,P219,IF(O$218=99,N219,IF(O$218=0,INDEX($E186:$M186,0,O$216),(INDEX($E186:$M186,0,O$218+1)-INDEX($E186:$M186,0,O$218))/(INDEX($E$185:$M$185,0,O$218+1)-INDEX($E$185:$M$185,0,O$218))+N219)))</f>
        <v>80.152552888362095</v>
      </c>
      <c r="P219" s="186" cm="1">
        <f t="array" ref="P219">IF(P$218=-1,Q219,IF(P$218=99,O219,IF(P$218=0,INDEX($E186:$M186,0,P$216),(INDEX($E186:$M186,0,P$218+1)-INDEX($E186:$M186,0,P$218))/(INDEX($E$185:$M$185,0,P$218+1)-INDEX($E$185:$M$185,0,P$218))+O219)))</f>
        <v>82.139088284189654</v>
      </c>
      <c r="Q219" s="186" cm="1">
        <f t="array" ref="Q219">IF(Q$218=-1,R219,IF(Q$218=99,P219,IF(Q$218=0,INDEX($E186:$M186,0,Q$216),(INDEX($E186:$M186,0,Q$218+1)-INDEX($E186:$M186,0,Q$218))/(INDEX($E$185:$M$185,0,Q$218+1)-INDEX($E$185:$M$185,0,Q$218))+P219)))</f>
        <v>84.125623680017213</v>
      </c>
      <c r="R219" s="186" cm="1">
        <f t="array" ref="R219">IF(R$218=-1,S219,IF(R$218=99,Q219,IF(R$218=0,INDEX($E186:$M186,0,R$216),(INDEX($E186:$M186,0,R$218+1)-INDEX($E186:$M186,0,R$218))/(INDEX($E$185:$M$185,0,R$218+1)-INDEX($E$185:$M$185,0,R$218))+Q219)))</f>
        <v>78.575402784147585</v>
      </c>
      <c r="S219" s="186" cm="1">
        <f t="array" ref="S219">IF(S$218=-1,T219,IF(S$218=99,R219,IF(S$218=0,INDEX($E186:$M186,0,S$216),(INDEX($E186:$M186,0,S$218+1)-INDEX($E186:$M186,0,S$218))/(INDEX($E$185:$M$185,0,S$218+1)-INDEX($E$185:$M$185,0,S$218))+R219)))</f>
        <v>79.324692031817534</v>
      </c>
      <c r="T219" s="186" cm="1">
        <f t="array" ref="T219">IF(T$218=-1,U219,IF(T$218=99,S219,IF(T$218=0,INDEX($E186:$M186,0,T$216),(INDEX($E186:$M186,0,T$218+1)-INDEX($E186:$M186,0,T$218))/(INDEX($E$185:$M$185,0,T$218+1)-INDEX($E$185:$M$185,0,T$218))+S219)))</f>
        <v>81.956575202302233</v>
      </c>
      <c r="U219" s="186" cm="1">
        <f t="array" ref="U219">IF(U$218=-1,V219,IF(U$218=99,T219,IF(U$218=0,INDEX($E186:$M186,0,U$216),(INDEX($E186:$M186,0,U$218+1)-INDEX($E186:$M186,0,U$218))/(INDEX($E$185:$M$185,0,U$218+1)-INDEX($E$185:$M$185,0,U$218))+T219)))</f>
        <v>84.588458372786931</v>
      </c>
      <c r="V219" s="186" cm="1">
        <f t="array" ref="V219">IF(V$218=-1,W219,IF(V$218=99,U219,IF(V$218=0,INDEX($E186:$M186,0,V$216),(INDEX($E186:$M186,0,V$218+1)-INDEX($E186:$M186,0,V$218))/(INDEX($E$185:$M$185,0,V$218+1)-INDEX($E$185:$M$185,0,V$218))+U219)))</f>
        <v>87.22034154327163</v>
      </c>
      <c r="W219" s="186" cm="1">
        <f t="array" ref="W219">IF(W$218=-1,X219,IF(W$218=99,V219,IF(W$218=0,INDEX($E186:$M186,0,W$216),(INDEX($E186:$M186,0,W$218+1)-INDEX($E186:$M186,0,W$218))/(INDEX($E$185:$M$185,0,W$218+1)-INDEX($E$185:$M$185,0,W$218))+V219)))</f>
        <v>89.852224713756328</v>
      </c>
      <c r="X219" s="186" cm="1">
        <f t="array" ref="X219">IF(X$218=-1,Y219,IF(X$218=99,W219,IF(X$218=0,INDEX($E186:$M186,0,X$216),(INDEX($E186:$M186,0,X$218+1)-INDEX($E186:$M186,0,X$218))/(INDEX($E$185:$M$185,0,X$218+1)-INDEX($E$185:$M$185,0,X$218))+W219)))</f>
        <v>92.484107884241027</v>
      </c>
      <c r="Y219" s="186" cm="1">
        <f t="array" ref="Y219">IF(Y$218=-1,Z219,IF(Y$218=99,X219,IF(Y$218=0,INDEX($E186:$M186,0,Y$216),(INDEX($E186:$M186,0,Y$218+1)-INDEX($E186:$M186,0,Y$218))/(INDEX($E$185:$M$185,0,Y$218+1)-INDEX($E$185:$M$185,0,Y$218))+X219)))</f>
        <v>95.115991054725725</v>
      </c>
      <c r="Z219" s="186" cm="1">
        <f t="array" ref="Z219">IF(Z$218=-1,AA219,IF(Z$218=99,Y219,IF(Z$218=0,INDEX($E186:$M186,0,Z$216),(INDEX($E186:$M186,0,Z$218+1)-INDEX($E186:$M186,0,Z$218))/(INDEX($E$185:$M$185,0,Z$218+1)-INDEX($E$185:$M$185,0,Z$218))+Y219)))</f>
        <v>97.747874225210424</v>
      </c>
      <c r="AA219" s="186" cm="1">
        <f t="array" ref="AA219">IF(AA$218=-1,AB219,IF(AA$218=99,Z219,IF(AA$218=0,INDEX($E186:$M186,0,AA$216),(INDEX($E186:$M186,0,AA$218+1)-INDEX($E186:$M186,0,AA$218))/(INDEX($E$185:$M$185,0,AA$218+1)-INDEX($E$185:$M$185,0,AA$218))+Z219)))</f>
        <v>100.37975739569512</v>
      </c>
      <c r="AB219" s="186" cm="1">
        <f t="array" ref="AB219">IF(AB$218=-1,AC219,IF(AB$218=99,AA219,IF(AB$218=0,INDEX($E186:$M186,0,AB$216),(INDEX($E186:$M186,0,AB$218+1)-INDEX($E186:$M186,0,AB$218))/(INDEX($E$185:$M$185,0,AB$218+1)-INDEX($E$185:$M$185,0,AB$218))+AA219)))</f>
        <v>103.01164056617978</v>
      </c>
      <c r="AC219" s="186" cm="1">
        <f t="array" ref="AC219">IF(AC$218=-1,AD219,IF(AC$218=99,AB219,IF(AC$218=0,INDEX($E186:$M186,0,AC$216),(INDEX($E186:$M186,0,AC$218+1)-INDEX($E186:$M186,0,AC$218))/(INDEX($E$185:$M$185,0,AC$218+1)-INDEX($E$185:$M$185,0,AC$218))+AB219)))</f>
        <v>106.01576233268294</v>
      </c>
      <c r="AD219" s="186" cm="1">
        <f t="array" ref="AD219">IF(AD$218=-1,AE219,IF(AD$218=99,AC219,IF(AD$218=0,INDEX($E186:$M186,0,AD$216),(INDEX($E186:$M186,0,AD$218+1)-INDEX($E186:$M186,0,AD$218))/(INDEX($E$185:$M$185,0,AD$218+1)-INDEX($E$185:$M$185,0,AD$218))+AC219)))</f>
        <v>109.0198840991861</v>
      </c>
      <c r="AE219" s="186" cm="1">
        <f t="array" ref="AE219">IF(AE$218=-1,AF219,IF(AE$218=99,AD219,IF(AE$218=0,INDEX($E186:$M186,0,AE$216),(INDEX($E186:$M186,0,AE$218+1)-INDEX($E186:$M186,0,AE$218))/(INDEX($E$185:$M$185,0,AE$218+1)-INDEX($E$185:$M$185,0,AE$218))+AD219)))</f>
        <v>112.02400586568926</v>
      </c>
      <c r="AF219" s="186" cm="1">
        <f t="array" ref="AF219">IF(AF$218=-1,AG219,IF(AF$218=99,AE219,IF(AF$218=0,INDEX($E186:$M186,0,AF$216),(INDEX($E186:$M186,0,AF$218+1)-INDEX($E186:$M186,0,AF$218))/(INDEX($E$185:$M$185,0,AF$218+1)-INDEX($E$185:$M$185,0,AF$218))+AE219)))</f>
        <v>115.02812763219242</v>
      </c>
      <c r="AG219" s="186" cm="1">
        <f t="array" ref="AG219">IF(AG$218=-1,AH219,IF(AG$218=99,AF219,IF(AG$218=0,INDEX($E186:$M186,0,AG$216),(INDEX($E186:$M186,0,AG$218+1)-INDEX($E186:$M186,0,AG$218))/(INDEX($E$185:$M$185,0,AG$218+1)-INDEX($E$185:$M$185,0,AG$218))+AF219)))</f>
        <v>118.03224939869558</v>
      </c>
      <c r="AH219" s="186" cm="1">
        <f t="array" ref="AH219">IF(AH$218=-1,AI219,IF(AH$218=99,AG219,IF(AH$218=0,INDEX($E186:$M186,0,AH$216),(INDEX($E186:$M186,0,AH$218+1)-INDEX($E186:$M186,0,AH$218))/(INDEX($E$185:$M$185,0,AH$218+1)-INDEX($E$185:$M$185,0,AH$218))+AG219)))</f>
        <v>121.03637116519874</v>
      </c>
      <c r="AI219" s="186" cm="1">
        <f t="array" ref="AI219">IF(AI$218=-1,AJ219,IF(AI$218=99,AH219,IF(AI$218=0,INDEX($E186:$M186,0,AI$216),(INDEX($E186:$M186,0,AI$218+1)-INDEX($E186:$M186,0,AI$218))/(INDEX($E$185:$M$185,0,AI$218+1)-INDEX($E$185:$M$185,0,AI$218))+AH219)))</f>
        <v>124.04049293170191</v>
      </c>
      <c r="AJ219" s="186" cm="1">
        <f t="array" ref="AJ219">IF(AJ$218=-1,AK219,IF(AJ$218=99,AI219,IF(AJ$218=0,INDEX($E186:$M186,0,AJ$216),(INDEX($E186:$M186,0,AJ$218+1)-INDEX($E186:$M186,0,AJ$218))/(INDEX($E$185:$M$185,0,AJ$218+1)-INDEX($E$185:$M$185,0,AJ$218))+AI219)))</f>
        <v>127.04461469820507</v>
      </c>
      <c r="AK219" s="186" cm="1">
        <f t="array" ref="AK219">IF(AK$218=-1,AL219,IF(AK$218=99,AJ219,IF(AK$218=0,INDEX($E186:$M186,0,AK$216),(INDEX($E186:$M186,0,AK$218+1)-INDEX($E186:$M186,0,AK$218))/(INDEX($E$185:$M$185,0,AK$218+1)-INDEX($E$185:$M$185,0,AK$218))+AJ219)))</f>
        <v>130.04873646470824</v>
      </c>
      <c r="AL219" s="186" cm="1">
        <f t="array" ref="AL219">IF(AL$218=-1,AM219,IF(AL$218=99,AK219,IF(AL$218=0,INDEX($E186:$M186,0,AL$216),(INDEX($E186:$M186,0,AL$218+1)-INDEX($E186:$M186,0,AL$218))/(INDEX($E$185:$M$185,0,AL$218+1)-INDEX($E$185:$M$185,0,AL$218))+AK219)))</f>
        <v>133.05285823121142</v>
      </c>
      <c r="AM219" s="299">
        <f>(AL219+AN219)/2</f>
        <v>148.2949791530944</v>
      </c>
      <c r="AN219" s="186" cm="1">
        <f t="array" ref="AN219">IF(AN$218=-1,AO219,IF(AN$218=99,AM219,IF(AN$218=0,INDEX($E186:$M186,0,AN$216),(INDEX($E186:$M186,0,AN$218+1)-INDEX($E186:$M186,0,AN$218))/(INDEX($E$185:$M$185,0,AN$218+1)-INDEX($E$185:$M$185,0,AN$218))+AM219)))</f>
        <v>163.53710007497739</v>
      </c>
      <c r="AO219" s="186" cm="1">
        <f t="array" ref="AO219">IF(AO$218=-1,AP219,IF(AO$218=99,AN219,IF(AO$218=0,INDEX($E186:$M186,0,AO$216),(INDEX($E186:$M186,0,AO$218+1)-INDEX($E186:$M186,0,AO$218))/(INDEX($E$185:$M$185,0,AO$218+1)-INDEX($E$185:$M$185,0,AO$218))+AN219)))</f>
        <v>163.53710007497739</v>
      </c>
      <c r="AP219" s="186" cm="1">
        <f t="array" ref="AP219">IF(AP$218=-1,#REF!,IF(AP$218=99,AO219,IF(AP$218=0,INDEX($E186:$M186,0,AP$216),(INDEX($E186:$M186,0,AP$218+1)-INDEX($E186:$M186,0,AP$218))/(INDEX($E$185:$M$185,0,AP$218+1)-INDEX($E$185:$M$185,0,AP$218))+AO219)))</f>
        <v>163.53710007497739</v>
      </c>
      <c r="AQ219" s="186"/>
      <c r="AT219" s="186"/>
      <c r="AU219" s="186"/>
      <c r="BE219" s="186">
        <f t="shared" ref="BE219:BE226" si="603">E186</f>
        <v>77.614189675901358</v>
      </c>
      <c r="BF219" s="109">
        <f t="shared" ref="BF219:BF226" si="604">(J219-BE219)/J219</f>
        <v>0</v>
      </c>
    </row>
    <row r="220" spans="1:58">
      <c r="B220" s="22" t="str">
        <f t="shared" si="598"/>
        <v>COM_PROJ</v>
      </c>
      <c r="C220" s="23" t="str">
        <f t="shared" si="599"/>
        <v>-</v>
      </c>
      <c r="D220" s="57" t="str">
        <f t="shared" si="600"/>
        <v>TPPRSUV</v>
      </c>
      <c r="E220" s="23" t="str">
        <f t="shared" si="601"/>
        <v>-</v>
      </c>
      <c r="F220" s="23" t="str">
        <f t="shared" si="601"/>
        <v>-</v>
      </c>
      <c r="G220" s="23" t="str">
        <f t="shared" si="601"/>
        <v>-</v>
      </c>
      <c r="H220" s="23" t="str">
        <f t="shared" si="601"/>
        <v>-</v>
      </c>
      <c r="I220" s="22">
        <f t="shared" si="602"/>
        <v>0</v>
      </c>
      <c r="J220" s="186" cm="1">
        <f t="array" ref="J220">IF(J$218=-1,K220,IF(J$218=99,BD220,IF(J$218=0,INDEX($E187:$M187,0,J$216),(INDEX($E187:$M187,0,J$218+1)-INDEX($E187:$M187,0,J$218))/(INDEX($E$185:$M$185,0,J$218+1)-INDEX($E$185:$M$185,0,J$218))+BD220)))</f>
        <v>9.939379683721306</v>
      </c>
      <c r="K220" s="186" cm="1">
        <f t="array" ref="K220">IF(K$218=-1,L220,IF(K$218=99,BE220,IF(K$218=0,INDEX($E187:$M187,0,K$216),(INDEX($E187:$M187,0,K$218+1)-INDEX($E187:$M187,0,K$218))/(INDEX($E$185:$M$185,0,K$218+1)-INDEX($E$185:$M$185,0,K$218))+BE220)))</f>
        <v>11.042214536035432</v>
      </c>
      <c r="L220" s="186" cm="1">
        <f t="array" ref="L220">IF(L$218=-1,M220,IF(L$218=99,K220,IF(L$218=0,INDEX($E187:$M187,0,L$216),(INDEX($E187:$M187,0,L$218+1)-INDEX($E187:$M187,0,L$218))/(INDEX($E$185:$M$185,0,L$218+1)-INDEX($E$185:$M$185,0,L$218))+K220)))</f>
        <v>12.145049388349559</v>
      </c>
      <c r="M220" s="186" cm="1">
        <f t="array" ref="M220">IF(M$218=-1,N220,IF(M$218=99,L220,IF(M$218=0,INDEX($E187:$M187,0,M$216),(INDEX($E187:$M187,0,M$218+1)-INDEX($E187:$M187,0,M$218))/(INDEX($E$185:$M$185,0,M$218+1)-INDEX($E$185:$M$185,0,M$218))+L220)))</f>
        <v>13.247884240663684</v>
      </c>
      <c r="N220" s="186" cm="1">
        <f t="array" ref="N220">IF(N$218=-1,O220,IF(N$218=99,M220,IF(N$218=0,INDEX($E187:$M187,0,N$216),(INDEX($E187:$M187,0,N$218+1)-INDEX($E187:$M187,0,N$218))/(INDEX($E$185:$M$185,0,N$218+1)-INDEX($E$185:$M$185,0,N$218))+M220)))</f>
        <v>15.140150864720315</v>
      </c>
      <c r="O220" s="186" cm="1">
        <f t="array" ref="O220">IF(O$218=-1,P220,IF(O$218=99,N220,IF(O$218=0,INDEX($E187:$M187,0,O$216),(INDEX($E187:$M187,0,O$218+1)-INDEX($E187:$M187,0,O$218))/(INDEX($E$185:$M$185,0,O$218+1)-INDEX($E$185:$M$185,0,O$218))+N220)))</f>
        <v>17.032417488776947</v>
      </c>
      <c r="P220" s="186" cm="1">
        <f t="array" ref="P220">IF(P$218=-1,Q220,IF(P$218=99,O220,IF(P$218=0,INDEX($E187:$M187,0,P$216),(INDEX($E187:$M187,0,P$218+1)-INDEX($E187:$M187,0,P$218))/(INDEX($E$185:$M$185,0,P$218+1)-INDEX($E$185:$M$185,0,P$218))+O220)))</f>
        <v>17.454556260390305</v>
      </c>
      <c r="Q220" s="186" cm="1">
        <f t="array" ref="Q220">IF(Q$218=-1,R220,IF(Q$218=99,P220,IF(Q$218=0,INDEX($E187:$M187,0,Q$216),(INDEX($E187:$M187,0,Q$218+1)-INDEX($E187:$M187,0,Q$218))/(INDEX($E$185:$M$185,0,Q$218+1)-INDEX($E$185:$M$185,0,Q$218))+P220)))</f>
        <v>17.87669503200366</v>
      </c>
      <c r="R220" s="186" cm="1">
        <f t="array" ref="R220">IF(R$218=-1,S220,IF(R$218=99,Q220,IF(R$218=0,INDEX($E187:$M187,0,R$216),(INDEX($E187:$M187,0,R$218+1)-INDEX($E187:$M187,0,R$218))/(INDEX($E$185:$M$185,0,R$218+1)-INDEX($E$185:$M$185,0,R$218))+Q220)))</f>
        <v>16.697273091631363</v>
      </c>
      <c r="S220" s="186" cm="1">
        <f t="array" ref="S220">IF(S$218=-1,T220,IF(S$218=99,R220,IF(S$218=0,INDEX($E187:$M187,0,S$216),(INDEX($E187:$M187,0,S$218+1)-INDEX($E187:$M187,0,S$218))/(INDEX($E$185:$M$185,0,S$218+1)-INDEX($E$185:$M$185,0,S$218))+R220)))</f>
        <v>16.856497056761228</v>
      </c>
      <c r="T220" s="186" cm="1">
        <f t="array" ref="T220">IF(T$218=-1,U220,IF(T$218=99,S220,IF(T$218=0,INDEX($E187:$M187,0,T$216),(INDEX($E187:$M187,0,T$218+1)-INDEX($E187:$M187,0,T$218))/(INDEX($E$185:$M$185,0,T$218+1)-INDEX($E$185:$M$185,0,T$218))+S220)))</f>
        <v>17.415772230489225</v>
      </c>
      <c r="U220" s="186" cm="1">
        <f t="array" ref="U220">IF(U$218=-1,V220,IF(U$218=99,T220,IF(U$218=0,INDEX($E187:$M187,0,U$216),(INDEX($E187:$M187,0,U$218+1)-INDEX($E187:$M187,0,U$218))/(INDEX($E$185:$M$185,0,U$218+1)-INDEX($E$185:$M$185,0,U$218))+T220)))</f>
        <v>17.975047404217221</v>
      </c>
      <c r="V220" s="186" cm="1">
        <f t="array" ref="V220">IF(V$218=-1,W220,IF(V$218=99,U220,IF(V$218=0,INDEX($E187:$M187,0,V$216),(INDEX($E187:$M187,0,V$218+1)-INDEX($E187:$M187,0,V$218))/(INDEX($E$185:$M$185,0,V$218+1)-INDEX($E$185:$M$185,0,V$218))+U220)))</f>
        <v>18.534322577945218</v>
      </c>
      <c r="W220" s="186" cm="1">
        <f t="array" ref="W220">IF(W$218=-1,X220,IF(W$218=99,V220,IF(W$218=0,INDEX($E187:$M187,0,W$216),(INDEX($E187:$M187,0,W$218+1)-INDEX($E187:$M187,0,W$218))/(INDEX($E$185:$M$185,0,W$218+1)-INDEX($E$185:$M$185,0,W$218))+V220)))</f>
        <v>19.093597751673215</v>
      </c>
      <c r="X220" s="186" cm="1">
        <f t="array" ref="X220">IF(X$218=-1,Y220,IF(X$218=99,W220,IF(X$218=0,INDEX($E187:$M187,0,X$216),(INDEX($E187:$M187,0,X$218+1)-INDEX($E187:$M187,0,X$218))/(INDEX($E$185:$M$185,0,X$218+1)-INDEX($E$185:$M$185,0,X$218))+W220)))</f>
        <v>19.652872925401212</v>
      </c>
      <c r="Y220" s="186" cm="1">
        <f t="array" ref="Y220">IF(Y$218=-1,Z220,IF(Y$218=99,X220,IF(Y$218=0,INDEX($E187:$M187,0,Y$216),(INDEX($E187:$M187,0,Y$218+1)-INDEX($E187:$M187,0,Y$218))/(INDEX($E$185:$M$185,0,Y$218+1)-INDEX($E$185:$M$185,0,Y$218))+X220)))</f>
        <v>20.212148099129209</v>
      </c>
      <c r="Z220" s="186" cm="1">
        <f t="array" ref="Z220">IF(Z$218=-1,AA220,IF(Z$218=99,Y220,IF(Z$218=0,INDEX($E187:$M187,0,Z$216),(INDEX($E187:$M187,0,Z$218+1)-INDEX($E187:$M187,0,Z$218))/(INDEX($E$185:$M$185,0,Z$218+1)-INDEX($E$185:$M$185,0,Z$218))+Y220)))</f>
        <v>20.771423272857206</v>
      </c>
      <c r="AA220" s="186" cm="1">
        <f t="array" ref="AA220">IF(AA$218=-1,AB220,IF(AA$218=99,Z220,IF(AA$218=0,INDEX($E187:$M187,0,AA$216),(INDEX($E187:$M187,0,AA$218+1)-INDEX($E187:$M187,0,AA$218))/(INDEX($E$185:$M$185,0,AA$218+1)-INDEX($E$185:$M$185,0,AA$218))+Z220)))</f>
        <v>21.330698446585203</v>
      </c>
      <c r="AB220" s="186" cm="1">
        <f t="array" ref="AB220">IF(AB$218=-1,AC220,IF(AB$218=99,AA220,IF(AB$218=0,INDEX($E187:$M187,0,AB$216),(INDEX($E187:$M187,0,AB$218+1)-INDEX($E187:$M187,0,AB$218))/(INDEX($E$185:$M$185,0,AB$218+1)-INDEX($E$185:$M$185,0,AB$218))+AA220)))</f>
        <v>21.889973620313206</v>
      </c>
      <c r="AC220" s="186" cm="1">
        <f t="array" ref="AC220">IF(AC$218=-1,AD220,IF(AC$218=99,AB220,IF(AC$218=0,INDEX($E187:$M187,0,AC$216),(INDEX($E187:$M187,0,AC$218+1)-INDEX($E187:$M187,0,AC$218))/(INDEX($E$185:$M$185,0,AC$218+1)-INDEX($E$185:$M$185,0,AC$218))+AB220)))</f>
        <v>22.528349495695128</v>
      </c>
      <c r="AD220" s="186" cm="1">
        <f t="array" ref="AD220">IF(AD$218=-1,AE220,IF(AD$218=99,AC220,IF(AD$218=0,INDEX($E187:$M187,0,AD$216),(INDEX($E187:$M187,0,AD$218+1)-INDEX($E187:$M187,0,AD$218))/(INDEX($E$185:$M$185,0,AD$218+1)-INDEX($E$185:$M$185,0,AD$218))+AC220)))</f>
        <v>23.16672537107705</v>
      </c>
      <c r="AE220" s="186" cm="1">
        <f t="array" ref="AE220">IF(AE$218=-1,AF220,IF(AE$218=99,AD220,IF(AE$218=0,INDEX($E187:$M187,0,AE$216),(INDEX($E187:$M187,0,AE$218+1)-INDEX($E187:$M187,0,AE$218))/(INDEX($E$185:$M$185,0,AE$218+1)-INDEX($E$185:$M$185,0,AE$218))+AD220)))</f>
        <v>23.805101246458971</v>
      </c>
      <c r="AF220" s="186" cm="1">
        <f t="array" ref="AF220">IF(AF$218=-1,AG220,IF(AF$218=99,AE220,IF(AF$218=0,INDEX($E187:$M187,0,AF$216),(INDEX($E187:$M187,0,AF$218+1)-INDEX($E187:$M187,0,AF$218))/(INDEX($E$185:$M$185,0,AF$218+1)-INDEX($E$185:$M$185,0,AF$218))+AE220)))</f>
        <v>24.443477121840893</v>
      </c>
      <c r="AG220" s="186" cm="1">
        <f t="array" ref="AG220">IF(AG$218=-1,AH220,IF(AG$218=99,AF220,IF(AG$218=0,INDEX($E187:$M187,0,AG$216),(INDEX($E187:$M187,0,AG$218+1)-INDEX($E187:$M187,0,AG$218))/(INDEX($E$185:$M$185,0,AG$218+1)-INDEX($E$185:$M$185,0,AG$218))+AF220)))</f>
        <v>25.081852997222814</v>
      </c>
      <c r="AH220" s="186" cm="1">
        <f t="array" ref="AH220">IF(AH$218=-1,AI220,IF(AH$218=99,AG220,IF(AH$218=0,INDEX($E187:$M187,0,AH$216),(INDEX($E187:$M187,0,AH$218+1)-INDEX($E187:$M187,0,AH$218))/(INDEX($E$185:$M$185,0,AH$218+1)-INDEX($E$185:$M$185,0,AH$218))+AG220)))</f>
        <v>25.720228872604736</v>
      </c>
      <c r="AI220" s="186" cm="1">
        <f t="array" ref="AI220">IF(AI$218=-1,AJ220,IF(AI$218=99,AH220,IF(AI$218=0,INDEX($E187:$M187,0,AI$216),(INDEX($E187:$M187,0,AI$218+1)-INDEX($E187:$M187,0,AI$218))/(INDEX($E$185:$M$185,0,AI$218+1)-INDEX($E$185:$M$185,0,AI$218))+AH220)))</f>
        <v>26.358604747986657</v>
      </c>
      <c r="AJ220" s="186" cm="1">
        <f t="array" ref="AJ220">IF(AJ$218=-1,AK220,IF(AJ$218=99,AI220,IF(AJ$218=0,INDEX($E187:$M187,0,AJ$216),(INDEX($E187:$M187,0,AJ$218+1)-INDEX($E187:$M187,0,AJ$218))/(INDEX($E$185:$M$185,0,AJ$218+1)-INDEX($E$185:$M$185,0,AJ$218))+AI220)))</f>
        <v>26.996980623368579</v>
      </c>
      <c r="AK220" s="186" cm="1">
        <f t="array" ref="AK220">IF(AK$218=-1,AL220,IF(AK$218=99,AJ220,IF(AK$218=0,INDEX($E187:$M187,0,AK$216),(INDEX($E187:$M187,0,AK$218+1)-INDEX($E187:$M187,0,AK$218))/(INDEX($E$185:$M$185,0,AK$218+1)-INDEX($E$185:$M$185,0,AK$218))+AJ220)))</f>
        <v>27.6353564987505</v>
      </c>
      <c r="AL220" s="186" cm="1">
        <f t="array" ref="AL220">IF(AL$218=-1,AM220,IF(AL$218=99,AK220,IF(AL$218=0,INDEX($E187:$M187,0,AL$216),(INDEX($E187:$M187,0,AL$218+1)-INDEX($E187:$M187,0,AL$218))/(INDEX($E$185:$M$185,0,AL$218+1)-INDEX($E$185:$M$185,0,AL$218))+AK220)))</f>
        <v>28.273732374132432</v>
      </c>
      <c r="AM220" s="299">
        <f t="shared" ref="AM220:AM226" si="605">(AL220+AN220)/2</f>
        <v>31.512683070032566</v>
      </c>
      <c r="AN220" s="186" cm="1">
        <f t="array" ref="AN220">IF(AN$218=-1,AO220,IF(AN$218=99,AM220,IF(AN$218=0,INDEX($E187:$M187,0,AN$216),(INDEX($E187:$M187,0,AN$218+1)-INDEX($E187:$M187,0,AN$218))/(INDEX($E$185:$M$185,0,AN$218+1)-INDEX($E$185:$M$185,0,AN$218))+AM220)))</f>
        <v>34.751633765932695</v>
      </c>
      <c r="AO220" s="186" cm="1">
        <f t="array" ref="AO220">IF(AO$218=-1,AP220,IF(AO$218=99,AN220,IF(AO$218=0,INDEX($E187:$M187,0,AO$216),(INDEX($E187:$M187,0,AO$218+1)-INDEX($E187:$M187,0,AO$218))/(INDEX($E$185:$M$185,0,AO$218+1)-INDEX($E$185:$M$185,0,AO$218))+AN220)))</f>
        <v>34.751633765932695</v>
      </c>
      <c r="AP220" s="186" cm="1">
        <f t="array" ref="AP220">IF(AP$218=-1,#REF!,IF(AP$218=99,AO220,IF(AP$218=0,INDEX($E187:$M187,0,AP$216),(INDEX($E187:$M187,0,AP$218+1)-INDEX($E187:$M187,0,AP$218))/(INDEX($E$185:$M$185,0,AP$218+1)-INDEX($E$185:$M$185,0,AP$218))+AO220)))</f>
        <v>34.751633765932695</v>
      </c>
      <c r="AQ220" s="186"/>
      <c r="AT220" s="186"/>
      <c r="AU220" s="186"/>
      <c r="BE220" s="186">
        <f t="shared" si="603"/>
        <v>9.939379683721306</v>
      </c>
      <c r="BF220" s="109">
        <f t="shared" si="604"/>
        <v>0</v>
      </c>
    </row>
    <row r="221" spans="1:58">
      <c r="B221" s="22" t="str">
        <f t="shared" si="598"/>
        <v>COM_PROJ</v>
      </c>
      <c r="C221" s="23" t="str">
        <f t="shared" si="599"/>
        <v>-</v>
      </c>
      <c r="D221" s="57" t="str">
        <f t="shared" si="600"/>
        <v>TPPRMOT</v>
      </c>
      <c r="E221" s="23" t="str">
        <f t="shared" si="601"/>
        <v>-</v>
      </c>
      <c r="F221" s="23" t="str">
        <f t="shared" si="601"/>
        <v>-</v>
      </c>
      <c r="G221" s="23" t="str">
        <f t="shared" si="601"/>
        <v>-</v>
      </c>
      <c r="H221" s="23" t="str">
        <f t="shared" si="601"/>
        <v>-</v>
      </c>
      <c r="I221" s="22">
        <f t="shared" si="602"/>
        <v>0</v>
      </c>
      <c r="J221" s="186" cm="1">
        <f t="array" ref="J221">IF(J$218=-1,K221,IF(J$218=99,BD221,IF(J$218=0,INDEX($E188:$M188,0,J$216),(INDEX($E188:$M188,0,J$218+1)-INDEX($E188:$M188,0,J$218))/(INDEX($E$185:$M$185,0,J$218+1)-INDEX($E$185:$M$185,0,J$218))+BD221)))</f>
        <v>3.3646857046699763</v>
      </c>
      <c r="K221" s="186" cm="1">
        <f t="array" ref="K221">IF(K$218=-1,L221,IF(K$218=99,BE221,IF(K$218=0,INDEX($E188:$M188,0,K$216),(INDEX($E188:$M188,0,K$218+1)-INDEX($E188:$M188,0,K$218))/(INDEX($E$185:$M$185,0,K$218+1)-INDEX($E$185:$M$185,0,K$218))+BE221)))</f>
        <v>3.1894012488750092</v>
      </c>
      <c r="L221" s="186" cm="1">
        <f t="array" ref="L221">IF(L$218=-1,M221,IF(L$218=99,K221,IF(L$218=0,INDEX($E188:$M188,0,L$216),(INDEX($E188:$M188,0,L$218+1)-INDEX($E188:$M188,0,L$218))/(INDEX($E$185:$M$185,0,L$218+1)-INDEX($E$185:$M$185,0,L$218))+K221)))</f>
        <v>3.0141167930800421</v>
      </c>
      <c r="M221" s="186" cm="1">
        <f t="array" ref="M221">IF(M$218=-1,N221,IF(M$218=99,L221,IF(M$218=0,INDEX($E188:$M188,0,M$216),(INDEX($E188:$M188,0,M$218+1)-INDEX($E188:$M188,0,M$218))/(INDEX($E$185:$M$185,0,M$218+1)-INDEX($E$185:$M$185,0,M$218))+L221)))</f>
        <v>2.838832337285075</v>
      </c>
      <c r="N221" s="186" cm="1">
        <f t="array" ref="N221">IF(N$218=-1,O221,IF(N$218=99,M221,IF(N$218=0,INDEX($E188:$M188,0,N$216),(INDEX($E188:$M188,0,N$218+1)-INDEX($E188:$M188,0,N$218))/(INDEX($E$185:$M$185,0,N$218+1)-INDEX($E$185:$M$185,0,N$218))+M221)))</f>
        <v>2.9222765352993267</v>
      </c>
      <c r="O221" s="186" cm="1">
        <f t="array" ref="O221">IF(O$218=-1,P221,IF(O$218=99,N221,IF(O$218=0,INDEX($E188:$M188,0,O$216),(INDEX($E188:$M188,0,O$218+1)-INDEX($E188:$M188,0,O$218))/(INDEX($E$185:$M$185,0,O$218+1)-INDEX($E$185:$M$185,0,O$218))+N221)))</f>
        <v>3.0057207333135785</v>
      </c>
      <c r="P221" s="186" cm="1">
        <f t="array" ref="P221">IF(P$218=-1,Q221,IF(P$218=99,O221,IF(P$218=0,INDEX($E188:$M188,0,P$216),(INDEX($E188:$M188,0,P$218+1)-INDEX($E188:$M188,0,P$218))/(INDEX($E$185:$M$185,0,P$218+1)-INDEX($E$185:$M$185,0,P$218))+O221)))</f>
        <v>3.080215810657112</v>
      </c>
      <c r="Q221" s="186" cm="1">
        <f t="array" ref="Q221">IF(Q$218=-1,R221,IF(Q$218=99,P221,IF(Q$218=0,INDEX($E188:$M188,0,Q$216),(INDEX($E188:$M188,0,Q$218+1)-INDEX($E188:$M188,0,Q$218))/(INDEX($E$185:$M$185,0,Q$218+1)-INDEX($E$185:$M$185,0,Q$218))+P221)))</f>
        <v>3.1547108880006456</v>
      </c>
      <c r="R221" s="186" cm="1">
        <f t="array" ref="R221">IF(R$218=-1,S221,IF(R$218=99,Q221,IF(R$218=0,INDEX($E188:$M188,0,R$216),(INDEX($E188:$M188,0,R$218+1)-INDEX($E188:$M188,0,R$218))/(INDEX($E$185:$M$185,0,R$218+1)-INDEX($E$185:$M$185,0,R$218))+Q221)))</f>
        <v>2.9465776044055345</v>
      </c>
      <c r="S221" s="186" cm="1">
        <f t="array" ref="S221">IF(S$218=-1,T221,IF(S$218=99,R221,IF(S$218=0,INDEX($E188:$M188,0,S$216),(INDEX($E188:$M188,0,S$218+1)-INDEX($E188:$M188,0,S$218))/(INDEX($E$185:$M$185,0,S$218+1)-INDEX($E$185:$M$185,0,S$218))+R221)))</f>
        <v>2.9746759511931575</v>
      </c>
      <c r="T221" s="186" cm="1">
        <f t="array" ref="T221">IF(T$218=-1,U221,IF(T$218=99,S221,IF(T$218=0,INDEX($E188:$M188,0,T$216),(INDEX($E188:$M188,0,T$218+1)-INDEX($E188:$M188,0,T$218))/(INDEX($E$185:$M$185,0,T$218+1)-INDEX($E$185:$M$185,0,T$218))+S221)))</f>
        <v>3.0733715700863335</v>
      </c>
      <c r="U221" s="186" cm="1">
        <f t="array" ref="U221">IF(U$218=-1,V221,IF(U$218=99,T221,IF(U$218=0,INDEX($E188:$M188,0,U$216),(INDEX($E188:$M188,0,U$218+1)-INDEX($E188:$M188,0,U$218))/(INDEX($E$185:$M$185,0,U$218+1)-INDEX($E$185:$M$185,0,U$218))+T221)))</f>
        <v>3.1720671889795096</v>
      </c>
      <c r="V221" s="186" cm="1">
        <f t="array" ref="V221">IF(V$218=-1,W221,IF(V$218=99,U221,IF(V$218=0,INDEX($E188:$M188,0,V$216),(INDEX($E188:$M188,0,V$218+1)-INDEX($E188:$M188,0,V$218))/(INDEX($E$185:$M$185,0,V$218+1)-INDEX($E$185:$M$185,0,V$218))+U221)))</f>
        <v>3.2707628078726856</v>
      </c>
      <c r="W221" s="186" cm="1">
        <f t="array" ref="W221">IF(W$218=-1,X221,IF(W$218=99,V221,IF(W$218=0,INDEX($E188:$M188,0,W$216),(INDEX($E188:$M188,0,W$218+1)-INDEX($E188:$M188,0,W$218))/(INDEX($E$185:$M$185,0,W$218+1)-INDEX($E$185:$M$185,0,W$218))+V221)))</f>
        <v>3.3694584267658616</v>
      </c>
      <c r="X221" s="186" cm="1">
        <f t="array" ref="X221">IF(X$218=-1,Y221,IF(X$218=99,W221,IF(X$218=0,INDEX($E188:$M188,0,X$216),(INDEX($E188:$M188,0,X$218+1)-INDEX($E188:$M188,0,X$218))/(INDEX($E$185:$M$185,0,X$218+1)-INDEX($E$185:$M$185,0,X$218))+W221)))</f>
        <v>3.4681540456590376</v>
      </c>
      <c r="Y221" s="186" cm="1">
        <f t="array" ref="Y221">IF(Y$218=-1,Z221,IF(Y$218=99,X221,IF(Y$218=0,INDEX($E188:$M188,0,Y$216),(INDEX($E188:$M188,0,Y$218+1)-INDEX($E188:$M188,0,Y$218))/(INDEX($E$185:$M$185,0,Y$218+1)-INDEX($E$185:$M$185,0,Y$218))+X221)))</f>
        <v>3.5668496645522136</v>
      </c>
      <c r="Z221" s="186" cm="1">
        <f t="array" ref="Z221">IF(Z$218=-1,AA221,IF(Z$218=99,Y221,IF(Z$218=0,INDEX($E188:$M188,0,Z$216),(INDEX($E188:$M188,0,Z$218+1)-INDEX($E188:$M188,0,Z$218))/(INDEX($E$185:$M$185,0,Z$218+1)-INDEX($E$185:$M$185,0,Z$218))+Y221)))</f>
        <v>3.6655452834453897</v>
      </c>
      <c r="AA221" s="186" cm="1">
        <f t="array" ref="AA221">IF(AA$218=-1,AB221,IF(AA$218=99,Z221,IF(AA$218=0,INDEX($E188:$M188,0,AA$216),(INDEX($E188:$M188,0,AA$218+1)-INDEX($E188:$M188,0,AA$218))/(INDEX($E$185:$M$185,0,AA$218+1)-INDEX($E$185:$M$185,0,AA$218))+Z221)))</f>
        <v>3.7642409023385657</v>
      </c>
      <c r="AB221" s="186" cm="1">
        <f t="array" ref="AB221">IF(AB$218=-1,AC221,IF(AB$218=99,AA221,IF(AB$218=0,INDEX($E188:$M188,0,AB$216),(INDEX($E188:$M188,0,AB$218+1)-INDEX($E188:$M188,0,AB$218))/(INDEX($E$185:$M$185,0,AB$218+1)-INDEX($E$185:$M$185,0,AB$218))+AA221)))</f>
        <v>3.8629365212317421</v>
      </c>
      <c r="AC221" s="186" cm="1">
        <f t="array" ref="AC221">IF(AC$218=-1,AD221,IF(AC$218=99,AB221,IF(AC$218=0,INDEX($E188:$M188,0,AC$216),(INDEX($E188:$M188,0,AC$218+1)-INDEX($E188:$M188,0,AC$218))/(INDEX($E$185:$M$185,0,AC$218+1)-INDEX($E$185:$M$185,0,AC$218))+AB221)))</f>
        <v>3.9755910874756109</v>
      </c>
      <c r="AD221" s="186" cm="1">
        <f t="array" ref="AD221">IF(AD$218=-1,AE221,IF(AD$218=99,AC221,IF(AD$218=0,INDEX($E188:$M188,0,AD$216),(INDEX($E188:$M188,0,AD$218+1)-INDEX($E188:$M188,0,AD$218))/(INDEX($E$185:$M$185,0,AD$218+1)-INDEX($E$185:$M$185,0,AD$218))+AC221)))</f>
        <v>4.0882456537194791</v>
      </c>
      <c r="AE221" s="186" cm="1">
        <f t="array" ref="AE221">IF(AE$218=-1,AF221,IF(AE$218=99,AD221,IF(AE$218=0,INDEX($E188:$M188,0,AE$216),(INDEX($E188:$M188,0,AE$218+1)-INDEX($E188:$M188,0,AE$218))/(INDEX($E$185:$M$185,0,AE$218+1)-INDEX($E$185:$M$185,0,AE$218))+AD221)))</f>
        <v>4.2009002199633478</v>
      </c>
      <c r="AF221" s="186" cm="1">
        <f t="array" ref="AF221">IF(AF$218=-1,AG221,IF(AF$218=99,AE221,IF(AF$218=0,INDEX($E188:$M188,0,AF$216),(INDEX($E188:$M188,0,AF$218+1)-INDEX($E188:$M188,0,AF$218))/(INDEX($E$185:$M$185,0,AF$218+1)-INDEX($E$185:$M$185,0,AF$218))+AE221)))</f>
        <v>4.3135547862072166</v>
      </c>
      <c r="AG221" s="186" cm="1">
        <f t="array" ref="AG221">IF(AG$218=-1,AH221,IF(AG$218=99,AF221,IF(AG$218=0,INDEX($E188:$M188,0,AG$216),(INDEX($E188:$M188,0,AG$218+1)-INDEX($E188:$M188,0,AG$218))/(INDEX($E$185:$M$185,0,AG$218+1)-INDEX($E$185:$M$185,0,AG$218))+AF221)))</f>
        <v>4.4262093524510853</v>
      </c>
      <c r="AH221" s="186" cm="1">
        <f t="array" ref="AH221">IF(AH$218=-1,AI221,IF(AH$218=99,AG221,IF(AH$218=0,INDEX($E188:$M188,0,AH$216),(INDEX($E188:$M188,0,AH$218+1)-INDEX($E188:$M188,0,AH$218))/(INDEX($E$185:$M$185,0,AH$218+1)-INDEX($E$185:$M$185,0,AH$218))+AG221)))</f>
        <v>4.538863918694954</v>
      </c>
      <c r="AI221" s="186" cm="1">
        <f t="array" ref="AI221">IF(AI$218=-1,AJ221,IF(AI$218=99,AH221,IF(AI$218=0,INDEX($E188:$M188,0,AI$216),(INDEX($E188:$M188,0,AI$218+1)-INDEX($E188:$M188,0,AI$218))/(INDEX($E$185:$M$185,0,AI$218+1)-INDEX($E$185:$M$185,0,AI$218))+AH221)))</f>
        <v>4.6515184849388227</v>
      </c>
      <c r="AJ221" s="186" cm="1">
        <f t="array" ref="AJ221">IF(AJ$218=-1,AK221,IF(AJ$218=99,AI221,IF(AJ$218=0,INDEX($E188:$M188,0,AJ$216),(INDEX($E188:$M188,0,AJ$218+1)-INDEX($E188:$M188,0,AJ$218))/(INDEX($E$185:$M$185,0,AJ$218+1)-INDEX($E$185:$M$185,0,AJ$218))+AI221)))</f>
        <v>4.7641730511826914</v>
      </c>
      <c r="AK221" s="186" cm="1">
        <f t="array" ref="AK221">IF(AK$218=-1,AL221,IF(AK$218=99,AJ221,IF(AK$218=0,INDEX($E188:$M188,0,AK$216),(INDEX($E188:$M188,0,AK$218+1)-INDEX($E188:$M188,0,AK$218))/(INDEX($E$185:$M$185,0,AK$218+1)-INDEX($E$185:$M$185,0,AK$218))+AJ221)))</f>
        <v>4.8768276174265601</v>
      </c>
      <c r="AL221" s="186" cm="1">
        <f t="array" ref="AL221">IF(AL$218=-1,AM221,IF(AL$218=99,AK221,IF(AL$218=0,INDEX($E188:$M188,0,AL$216),(INDEX($E188:$M188,0,AL$218+1)-INDEX($E188:$M188,0,AL$218))/(INDEX($E$185:$M$185,0,AL$218+1)-INDEX($E$185:$M$185,0,AL$218))+AK221)))</f>
        <v>4.9894821836704288</v>
      </c>
      <c r="AM221" s="299">
        <f t="shared" si="605"/>
        <v>5.5610617182410405</v>
      </c>
      <c r="AN221" s="186" cm="1">
        <f t="array" ref="AN221">IF(AN$218=-1,AO221,IF(AN$218=99,AM221,IF(AN$218=0,INDEX($E188:$M188,0,AN$216),(INDEX($E188:$M188,0,AN$218+1)-INDEX($E188:$M188,0,AN$218))/(INDEX($E$185:$M$185,0,AN$218+1)-INDEX($E$185:$M$185,0,AN$218))+AM221)))</f>
        <v>6.1326412528116521</v>
      </c>
      <c r="AO221" s="186" cm="1">
        <f t="array" ref="AO221">IF(AO$218=-1,AP221,IF(AO$218=99,AN221,IF(AO$218=0,INDEX($E188:$M188,0,AO$216),(INDEX($E188:$M188,0,AO$218+1)-INDEX($E188:$M188,0,AO$218))/(INDEX($E$185:$M$185,0,AO$218+1)-INDEX($E$185:$M$185,0,AO$218))+AN221)))</f>
        <v>6.1326412528116521</v>
      </c>
      <c r="AP221" s="186" cm="1">
        <f t="array" ref="AP221">IF(AP$218=-1,#REF!,IF(AP$218=99,AO221,IF(AP$218=0,INDEX($E188:$M188,0,AP$216),(INDEX($E188:$M188,0,AP$218+1)-INDEX($E188:$M188,0,AP$218))/(INDEX($E$185:$M$185,0,AP$218+1)-INDEX($E$185:$M$185,0,AP$218))+AO221)))</f>
        <v>6.1326412528116521</v>
      </c>
      <c r="AQ221" s="186"/>
      <c r="AT221" s="186"/>
      <c r="AU221" s="186"/>
      <c r="BE221" s="186">
        <f t="shared" si="603"/>
        <v>3.3646857046699763</v>
      </c>
      <c r="BF221" s="109">
        <f t="shared" si="604"/>
        <v>0</v>
      </c>
    </row>
    <row r="222" spans="1:58">
      <c r="B222" s="22" t="str">
        <f t="shared" si="598"/>
        <v>COM_PROJ</v>
      </c>
      <c r="C222" s="23" t="str">
        <f t="shared" si="599"/>
        <v>-</v>
      </c>
      <c r="D222" s="57" t="str">
        <f t="shared" si="600"/>
        <v>TPPUBUS</v>
      </c>
      <c r="E222" s="23" t="str">
        <f t="shared" si="601"/>
        <v>-</v>
      </c>
      <c r="F222" s="23" t="str">
        <f t="shared" si="601"/>
        <v>-</v>
      </c>
      <c r="G222" s="23" t="str">
        <f t="shared" si="601"/>
        <v>-</v>
      </c>
      <c r="H222" s="23" t="str">
        <f t="shared" si="601"/>
        <v>-</v>
      </c>
      <c r="I222" s="22">
        <f t="shared" si="602"/>
        <v>0</v>
      </c>
      <c r="J222" s="186">
        <f>INDEX('[2]TS BYDem'!J$10:J$59,MATCH($D222,'[2]TS BYDem'!D$10:D$59,0))</f>
        <v>1.4990333520535337</v>
      </c>
      <c r="K222" s="186" cm="1">
        <f t="array" ref="K222">IF(K$218=-1,L222,IF(K$218=99,BE222,IF(K$218=0,INDEX($E189:$M189,0,K$216),(INDEX($E189:$M189,0,K$218+1)-INDEX($E189:$M189,0,K$218))/(INDEX($E$185:$M$185,0,K$218+1)-INDEX($E$185:$M$185,0,K$218))+BE222)))</f>
        <v>0.78756431075905675</v>
      </c>
      <c r="L222" s="186" cm="1">
        <f t="array" ref="L222">IF(L$218=-1,M222,IF(L$218=99,K222,IF(L$218=0,INDEX($E189:$M189,0,L$216),(INDEX($E189:$M189,0,L$218+1)-INDEX($E189:$M189,0,L$218))/(INDEX($E$185:$M$185,0,L$218+1)-INDEX($E$185:$M$185,0,L$218))+K222)))</f>
        <v>0.95713713180052451</v>
      </c>
      <c r="M222" s="186" cm="1">
        <f t="array" ref="M222">IF(M$218=-1,N222,IF(M$218=99,L222,IF(M$218=0,INDEX($E189:$M189,0,M$216),(INDEX($E189:$M189,0,M$218+1)-INDEX($E189:$M189,0,M$218))/(INDEX($E$185:$M$185,0,M$218+1)-INDEX($E$185:$M$185,0,M$218))+L222)))</f>
        <v>1.1267099528419922</v>
      </c>
      <c r="N222" s="186" cm="1">
        <f t="array" ref="N222">IF(N$218=-1,O222,IF(N$218=99,M222,IF(N$218=0,INDEX($E189:$M189,0,N$216),(INDEX($E189:$M189,0,N$218+1)-INDEX($E189:$M189,0,N$218))/(INDEX($E$185:$M$185,0,N$218+1)-INDEX($E$185:$M$185,0,N$218))+M222)))</f>
        <v>0.93340029034829985</v>
      </c>
      <c r="O222" s="186" cm="1">
        <f t="array" ref="O222">IF(O$218=-1,P222,IF(O$218=99,N222,IF(O$218=0,INDEX($E189:$M189,0,O$216),(INDEX($E189:$M189,0,O$218+1)-INDEX($E189:$M189,0,O$218))/(INDEX($E$185:$M$185,0,O$218+1)-INDEX($E$185:$M$185,0,O$218))+N222)))</f>
        <v>0.74009062785460766</v>
      </c>
      <c r="P222" s="186" cm="1">
        <f t="array" ref="P222">IF(P$218=-1,Q222,IF(P$218=99,O222,IF(P$218=0,INDEX($E189:$M189,0,P$216),(INDEX($E189:$M189,0,P$218+1)-INDEX($E189:$M189,0,P$218))/(INDEX($E$185:$M$185,0,P$218+1)-INDEX($E$185:$M$185,0,P$218))+O222)))</f>
        <v>0.74856468488310512</v>
      </c>
      <c r="Q222" s="186" cm="1">
        <f t="array" ref="Q222">IF(Q$218=-1,R222,IF(Q$218=99,P222,IF(Q$218=0,INDEX($E189:$M189,0,Q$216),(INDEX($E189:$M189,0,Q$218+1)-INDEX($E189:$M189,0,Q$218))/(INDEX($E$185:$M$185,0,Q$218+1)-INDEX($E$185:$M$185,0,Q$218))+P222)))</f>
        <v>0.7570387419116027</v>
      </c>
      <c r="R222" s="186" cm="1">
        <f t="array" ref="R222">IF(R$218=-1,S222,IF(R$218=99,Q222,IF(R$218=0,INDEX($E189:$M189,0,R$216),(INDEX($E189:$M189,0,R$218+1)-INDEX($E189:$M189,0,R$218))/(INDEX($E$185:$M$185,0,R$218+1)-INDEX($E$185:$M$185,0,R$218))+Q222)))</f>
        <v>0.77061635068181966</v>
      </c>
      <c r="S222" s="186" cm="1">
        <f t="array" ref="S222">IF(S$218=-1,T222,IF(S$218=99,R222,IF(S$218=0,INDEX($E189:$M189,0,S$216),(INDEX($E189:$M189,0,S$218+1)-INDEX($E189:$M189,0,S$218))/(INDEX($E$185:$M$185,0,S$218+1)-INDEX($E$185:$M$185,0,S$218))+R222)))</f>
        <v>0.78157163306235522</v>
      </c>
      <c r="T222" s="186" cm="1">
        <f t="array" ref="T222">IF(T$218=-1,U222,IF(T$218=99,S222,IF(T$218=0,INDEX($E189:$M189,0,T$216),(INDEX($E189:$M189,0,T$218+1)-INDEX($E189:$M189,0,T$218))/(INDEX($E$185:$M$185,0,T$218+1)-INDEX($E$185:$M$185,0,T$218))+S222)))</f>
        <v>0.78314560012448264</v>
      </c>
      <c r="U222" s="186" cm="1">
        <f t="array" ref="U222">IF(U$218=-1,V222,IF(U$218=99,T222,IF(U$218=0,INDEX($E189:$M189,0,U$216),(INDEX($E189:$M189,0,U$218+1)-INDEX($E189:$M189,0,U$218))/(INDEX($E$185:$M$185,0,U$218+1)-INDEX($E$185:$M$185,0,U$218))+T222)))</f>
        <v>0.78471956718661007</v>
      </c>
      <c r="V222" s="186" cm="1">
        <f t="array" ref="V222">IF(V$218=-1,W222,IF(V$218=99,U222,IF(V$218=0,INDEX($E189:$M189,0,V$216),(INDEX($E189:$M189,0,V$218+1)-INDEX($E189:$M189,0,V$218))/(INDEX($E$185:$M$185,0,V$218+1)-INDEX($E$185:$M$185,0,V$218))+U222)))</f>
        <v>0.78629353424873749</v>
      </c>
      <c r="W222" s="186" cm="1">
        <f t="array" ref="W222">IF(W$218=-1,X222,IF(W$218=99,V222,IF(W$218=0,INDEX($E189:$M189,0,W$216),(INDEX($E189:$M189,0,W$218+1)-INDEX($E189:$M189,0,W$218))/(INDEX($E$185:$M$185,0,W$218+1)-INDEX($E$185:$M$185,0,W$218))+V222)))</f>
        <v>0.78786750131086491</v>
      </c>
      <c r="X222" s="186" cm="1">
        <f t="array" ref="X222">IF(X$218=-1,Y222,IF(X$218=99,W222,IF(X$218=0,INDEX($E189:$M189,0,X$216),(INDEX($E189:$M189,0,X$218+1)-INDEX($E189:$M189,0,X$218))/(INDEX($E$185:$M$185,0,X$218+1)-INDEX($E$185:$M$185,0,X$218))+W222)))</f>
        <v>0.78944146837299234</v>
      </c>
      <c r="Y222" s="186" cm="1">
        <f t="array" ref="Y222">IF(Y$218=-1,Z222,IF(Y$218=99,X222,IF(Y$218=0,INDEX($E189:$M189,0,Y$216),(INDEX($E189:$M189,0,Y$218+1)-INDEX($E189:$M189,0,Y$218))/(INDEX($E$185:$M$185,0,Y$218+1)-INDEX($E$185:$M$185,0,Y$218))+X222)))</f>
        <v>0.79101543543511976</v>
      </c>
      <c r="Z222" s="186" cm="1">
        <f t="array" ref="Z222">IF(Z$218=-1,AA222,IF(Z$218=99,Y222,IF(Z$218=0,INDEX($E189:$M189,0,Z$216),(INDEX($E189:$M189,0,Z$218+1)-INDEX($E189:$M189,0,Z$218))/(INDEX($E$185:$M$185,0,Z$218+1)-INDEX($E$185:$M$185,0,Z$218))+Y222)))</f>
        <v>0.79258940249724719</v>
      </c>
      <c r="AA222" s="186" cm="1">
        <f t="array" ref="AA222">IF(AA$218=-1,AB222,IF(AA$218=99,Z222,IF(AA$218=0,INDEX($E189:$M189,0,AA$216),(INDEX($E189:$M189,0,AA$218+1)-INDEX($E189:$M189,0,AA$218))/(INDEX($E$185:$M$185,0,AA$218+1)-INDEX($E$185:$M$185,0,AA$218))+Z222)))</f>
        <v>0.79416336955937461</v>
      </c>
      <c r="AB222" s="186" cm="1">
        <f t="array" ref="AB222">IF(AB$218=-1,AC222,IF(AB$218=99,AA222,IF(AB$218=0,INDEX($E189:$M189,0,AB$216),(INDEX($E189:$M189,0,AB$218+1)-INDEX($E189:$M189,0,AB$218))/(INDEX($E$185:$M$185,0,AB$218+1)-INDEX($E$185:$M$185,0,AB$218))+AA222)))</f>
        <v>0.79573733662150214</v>
      </c>
      <c r="AC222" s="186" cm="1">
        <f t="array" ref="AC222">IF(AC$218=-1,AD222,IF(AC$218=99,AB222,IF(AC$218=0,INDEX($E189:$M189,0,AC$216),(INDEX($E189:$M189,0,AC$218+1)-INDEX($E189:$M189,0,AC$218))/(INDEX($E$185:$M$185,0,AC$218+1)-INDEX($E$185:$M$185,0,AC$218))+AB222)))</f>
        <v>0.79245353975548505</v>
      </c>
      <c r="AD222" s="186" cm="1">
        <f t="array" ref="AD222">IF(AD$218=-1,AE222,IF(AD$218=99,AC222,IF(AD$218=0,INDEX($E189:$M189,0,AD$216),(INDEX($E189:$M189,0,AD$218+1)-INDEX($E189:$M189,0,AD$218))/(INDEX($E$185:$M$185,0,AD$218+1)-INDEX($E$185:$M$185,0,AD$218))+AC222)))</f>
        <v>0.78916974288946795</v>
      </c>
      <c r="AE222" s="186" cm="1">
        <f t="array" ref="AE222">IF(AE$218=-1,AF222,IF(AE$218=99,AD222,IF(AE$218=0,INDEX($E189:$M189,0,AE$216),(INDEX($E189:$M189,0,AE$218+1)-INDEX($E189:$M189,0,AE$218))/(INDEX($E$185:$M$185,0,AE$218+1)-INDEX($E$185:$M$185,0,AE$218))+AD222)))</f>
        <v>0.78588594602345085</v>
      </c>
      <c r="AF222" s="186" cm="1">
        <f t="array" ref="AF222">IF(AF$218=-1,AG222,IF(AF$218=99,AE222,IF(AF$218=0,INDEX($E189:$M189,0,AF$216),(INDEX($E189:$M189,0,AF$218+1)-INDEX($E189:$M189,0,AF$218))/(INDEX($E$185:$M$185,0,AF$218+1)-INDEX($E$185:$M$185,0,AF$218))+AE222)))</f>
        <v>0.78260214915743376</v>
      </c>
      <c r="AG222" s="186" cm="1">
        <f t="array" ref="AG222">IF(AG$218=-1,AH222,IF(AG$218=99,AF222,IF(AG$218=0,INDEX($E189:$M189,0,AG$216),(INDEX($E189:$M189,0,AG$218+1)-INDEX($E189:$M189,0,AG$218))/(INDEX($E$185:$M$185,0,AG$218+1)-INDEX($E$185:$M$185,0,AG$218))+AF222)))</f>
        <v>0.77931835229141666</v>
      </c>
      <c r="AH222" s="186" cm="1">
        <f t="array" ref="AH222">IF(AH$218=-1,AI222,IF(AH$218=99,AG222,IF(AH$218=0,INDEX($E189:$M189,0,AH$216),(INDEX($E189:$M189,0,AH$218+1)-INDEX($E189:$M189,0,AH$218))/(INDEX($E$185:$M$185,0,AH$218+1)-INDEX($E$185:$M$185,0,AH$218))+AG222)))</f>
        <v>0.77603455542539956</v>
      </c>
      <c r="AI222" s="186" cm="1">
        <f t="array" ref="AI222">IF(AI$218=-1,AJ222,IF(AI$218=99,AH222,IF(AI$218=0,INDEX($E189:$M189,0,AI$216),(INDEX($E189:$M189,0,AI$218+1)-INDEX($E189:$M189,0,AI$218))/(INDEX($E$185:$M$185,0,AI$218+1)-INDEX($E$185:$M$185,0,AI$218))+AH222)))</f>
        <v>0.77275075855938247</v>
      </c>
      <c r="AJ222" s="186" cm="1">
        <f t="array" ref="AJ222">IF(AJ$218=-1,AK222,IF(AJ$218=99,AI222,IF(AJ$218=0,INDEX($E189:$M189,0,AJ$216),(INDEX($E189:$M189,0,AJ$218+1)-INDEX($E189:$M189,0,AJ$218))/(INDEX($E$185:$M$185,0,AJ$218+1)-INDEX($E$185:$M$185,0,AJ$218))+AI222)))</f>
        <v>0.76946696169336537</v>
      </c>
      <c r="AK222" s="186" cm="1">
        <f t="array" ref="AK222">IF(AK$218=-1,AL222,IF(AK$218=99,AJ222,IF(AK$218=0,INDEX($E189:$M189,0,AK$216),(INDEX($E189:$M189,0,AK$218+1)-INDEX($E189:$M189,0,AK$218))/(INDEX($E$185:$M$185,0,AK$218+1)-INDEX($E$185:$M$185,0,AK$218))+AJ222)))</f>
        <v>0.76618316482734827</v>
      </c>
      <c r="AL222" s="186" cm="1">
        <f t="array" ref="AL222">IF(AL$218=-1,AM222,IF(AL$218=99,AK222,IF(AL$218=0,INDEX($E189:$M189,0,AL$216),(INDEX($E189:$M189,0,AL$218+1)-INDEX($E189:$M189,0,AL$218))/(INDEX($E$185:$M$185,0,AL$218+1)-INDEX($E$185:$M$185,0,AL$218))+AK222)))</f>
        <v>0.76289936796133118</v>
      </c>
      <c r="AM222" s="299">
        <f t="shared" si="605"/>
        <v>0.73651003199220466</v>
      </c>
      <c r="AN222" s="186" cm="1">
        <f t="array" ref="AN222">IF(AN$218=-1,AO222,IF(AN$218=99,AM222,IF(AN$218=0,INDEX($E189:$M189,0,AN$216),(INDEX($E189:$M189,0,AN$218+1)-INDEX($E189:$M189,0,AN$218))/(INDEX($E$185:$M$185,0,AN$218+1)-INDEX($E$185:$M$185,0,AN$218))+AM222)))</f>
        <v>0.71012069602307804</v>
      </c>
      <c r="AO222" s="186" cm="1">
        <f t="array" ref="AO222">IF(AO$218=-1,AP222,IF(AO$218=99,AN222,IF(AO$218=0,INDEX($E189:$M189,0,AO$216),(INDEX($E189:$M189,0,AO$218+1)-INDEX($E189:$M189,0,AO$218))/(INDEX($E$185:$M$185,0,AO$218+1)-INDEX($E$185:$M$185,0,AO$218))+AN222)))</f>
        <v>0.71012069602307804</v>
      </c>
      <c r="AP222" s="186" cm="1">
        <f t="array" ref="AP222">IF(AP$218=-1,#REF!,IF(AP$218=99,AO222,IF(AP$218=0,INDEX($E189:$M189,0,AP$216),(INDEX($E189:$M189,0,AP$218+1)-INDEX($E189:$M189,0,AP$218))/(INDEX($E$185:$M$185,0,AP$218+1)-INDEX($E$185:$M$185,0,AP$218))+AO222)))</f>
        <v>0.71012069602307804</v>
      </c>
      <c r="AQ222" s="186"/>
      <c r="AT222" s="186"/>
      <c r="AU222" s="186"/>
      <c r="BE222" s="186">
        <f t="shared" si="603"/>
        <v>0.61799148971758899</v>
      </c>
      <c r="BF222" s="109">
        <f t="shared" si="604"/>
        <v>0.5877400000000006</v>
      </c>
    </row>
    <row r="223" spans="1:58">
      <c r="B223" s="22" t="str">
        <f t="shared" si="598"/>
        <v>COM_PROJ</v>
      </c>
      <c r="C223" s="23" t="str">
        <f t="shared" si="599"/>
        <v>-</v>
      </c>
      <c r="D223" s="57" t="str">
        <f t="shared" si="600"/>
        <v>TPPUMBT</v>
      </c>
      <c r="E223" s="23" t="str">
        <f t="shared" si="601"/>
        <v>-</v>
      </c>
      <c r="F223" s="23" t="str">
        <f t="shared" si="601"/>
        <v>-</v>
      </c>
      <c r="G223" s="23" t="str">
        <f t="shared" si="601"/>
        <v>-</v>
      </c>
      <c r="H223" s="23" t="str">
        <f t="shared" si="601"/>
        <v>-</v>
      </c>
      <c r="I223" s="22">
        <f t="shared" si="602"/>
        <v>0</v>
      </c>
      <c r="J223" s="186">
        <f>INDEX('[2]TS BYDem'!J$10:J$59,MATCH($D223,'[2]TS BYDem'!D$10:D$59,0))</f>
        <v>6.1732186716195621</v>
      </c>
      <c r="K223" s="186" cm="1">
        <f t="array" ref="K223">IF(K$218=-1,L223,IF(K$218=99,BE223,IF(K$218=0,INDEX($E190:$M190,0,K$216),(INDEX($E190:$M190,0,K$218+1)-INDEX($E190:$M190,0,K$218))/(INDEX($E$185:$M$185,0,K$218+1)-INDEX($E$185:$M$185,0,K$218))+BE223)))</f>
        <v>6.1714992841593981</v>
      </c>
      <c r="L223" s="186" cm="1">
        <f t="array" ref="L223">IF(L$218=-1,M223,IF(L$218=99,K223,IF(L$218=0,INDEX($E190:$M190,0,L$216),(INDEX($E190:$M190,0,L$218+1)-INDEX($E190:$M190,0,L$218))/(INDEX($E$185:$M$185,0,L$218+1)-INDEX($E$185:$M$185,0,L$218))+K223)))</f>
        <v>6.4731729485818583</v>
      </c>
      <c r="M223" s="186" cm="1">
        <f t="array" ref="M223">IF(M$218=-1,N223,IF(M$218=99,L223,IF(M$218=0,INDEX($E190:$M190,0,M$216),(INDEX($E190:$M190,0,M$218+1)-INDEX($E190:$M190,0,M$218))/(INDEX($E$185:$M$185,0,M$218+1)-INDEX($E$185:$M$185,0,M$218))+L223)))</f>
        <v>6.7748466130043186</v>
      </c>
      <c r="N223" s="24" cm="1">
        <f t="array" ref="N223">IF(N$218=-1,O223,IF(N$218=99,M223,IF(N$218=0,INDEX($E190:$M190,0,N$216),(INDEX($E190:$M190,0,N$218+1)-INDEX($E190:$M190,0,N$218))/(INDEX($E$185:$M$185,0,N$218+1)-INDEX($E$185:$M$185,0,N$218))+M223)))</f>
        <v>6.8833871193047518</v>
      </c>
      <c r="O223" s="24" cm="1">
        <f t="array" ref="O223">IF(O$218=-1,P223,IF(O$218=99,N223,IF(O$218=0,INDEX($E190:$M190,0,O$216),(INDEX($E190:$M190,0,O$218+1)-INDEX($E190:$M190,0,O$218))/(INDEX($E$185:$M$185,0,O$218+1)-INDEX($E$185:$M$185,0,O$218))+N223)))</f>
        <v>6.9919276256051859</v>
      </c>
      <c r="P223" s="186" cm="1">
        <f t="array" ref="P223">IF(P$218=-1,Q223,IF(P$218=99,O223,IF(P$218=0,INDEX($E190:$M190,0,P$216),(INDEX($E190:$M190,0,P$218+1)-INDEX($E190:$M190,0,P$218))/(INDEX($E$185:$M$185,0,P$218+1)-INDEX($E$185:$M$185,0,P$218))+O223)))</f>
        <v>7.0719853796268266</v>
      </c>
      <c r="Q223" s="186" cm="1">
        <f t="array" ref="Q223">IF(Q$218=-1,R223,IF(Q$218=99,P223,IF(Q$218=0,INDEX($E190:$M190,0,Q$216),(INDEX($E190:$M190,0,Q$218+1)-INDEX($E190:$M190,0,Q$218))/(INDEX($E$185:$M$185,0,Q$218+1)-INDEX($E$185:$M$185,0,Q$218))+P223)))</f>
        <v>7.1520431336484673</v>
      </c>
      <c r="R223" s="186" cm="1">
        <f t="array" ref="R223">IF(R$218=-1,S223,IF(R$218=99,Q223,IF(R$218=0,INDEX($E190:$M190,0,R$216),(INDEX($E190:$M190,0,R$218+1)-INDEX($E190:$M190,0,R$218))/(INDEX($E$185:$M$185,0,R$218+1)-INDEX($E$185:$M$185,0,R$218))+Q223)))</f>
        <v>7.2803161508670957</v>
      </c>
      <c r="S223" s="186" cm="1">
        <f t="array" ref="S223">IF(S$218=-1,T223,IF(S$218=99,R223,IF(S$218=0,INDEX($E190:$M190,0,S$216),(INDEX($E190:$M190,0,S$218+1)-INDEX($E190:$M190,0,S$218))/(INDEX($E$185:$M$185,0,S$218+1)-INDEX($E$185:$M$185,0,S$218))+R223)))</f>
        <v>7.3838150179515463</v>
      </c>
      <c r="T223" s="186" cm="1">
        <f t="array" ref="T223">IF(T$218=-1,U223,IF(T$218=99,S223,IF(T$218=0,INDEX($E190:$M190,0,T$216),(INDEX($E190:$M190,0,T$218+1)-INDEX($E190:$M190,0,T$218))/(INDEX($E$185:$M$185,0,T$218+1)-INDEX($E$185:$M$185,0,T$218))+S223)))</f>
        <v>7.3986849046509402</v>
      </c>
      <c r="U223" s="186" cm="1">
        <f t="array" ref="U223">IF(U$218=-1,V223,IF(U$218=99,T223,IF(U$218=0,INDEX($E190:$M190,0,U$216),(INDEX($E190:$M190,0,U$218+1)-INDEX($E190:$M190,0,U$218))/(INDEX($E$185:$M$185,0,U$218+1)-INDEX($E$185:$M$185,0,U$218))+T223)))</f>
        <v>7.4135547913503341</v>
      </c>
      <c r="V223" s="186" cm="1">
        <f t="array" ref="V223">IF(V$218=-1,W223,IF(V$218=99,U223,IF(V$218=0,INDEX($E190:$M190,0,V$216),(INDEX($E190:$M190,0,V$218+1)-INDEX($E190:$M190,0,V$218))/(INDEX($E$185:$M$185,0,V$218+1)-INDEX($E$185:$M$185,0,V$218))+U223)))</f>
        <v>7.4284246780497281</v>
      </c>
      <c r="W223" s="186" cm="1">
        <f t="array" ref="W223">IF(W$218=-1,X223,IF(W$218=99,V223,IF(W$218=0,INDEX($E190:$M190,0,W$216),(INDEX($E190:$M190,0,W$218+1)-INDEX($E190:$M190,0,W$218))/(INDEX($E$185:$M$185,0,W$218+1)-INDEX($E$185:$M$185,0,W$218))+V223)))</f>
        <v>7.443294564749122</v>
      </c>
      <c r="X223" s="186" cm="1">
        <f t="array" ref="X223">IF(X$218=-1,Y223,IF(X$218=99,W223,IF(X$218=0,INDEX($E190:$M190,0,X$216),(INDEX($E190:$M190,0,X$218+1)-INDEX($E190:$M190,0,X$218))/(INDEX($E$185:$M$185,0,X$218+1)-INDEX($E$185:$M$185,0,X$218))+W223)))</f>
        <v>7.4581644514485159</v>
      </c>
      <c r="Y223" s="186" cm="1">
        <f t="array" ref="Y223">IF(Y$218=-1,Z223,IF(Y$218=99,X223,IF(Y$218=0,INDEX($E190:$M190,0,Y$216),(INDEX($E190:$M190,0,Y$218+1)-INDEX($E190:$M190,0,Y$218))/(INDEX($E$185:$M$185,0,Y$218+1)-INDEX($E$185:$M$185,0,Y$218))+X223)))</f>
        <v>7.4730343381479098</v>
      </c>
      <c r="Z223" s="186" cm="1">
        <f t="array" ref="Z223">IF(Z$218=-1,AA223,IF(Z$218=99,Y223,IF(Z$218=0,INDEX($E190:$M190,0,Z$216),(INDEX($E190:$M190,0,Z$218+1)-INDEX($E190:$M190,0,Z$218))/(INDEX($E$185:$M$185,0,Z$218+1)-INDEX($E$185:$M$185,0,Z$218))+Y223)))</f>
        <v>7.4879042248473038</v>
      </c>
      <c r="AA223" s="186" cm="1">
        <f t="array" ref="AA223">IF(AA$218=-1,AB223,IF(AA$218=99,Z223,IF(AA$218=0,INDEX($E190:$M190,0,AA$216),(INDEX($E190:$M190,0,AA$218+1)-INDEX($E190:$M190,0,AA$218))/(INDEX($E$185:$M$185,0,AA$218+1)-INDEX($E$185:$M$185,0,AA$218))+Z223)))</f>
        <v>7.5027741115466977</v>
      </c>
      <c r="AB223" s="186" cm="1">
        <f t="array" ref="AB223">IF(AB$218=-1,AC223,IF(AB$218=99,AA223,IF(AB$218=0,INDEX($E190:$M190,0,AB$216),(INDEX($E190:$M190,0,AB$218+1)-INDEX($E190:$M190,0,AB$218))/(INDEX($E$185:$M$185,0,AB$218+1)-INDEX($E$185:$M$185,0,AB$218))+AA223)))</f>
        <v>7.5176439982460925</v>
      </c>
      <c r="AC223" s="186" cm="1">
        <f t="array" ref="AC223">IF(AC$218=-1,AD223,IF(AC$218=99,AB223,IF(AC$218=0,INDEX($E190:$M190,0,AC$216),(INDEX($E190:$M190,0,AC$218+1)-INDEX($E190:$M190,0,AC$218))/(INDEX($E$185:$M$185,0,AC$218+1)-INDEX($E$185:$M$185,0,AC$218))+AB223)))</f>
        <v>7.4866206760200864</v>
      </c>
      <c r="AD223" s="186" cm="1">
        <f t="array" ref="AD223">IF(AD$218=-1,AE223,IF(AD$218=99,AC223,IF(AD$218=0,INDEX($E190:$M190,0,AD$216),(INDEX($E190:$M190,0,AD$218+1)-INDEX($E190:$M190,0,AD$218))/(INDEX($E$185:$M$185,0,AD$218+1)-INDEX($E$185:$M$185,0,AD$218))+AC223)))</f>
        <v>7.4555973537940803</v>
      </c>
      <c r="AE223" s="186" cm="1">
        <f t="array" ref="AE223">IF(AE$218=-1,AF223,IF(AE$218=99,AD223,IF(AE$218=0,INDEX($E190:$M190,0,AE$216),(INDEX($E190:$M190,0,AE$218+1)-INDEX($E190:$M190,0,AE$218))/(INDEX($E$185:$M$185,0,AE$218+1)-INDEX($E$185:$M$185,0,AE$218))+AD223)))</f>
        <v>7.4245740315680742</v>
      </c>
      <c r="AF223" s="186" cm="1">
        <f t="array" ref="AF223">IF(AF$218=-1,AG223,IF(AF$218=99,AE223,IF(AF$218=0,INDEX($E190:$M190,0,AF$216),(INDEX($E190:$M190,0,AF$218+1)-INDEX($E190:$M190,0,AF$218))/(INDEX($E$185:$M$185,0,AF$218+1)-INDEX($E$185:$M$185,0,AF$218))+AE223)))</f>
        <v>7.393550709342068</v>
      </c>
      <c r="AG223" s="186" cm="1">
        <f t="array" ref="AG223">IF(AG$218=-1,AH223,IF(AG$218=99,AF223,IF(AG$218=0,INDEX($E190:$M190,0,AG$216),(INDEX($E190:$M190,0,AG$218+1)-INDEX($E190:$M190,0,AG$218))/(INDEX($E$185:$M$185,0,AG$218+1)-INDEX($E$185:$M$185,0,AG$218))+AF223)))</f>
        <v>7.3625273871160619</v>
      </c>
      <c r="AH223" s="186" cm="1">
        <f t="array" ref="AH223">IF(AH$218=-1,AI223,IF(AH$218=99,AG223,IF(AH$218=0,INDEX($E190:$M190,0,AH$216),(INDEX($E190:$M190,0,AH$218+1)-INDEX($E190:$M190,0,AH$218))/(INDEX($E$185:$M$185,0,AH$218+1)-INDEX($E$185:$M$185,0,AH$218))+AG223)))</f>
        <v>7.3315040648900558</v>
      </c>
      <c r="AI223" s="186" cm="1">
        <f t="array" ref="AI223">IF(AI$218=-1,AJ223,IF(AI$218=99,AH223,IF(AI$218=0,INDEX($E190:$M190,0,AI$216),(INDEX($E190:$M190,0,AI$218+1)-INDEX($E190:$M190,0,AI$218))/(INDEX($E$185:$M$185,0,AI$218+1)-INDEX($E$185:$M$185,0,AI$218))+AH223)))</f>
        <v>7.3004807426640497</v>
      </c>
      <c r="AJ223" s="186" cm="1">
        <f t="array" ref="AJ223">IF(AJ$218=-1,AK223,IF(AJ$218=99,AI223,IF(AJ$218=0,INDEX($E190:$M190,0,AJ$216),(INDEX($E190:$M190,0,AJ$218+1)-INDEX($E190:$M190,0,AJ$218))/(INDEX($E$185:$M$185,0,AJ$218+1)-INDEX($E$185:$M$185,0,AJ$218))+AI223)))</f>
        <v>7.2694574204380435</v>
      </c>
      <c r="AK223" s="186" cm="1">
        <f t="array" ref="AK223">IF(AK$218=-1,AL223,IF(AK$218=99,AJ223,IF(AK$218=0,INDEX($E190:$M190,0,AK$216),(INDEX($E190:$M190,0,AK$218+1)-INDEX($E190:$M190,0,AK$218))/(INDEX($E$185:$M$185,0,AK$218+1)-INDEX($E$185:$M$185,0,AK$218))+AJ223)))</f>
        <v>7.2384340982120374</v>
      </c>
      <c r="AL223" s="186" cm="1">
        <f t="array" ref="AL223">IF(AL$218=-1,AM223,IF(AL$218=99,AK223,IF(AL$218=0,INDEX($E190:$M190,0,AL$216),(INDEX($E190:$M190,0,AL$218+1)-INDEX($E190:$M190,0,AL$218))/(INDEX($E$185:$M$185,0,AL$218+1)-INDEX($E$185:$M$185,0,AL$218))+AK223)))</f>
        <v>7.2074107759860322</v>
      </c>
      <c r="AM223" s="299">
        <f t="shared" si="605"/>
        <v>6.9581003263742307</v>
      </c>
      <c r="AN223" s="186" cm="1">
        <f t="array" ref="AN223">IF(AN$218=-1,AO223,IF(AN$218=99,AM223,IF(AN$218=0,INDEX($E190:$M190,0,AN$216),(INDEX($E190:$M190,0,AN$218+1)-INDEX($E190:$M190,0,AN$218))/(INDEX($E$185:$M$185,0,AN$218+1)-INDEX($E$185:$M$185,0,AN$218))+AM223)))</f>
        <v>6.7087898767624283</v>
      </c>
      <c r="AO223" s="186" cm="1">
        <f t="array" ref="AO223">IF(AO$218=-1,AP223,IF(AO$218=99,AN223,IF(AO$218=0,INDEX($E190:$M190,0,AO$216),(INDEX($E190:$M190,0,AO$218+1)-INDEX($E190:$M190,0,AO$218))/(INDEX($E$185:$M$185,0,AO$218+1)-INDEX($E$185:$M$185,0,AO$218))+AN223)))</f>
        <v>6.7087898767624283</v>
      </c>
      <c r="AP223" s="186" cm="1">
        <f t="array" ref="AP223">IF(AP$218=-1,#REF!,IF(AP$218=99,AO223,IF(AP$218=0,INDEX($E190:$M190,0,AP$216),(INDEX($E190:$M190,0,AP$218+1)-INDEX($E190:$M190,0,AP$218))/(INDEX($E$185:$M$185,0,AP$218+1)-INDEX($E$185:$M$185,0,AP$218))+AO223)))</f>
        <v>6.7087898767624283</v>
      </c>
      <c r="AQ223" s="186"/>
      <c r="AT223" s="186"/>
      <c r="AU223" s="186"/>
      <c r="BE223" s="186">
        <f t="shared" si="603"/>
        <v>5.8698256197369378</v>
      </c>
      <c r="BF223" s="109">
        <f t="shared" si="604"/>
        <v>4.9146655581378935E-2</v>
      </c>
    </row>
    <row r="224" spans="1:58">
      <c r="B224" s="22" t="str">
        <f t="shared" si="598"/>
        <v>COM_PROJ</v>
      </c>
      <c r="C224" s="23" t="str">
        <f t="shared" si="599"/>
        <v>-</v>
      </c>
      <c r="D224" s="57" t="str">
        <f t="shared" si="600"/>
        <v>TPPUBRT</v>
      </c>
      <c r="E224" s="23" t="str">
        <f t="shared" si="601"/>
        <v>-</v>
      </c>
      <c r="F224" s="23" t="str">
        <f t="shared" si="601"/>
        <v>-</v>
      </c>
      <c r="G224" s="23" t="str">
        <f t="shared" si="601"/>
        <v>-</v>
      </c>
      <c r="H224" s="23" t="str">
        <f t="shared" si="601"/>
        <v>-</v>
      </c>
      <c r="I224" s="22">
        <f t="shared" si="602"/>
        <v>0</v>
      </c>
      <c r="J224" s="186">
        <f>INDEX('[2]TS BYDem'!J$10:J$59,MATCH($D224,'[2]TS BYDem'!D$10:D$59,0))</f>
        <v>0</v>
      </c>
      <c r="K224" s="186" cm="1">
        <f t="array" ref="K224">IF(K$218=-1,L224,IF(K$218=99,BE224,IF(K$218=0,INDEX($E191:$M191,0,K$216),(INDEX($E191:$M191,0,K$218+1)-INDEX($E191:$M191,0,K$218))/(INDEX($E$185:$M$185,0,K$218+1)-INDEX($E$185:$M$185,0,K$218))+BE224)))</f>
        <v>2.4743662039261104E-2</v>
      </c>
      <c r="L224" s="186" cm="1">
        <f t="array" ref="L224">IF(L$218=-1,M224,IF(L$218=99,K224,IF(L$218=0,INDEX($E191:$M191,0,L$216),(INDEX($E191:$M191,0,L$218+1)-INDEX($E191:$M191,0,L$218))/(INDEX($E$185:$M$185,0,L$218+1)-INDEX($E$185:$M$185,0,L$218))+K224)))</f>
        <v>2.8399581228355071E-2</v>
      </c>
      <c r="M224" s="186" cm="1">
        <f t="array" ref="M224">IF(M$218=-1,N224,IF(M$218=99,L224,IF(M$218=0,INDEX($E191:$M191,0,M$216),(INDEX($E191:$M191,0,M$218+1)-INDEX($E191:$M191,0,M$218))/(INDEX($E$185:$M$185,0,M$218+1)-INDEX($E$185:$M$185,0,M$218))+L224)))</f>
        <v>3.2055500417449041E-2</v>
      </c>
      <c r="N224" s="186" cm="1">
        <f t="array" ref="N224">IF(N$218=-1,O224,IF(N$218=99,M224,IF(N$218=0,INDEX($E191:$M191,0,N$216),(INDEX($E191:$M191,0,N$218+1)-INDEX($E191:$M191,0,N$218))/(INDEX($E$185:$M$185,0,N$218+1)-INDEX($E$185:$M$185,0,N$218))+M224)))</f>
        <v>4.7519121895018071E-2</v>
      </c>
      <c r="O224" s="186" cm="1">
        <f t="array" ref="O224">IF(O$218=-1,P224,IF(O$218=99,N224,IF(O$218=0,INDEX($E191:$M191,0,O$216),(INDEX($E191:$M191,0,O$218+1)-INDEX($E191:$M191,0,O$218))/(INDEX($E$185:$M$185,0,O$218+1)-INDEX($E$185:$M$185,0,O$218))+N224)))</f>
        <v>6.2982743372587108E-2</v>
      </c>
      <c r="P224" s="186" cm="1">
        <f t="array" ref="P224">IF(P$218=-1,Q224,IF(P$218=99,O224,IF(P$218=0,INDEX($E191:$M191,0,P$216),(INDEX($E191:$M191,0,P$218+1)-INDEX($E191:$M191,0,P$218))/(INDEX($E$185:$M$185,0,P$218+1)-INDEX($E$185:$M$185,0,P$218))+O224)))</f>
        <v>8.1980795939356782E-2</v>
      </c>
      <c r="Q224" s="186" cm="1">
        <f t="array" ref="Q224">IF(Q$218=-1,R224,IF(Q$218=99,P224,IF(Q$218=0,INDEX($E191:$M191,0,Q$216),(INDEX($E191:$M191,0,Q$218+1)-INDEX($E191:$M191,0,Q$218))/(INDEX($E$185:$M$185,0,Q$218+1)-INDEX($E$185:$M$185,0,Q$218))+P224)))</f>
        <v>0.10097884850612647</v>
      </c>
      <c r="R224" s="186" cm="1">
        <f t="array" ref="R224">IF(R$218=-1,S224,IF(R$218=99,Q224,IF(R$218=0,INDEX($E191:$M191,0,R$216),(INDEX($E191:$M191,0,R$218+1)-INDEX($E191:$M191,0,R$218))/(INDEX($E$185:$M$185,0,R$218+1)-INDEX($E$185:$M$185,0,R$218))+Q224)))</f>
        <v>0.10238010429217448</v>
      </c>
      <c r="S224" s="186" cm="1">
        <f t="array" ref="S224">IF(S$218=-1,T224,IF(S$218=99,R224,IF(S$218=0,INDEX($E191:$M191,0,S$216),(INDEX($E191:$M191,0,S$218+1)-INDEX($E191:$M191,0,S$218))/(INDEX($E$185:$M$185,0,S$218+1)-INDEX($E$185:$M$185,0,S$218))+R224)))</f>
        <v>0.2942392564401286</v>
      </c>
      <c r="T224" s="186" cm="1">
        <f t="array" ref="T224">IF(T$218=-1,U224,IF(T$218=99,S224,IF(T$218=0,INDEX($E191:$M191,0,T$216),(INDEX($E191:$M191,0,T$218+1)-INDEX($E191:$M191,0,T$218))/(INDEX($E$185:$M$185,0,T$218+1)-INDEX($E$185:$M$185,0,T$218))+S224)))</f>
        <v>0.32452286213885756</v>
      </c>
      <c r="U224" s="186" cm="1">
        <f t="array" ref="U224">IF(U$218=-1,V224,IF(U$218=99,T224,IF(U$218=0,INDEX($E191:$M191,0,U$216),(INDEX($E191:$M191,0,U$218+1)-INDEX($E191:$M191,0,U$218))/(INDEX($E$185:$M$185,0,U$218+1)-INDEX($E$185:$M$185,0,U$218))+T224)))</f>
        <v>0.35480646783758651</v>
      </c>
      <c r="V224" s="186" cm="1">
        <f t="array" ref="V224">IF(V$218=-1,W224,IF(V$218=99,U224,IF(V$218=0,INDEX($E191:$M191,0,V$216),(INDEX($E191:$M191,0,V$218+1)-INDEX($E191:$M191,0,V$218))/(INDEX($E$185:$M$185,0,V$218+1)-INDEX($E$185:$M$185,0,V$218))+U224)))</f>
        <v>0.38509007353631547</v>
      </c>
      <c r="W224" s="186" cm="1">
        <f t="array" ref="W224">IF(W$218=-1,X224,IF(W$218=99,V224,IF(W$218=0,INDEX($E191:$M191,0,W$216),(INDEX($E191:$M191,0,W$218+1)-INDEX($E191:$M191,0,W$218))/(INDEX($E$185:$M$185,0,W$218+1)-INDEX($E$185:$M$185,0,W$218))+V224)))</f>
        <v>0.41537367923504442</v>
      </c>
      <c r="X224" s="186" cm="1">
        <f t="array" ref="X224">IF(X$218=-1,Y224,IF(X$218=99,W224,IF(X$218=0,INDEX($E191:$M191,0,X$216),(INDEX($E191:$M191,0,X$218+1)-INDEX($E191:$M191,0,X$218))/(INDEX($E$185:$M$185,0,X$218+1)-INDEX($E$185:$M$185,0,X$218))+W224)))</f>
        <v>0.44565728493377338</v>
      </c>
      <c r="Y224" s="186" cm="1">
        <f t="array" ref="Y224">IF(Y$218=-1,Z224,IF(Y$218=99,X224,IF(Y$218=0,INDEX($E191:$M191,0,Y$216),(INDEX($E191:$M191,0,Y$218+1)-INDEX($E191:$M191,0,Y$218))/(INDEX($E$185:$M$185,0,Y$218+1)-INDEX($E$185:$M$185,0,Y$218))+X224)))</f>
        <v>0.47594089063250233</v>
      </c>
      <c r="Z224" s="186" cm="1">
        <f t="array" ref="Z224">IF(Z$218=-1,AA224,IF(Z$218=99,Y224,IF(Z$218=0,INDEX($E191:$M191,0,Z$216),(INDEX($E191:$M191,0,Z$218+1)-INDEX($E191:$M191,0,Z$218))/(INDEX($E$185:$M$185,0,Z$218+1)-INDEX($E$185:$M$185,0,Z$218))+Y224)))</f>
        <v>0.50622449633123123</v>
      </c>
      <c r="AA224" s="186" cm="1">
        <f t="array" ref="AA224">IF(AA$218=-1,AB224,IF(AA$218=99,Z224,IF(AA$218=0,INDEX($E191:$M191,0,AA$216),(INDEX($E191:$M191,0,AA$218+1)-INDEX($E191:$M191,0,AA$218))/(INDEX($E$185:$M$185,0,AA$218+1)-INDEX($E$185:$M$185,0,AA$218))+Z224)))</f>
        <v>0.53650810202996013</v>
      </c>
      <c r="AB224" s="186" cm="1">
        <f t="array" ref="AB224">IF(AB$218=-1,AC224,IF(AB$218=99,AA224,IF(AB$218=0,INDEX($E191:$M191,0,AB$216),(INDEX($E191:$M191,0,AB$218+1)-INDEX($E191:$M191,0,AB$218))/(INDEX($E$185:$M$185,0,AB$218+1)-INDEX($E$185:$M$185,0,AB$218))+AA224)))</f>
        <v>0.56679170772868903</v>
      </c>
      <c r="AC224" s="186" cm="1">
        <f t="array" ref="AC224">IF(AC$218=-1,AD224,IF(AC$218=99,AB224,IF(AC$218=0,INDEX($E191:$M191,0,AC$216),(INDEX($E191:$M191,0,AC$218+1)-INDEX($E191:$M191,0,AC$218))/(INDEX($E$185:$M$185,0,AC$218+1)-INDEX($E$185:$M$185,0,AC$218))+AB224)))</f>
        <v>0.61851803835016128</v>
      </c>
      <c r="AD224" s="186" cm="1">
        <f t="array" ref="AD224">IF(AD$218=-1,AE224,IF(AD$218=99,AC224,IF(AD$218=0,INDEX($E191:$M191,0,AD$216),(INDEX($E191:$M191,0,AD$218+1)-INDEX($E191:$M191,0,AD$218))/(INDEX($E$185:$M$185,0,AD$218+1)-INDEX($E$185:$M$185,0,AD$218))+AC224)))</f>
        <v>0.67024436897163353</v>
      </c>
      <c r="AE224" s="186" cm="1">
        <f t="array" ref="AE224">IF(AE$218=-1,AF224,IF(AE$218=99,AD224,IF(AE$218=0,INDEX($E191:$M191,0,AE$216),(INDEX($E191:$M191,0,AE$218+1)-INDEX($E191:$M191,0,AE$218))/(INDEX($E$185:$M$185,0,AE$218+1)-INDEX($E$185:$M$185,0,AE$218))+AD224)))</f>
        <v>0.72197069959310578</v>
      </c>
      <c r="AF224" s="186" cm="1">
        <f t="array" ref="AF224">IF(AF$218=-1,AG224,IF(AF$218=99,AE224,IF(AF$218=0,INDEX($E191:$M191,0,AF$216),(INDEX($E191:$M191,0,AF$218+1)-INDEX($E191:$M191,0,AF$218))/(INDEX($E$185:$M$185,0,AF$218+1)-INDEX($E$185:$M$185,0,AF$218))+AE224)))</f>
        <v>0.77369703021457803</v>
      </c>
      <c r="AG224" s="186" cm="1">
        <f t="array" ref="AG224">IF(AG$218=-1,AH224,IF(AG$218=99,AF224,IF(AG$218=0,INDEX($E191:$M191,0,AG$216),(INDEX($E191:$M191,0,AG$218+1)-INDEX($E191:$M191,0,AG$218))/(INDEX($E$185:$M$185,0,AG$218+1)-INDEX($E$185:$M$185,0,AG$218))+AF224)))</f>
        <v>0.82542336083605028</v>
      </c>
      <c r="AH224" s="186" cm="1">
        <f t="array" ref="AH224">IF(AH$218=-1,AI224,IF(AH$218=99,AG224,IF(AH$218=0,INDEX($E191:$M191,0,AH$216),(INDEX($E191:$M191,0,AH$218+1)-INDEX($E191:$M191,0,AH$218))/(INDEX($E$185:$M$185,0,AH$218+1)-INDEX($E$185:$M$185,0,AH$218))+AG224)))</f>
        <v>0.87714969145752253</v>
      </c>
      <c r="AI224" s="186" cm="1">
        <f t="array" ref="AI224">IF(AI$218=-1,AJ224,IF(AI$218=99,AH224,IF(AI$218=0,INDEX($E191:$M191,0,AI$216),(INDEX($E191:$M191,0,AI$218+1)-INDEX($E191:$M191,0,AI$218))/(INDEX($E$185:$M$185,0,AI$218+1)-INDEX($E$185:$M$185,0,AI$218))+AH224)))</f>
        <v>0.92887602207899478</v>
      </c>
      <c r="AJ224" s="186" cm="1">
        <f t="array" ref="AJ224">IF(AJ$218=-1,AK224,IF(AJ$218=99,AI224,IF(AJ$218=0,INDEX($E191:$M191,0,AJ$216),(INDEX($E191:$M191,0,AJ$218+1)-INDEX($E191:$M191,0,AJ$218))/(INDEX($E$185:$M$185,0,AJ$218+1)-INDEX($E$185:$M$185,0,AJ$218))+AI224)))</f>
        <v>0.98060235270046703</v>
      </c>
      <c r="AK224" s="186" cm="1">
        <f t="array" ref="AK224">IF(AK$218=-1,AL224,IF(AK$218=99,AJ224,IF(AK$218=0,INDEX($E191:$M191,0,AK$216),(INDEX($E191:$M191,0,AK$218+1)-INDEX($E191:$M191,0,AK$218))/(INDEX($E$185:$M$185,0,AK$218+1)-INDEX($E$185:$M$185,0,AK$218))+AJ224)))</f>
        <v>1.0323286833219392</v>
      </c>
      <c r="AL224" s="186" cm="1">
        <f t="array" ref="AL224">IF(AL$218=-1,AM224,IF(AL$218=99,AK224,IF(AL$218=0,INDEX($E191:$M191,0,AL$216),(INDEX($E191:$M191,0,AL$218+1)-INDEX($E191:$M191,0,AL$218))/(INDEX($E$185:$M$185,0,AL$218+1)-INDEX($E$185:$M$185,0,AL$218))+AK224)))</f>
        <v>1.0840550139434115</v>
      </c>
      <c r="AM224" s="299">
        <f t="shared" si="605"/>
        <v>1.329819508228592</v>
      </c>
      <c r="AN224" s="186" cm="1">
        <f t="array" ref="AN224">IF(AN$218=-1,AO224,IF(AN$218=99,AM224,IF(AN$218=0,INDEX($E191:$M191,0,AN$216),(INDEX($E191:$M191,0,AN$218+1)-INDEX($E191:$M191,0,AN$218))/(INDEX($E$185:$M$185,0,AN$218+1)-INDEX($E$185:$M$185,0,AN$218))+AM224)))</f>
        <v>1.5755840025137724</v>
      </c>
      <c r="AO224" s="186" cm="1">
        <f t="array" ref="AO224">IF(AO$218=-1,AP224,IF(AO$218=99,AN224,IF(AO$218=0,INDEX($E191:$M191,0,AO$216),(INDEX($E191:$M191,0,AO$218+1)-INDEX($E191:$M191,0,AO$218))/(INDEX($E$185:$M$185,0,AO$218+1)-INDEX($E$185:$M$185,0,AO$218))+AN224)))</f>
        <v>1.5755840025137724</v>
      </c>
      <c r="AP224" s="186" cm="1">
        <f t="array" ref="AP224">IF(AP$218=-1,#REF!,IF(AP$218=99,AO224,IF(AP$218=0,INDEX($E191:$M191,0,AP$216),(INDEX($E191:$M191,0,AP$218+1)-INDEX($E191:$M191,0,AP$218))/(INDEX($E$185:$M$185,0,AP$218+1)-INDEX($E$185:$M$185,0,AP$218))+AO224)))</f>
        <v>1.5755840025137724</v>
      </c>
      <c r="AQ224" s="186"/>
      <c r="AT224" s="186"/>
      <c r="AU224" s="186"/>
      <c r="BE224" s="186">
        <f t="shared" si="603"/>
        <v>2.1087742850167138E-2</v>
      </c>
      <c r="BF224" s="109" t="e">
        <f t="shared" si="604"/>
        <v>#DIV/0!</v>
      </c>
    </row>
    <row r="225" spans="1:58">
      <c r="B225" s="22" t="str">
        <f t="shared" si="598"/>
        <v>COM_PROJ</v>
      </c>
      <c r="C225" s="23" t="str">
        <f t="shared" si="599"/>
        <v>-</v>
      </c>
      <c r="D225" s="57" t="str">
        <f t="shared" si="600"/>
        <v>TPPUMER</v>
      </c>
      <c r="E225" s="23" t="str">
        <f t="shared" si="601"/>
        <v>-</v>
      </c>
      <c r="F225" s="23" t="str">
        <f t="shared" si="601"/>
        <v>-</v>
      </c>
      <c r="G225" s="23" t="str">
        <f t="shared" si="601"/>
        <v>-</v>
      </c>
      <c r="H225" s="23" t="str">
        <f t="shared" si="601"/>
        <v>-</v>
      </c>
      <c r="I225" s="22">
        <f t="shared" si="602"/>
        <v>0</v>
      </c>
      <c r="J225" s="186">
        <f>INDEX('[2]TS BYDem'!J$10:J$59,MATCH($D225,'[2]TS BYDem'!D$10:D$59,0))</f>
        <v>15.8</v>
      </c>
      <c r="K225" s="186" cm="1">
        <f t="array" ref="K225">IF(K$218=-1,L225,IF(K$218=99,BE225,IF(K$218=0,INDEX($E192:$M192,0,K$216),(INDEX($E192:$M192,0,K$218+1)-INDEX($E192:$M192,0,K$218))/(INDEX($E$185:$M$185,0,K$218+1)-INDEX($E$185:$M$185,0,K$218))+BE225)))</f>
        <v>14.123137325530998</v>
      </c>
      <c r="L225" s="186" cm="1">
        <f t="array" ref="L225">IF(L$218=-1,M225,IF(L$218=99,K225,IF(L$218=0,INDEX($E192:$M192,0,L$216),(INDEX($E192:$M192,0,L$218+1)-INDEX($E192:$M192,0,L$218))/(INDEX($E$185:$M$185,0,L$218+1)-INDEX($E$185:$M$185,0,L$218))+K225)))</f>
        <v>13.222791809247783</v>
      </c>
      <c r="M225" s="186" cm="1">
        <f t="array" ref="M225">IF(M$218=-1,N225,IF(M$218=99,L225,IF(M$218=0,INDEX($E192:$M192,0,M$216),(INDEX($E192:$M192,0,M$218+1)-INDEX($E192:$M192,0,M$218))/(INDEX($E$185:$M$185,0,M$218+1)-INDEX($E$185:$M$185,0,M$218))+L225)))</f>
        <v>12.322446292964566</v>
      </c>
      <c r="N225" s="186" cm="1">
        <f t="array" ref="N225">IF(N$218=-1,O225,IF(N$218=99,M225,IF(N$218=0,INDEX($E192:$M192,0,N$216),(INDEX($E192:$M192,0,N$218+1)-INDEX($E192:$M192,0,N$218))/(INDEX($E$185:$M$185,0,N$218+1)-INDEX($E$185:$M$185,0,N$218))+M225)))</f>
        <v>10.474251298675517</v>
      </c>
      <c r="O225" s="186" cm="1">
        <f t="array" ref="O225">IF(O$218=-1,P225,IF(O$218=99,N225,IF(O$218=0,INDEX($E192:$M192,0,O$216),(INDEX($E192:$M192,0,O$218+1)-INDEX($E192:$M192,0,O$218))/(INDEX($E$185:$M$185,0,O$218+1)-INDEX($E$185:$M$185,0,O$218))+N225)))</f>
        <v>8.6260563043864682</v>
      </c>
      <c r="P225" s="186" cm="1">
        <f t="array" ref="P225">IF(P$218=-1,Q225,IF(P$218=99,O225,IF(P$218=0,INDEX($E192:$M192,0,P$216),(INDEX($E192:$M192,0,P$218+1)-INDEX($E192:$M192,0,P$218))/(INDEX($E$185:$M$185,0,P$218+1)-INDEX($E$185:$M$185,0,P$218))+O225)))</f>
        <v>8.7248248744821311</v>
      </c>
      <c r="Q225" s="186" cm="1">
        <f t="array" ref="Q225">IF(Q$218=-1,R225,IF(Q$218=99,P225,IF(Q$218=0,INDEX($E192:$M192,0,Q$216),(INDEX($E192:$M192,0,Q$218+1)-INDEX($E192:$M192,0,Q$218))/(INDEX($E$185:$M$185,0,Q$218+1)-INDEX($E$185:$M$185,0,Q$218))+P225)))</f>
        <v>8.8235934445777957</v>
      </c>
      <c r="R225" s="186" cm="1">
        <f t="array" ref="R225">IF(R$218=-1,S225,IF(R$218=99,Q225,IF(R$218=0,INDEX($E192:$M192,0,R$216),(INDEX($E192:$M192,0,R$218+1)-INDEX($E192:$M192,0,R$218))/(INDEX($E$185:$M$185,0,R$218+1)-INDEX($E$185:$M$185,0,R$218))+Q225)))</f>
        <v>8.9818459792306626</v>
      </c>
      <c r="S225" s="186" cm="1">
        <f t="array" ref="S225">IF(S$218=-1,T225,IF(S$218=99,R225,IF(S$218=0,INDEX($E192:$M192,0,S$216),(INDEX($E192:$M192,0,S$218+1)-INDEX($E192:$M192,0,S$218))/(INDEX($E$185:$M$185,0,S$218+1)-INDEX($E$185:$M$185,0,S$218))+R225)))</f>
        <v>9.109534236706498</v>
      </c>
      <c r="T225" s="186" cm="1">
        <f t="array" ref="T225">IF(T$218=-1,U225,IF(T$218=99,S225,IF(T$218=0,INDEX($E192:$M192,0,T$216),(INDEX($E192:$M192,0,T$218+1)-INDEX($E192:$M192,0,T$218))/(INDEX($E$185:$M$185,0,T$218+1)-INDEX($E$185:$M$185,0,T$218))+S225)))</f>
        <v>9.1278794609103482</v>
      </c>
      <c r="U225" s="186" cm="1">
        <f t="array" ref="U225">IF(U$218=-1,V225,IF(U$218=99,T225,IF(U$218=0,INDEX($E192:$M192,0,U$216),(INDEX($E192:$M192,0,U$218+1)-INDEX($E192:$M192,0,U$218))/(INDEX($E$185:$M$185,0,U$218+1)-INDEX($E$185:$M$185,0,U$218))+T225)))</f>
        <v>9.1462246851141984</v>
      </c>
      <c r="V225" s="186" cm="1">
        <f t="array" ref="V225">IF(V$218=-1,W225,IF(V$218=99,U225,IF(V$218=0,INDEX($E192:$M192,0,V$216),(INDEX($E192:$M192,0,V$218+1)-INDEX($E192:$M192,0,V$218))/(INDEX($E$185:$M$185,0,V$218+1)-INDEX($E$185:$M$185,0,V$218))+U225)))</f>
        <v>9.1645699093180486</v>
      </c>
      <c r="W225" s="186" cm="1">
        <f t="array" ref="W225">IF(W$218=-1,X225,IF(W$218=99,V225,IF(W$218=0,INDEX($E192:$M192,0,W$216),(INDEX($E192:$M192,0,W$218+1)-INDEX($E192:$M192,0,W$218))/(INDEX($E$185:$M$185,0,W$218+1)-INDEX($E$185:$M$185,0,W$218))+V225)))</f>
        <v>9.1829151335218988</v>
      </c>
      <c r="X225" s="186" cm="1">
        <f t="array" ref="X225">IF(X$218=-1,Y225,IF(X$218=99,W225,IF(X$218=0,INDEX($E192:$M192,0,X$216),(INDEX($E192:$M192,0,X$218+1)-INDEX($E192:$M192,0,X$218))/(INDEX($E$185:$M$185,0,X$218+1)-INDEX($E$185:$M$185,0,X$218))+W225)))</f>
        <v>9.201260357725749</v>
      </c>
      <c r="Y225" s="186" cm="1">
        <f t="array" ref="Y225">IF(Y$218=-1,Z225,IF(Y$218=99,X225,IF(Y$218=0,INDEX($E192:$M192,0,Y$216),(INDEX($E192:$M192,0,Y$218+1)-INDEX($E192:$M192,0,Y$218))/(INDEX($E$185:$M$185,0,Y$218+1)-INDEX($E$185:$M$185,0,Y$218))+X225)))</f>
        <v>9.2196055819295992</v>
      </c>
      <c r="Z225" s="186" cm="1">
        <f t="array" ref="Z225">IF(Z$218=-1,AA225,IF(Z$218=99,Y225,IF(Z$218=0,INDEX($E192:$M192,0,Z$216),(INDEX($E192:$M192,0,Z$218+1)-INDEX($E192:$M192,0,Z$218))/(INDEX($E$185:$M$185,0,Z$218+1)-INDEX($E$185:$M$185,0,Z$218))+Y225)))</f>
        <v>9.2379508061334494</v>
      </c>
      <c r="AA225" s="186" cm="1">
        <f t="array" ref="AA225">IF(AA$218=-1,AB225,IF(AA$218=99,Z225,IF(AA$218=0,INDEX($E192:$M192,0,AA$216),(INDEX($E192:$M192,0,AA$218+1)-INDEX($E192:$M192,0,AA$218))/(INDEX($E$185:$M$185,0,AA$218+1)-INDEX($E$185:$M$185,0,AA$218))+Z225)))</f>
        <v>9.2562960303372996</v>
      </c>
      <c r="AB225" s="186" cm="1">
        <f t="array" ref="AB225">IF(AB$218=-1,AC225,IF(AB$218=99,AA225,IF(AB$218=0,INDEX($E192:$M192,0,AB$216),(INDEX($E192:$M192,0,AB$218+1)-INDEX($E192:$M192,0,AB$218))/(INDEX($E$185:$M$185,0,AB$218+1)-INDEX($E$185:$M$185,0,AB$218))+AA225)))</f>
        <v>9.2746412545411498</v>
      </c>
      <c r="AC225" s="186" cm="1">
        <f t="array" ref="AC225">IF(AC$218=-1,AD225,IF(AC$218=99,AB225,IF(AC$218=0,INDEX($E192:$M192,0,AC$216),(INDEX($E192:$M192,0,AC$218+1)-INDEX($E192:$M192,0,AC$218))/(INDEX($E$185:$M$185,0,AC$218+1)-INDEX($E$185:$M$185,0,AC$218))+AB225)))</f>
        <v>9.2363672707987217</v>
      </c>
      <c r="AD225" s="186" cm="1">
        <f t="array" ref="AD225">IF(AD$218=-1,AE225,IF(AD$218=99,AC225,IF(AD$218=0,INDEX($E192:$M192,0,AD$216),(INDEX($E192:$M192,0,AD$218+1)-INDEX($E192:$M192,0,AD$218))/(INDEX($E$185:$M$185,0,AD$218+1)-INDEX($E$185:$M$185,0,AD$218))+AC225)))</f>
        <v>9.1980932870562935</v>
      </c>
      <c r="AE225" s="186" cm="1">
        <f t="array" ref="AE225">IF(AE$218=-1,AF225,IF(AE$218=99,AD225,IF(AE$218=0,INDEX($E192:$M192,0,AE$216),(INDEX($E192:$M192,0,AE$218+1)-INDEX($E192:$M192,0,AE$218))/(INDEX($E$185:$M$185,0,AE$218+1)-INDEX($E$185:$M$185,0,AE$218))+AD225)))</f>
        <v>9.1598193033138653</v>
      </c>
      <c r="AF225" s="186" cm="1">
        <f t="array" ref="AF225">IF(AF$218=-1,AG225,IF(AF$218=99,AE225,IF(AF$218=0,INDEX($E192:$M192,0,AF$216),(INDEX($E192:$M192,0,AF$218+1)-INDEX($E192:$M192,0,AF$218))/(INDEX($E$185:$M$185,0,AF$218+1)-INDEX($E$185:$M$185,0,AF$218))+AE225)))</f>
        <v>9.1215453195714371</v>
      </c>
      <c r="AG225" s="186" cm="1">
        <f t="array" ref="AG225">IF(AG$218=-1,AH225,IF(AG$218=99,AF225,IF(AG$218=0,INDEX($E192:$M192,0,AG$216),(INDEX($E192:$M192,0,AG$218+1)-INDEX($E192:$M192,0,AG$218))/(INDEX($E$185:$M$185,0,AG$218+1)-INDEX($E$185:$M$185,0,AG$218))+AF225)))</f>
        <v>9.0832713358290089</v>
      </c>
      <c r="AH225" s="186" cm="1">
        <f t="array" ref="AH225">IF(AH$218=-1,AI225,IF(AH$218=99,AG225,IF(AH$218=0,INDEX($E192:$M192,0,AH$216),(INDEX($E192:$M192,0,AH$218+1)-INDEX($E192:$M192,0,AH$218))/(INDEX($E$185:$M$185,0,AH$218+1)-INDEX($E$185:$M$185,0,AH$218))+AG225)))</f>
        <v>9.0449973520865807</v>
      </c>
      <c r="AI225" s="186" cm="1">
        <f t="array" ref="AI225">IF(AI$218=-1,AJ225,IF(AI$218=99,AH225,IF(AI$218=0,INDEX($E192:$M192,0,AI$216),(INDEX($E192:$M192,0,AI$218+1)-INDEX($E192:$M192,0,AI$218))/(INDEX($E$185:$M$185,0,AI$218+1)-INDEX($E$185:$M$185,0,AI$218))+AH225)))</f>
        <v>9.0067233683441525</v>
      </c>
      <c r="AJ225" s="186" cm="1">
        <f t="array" ref="AJ225">IF(AJ$218=-1,AK225,IF(AJ$218=99,AI225,IF(AJ$218=0,INDEX($E192:$M192,0,AJ$216),(INDEX($E192:$M192,0,AJ$218+1)-INDEX($E192:$M192,0,AJ$218))/(INDEX($E$185:$M$185,0,AJ$218+1)-INDEX($E$185:$M$185,0,AJ$218))+AI225)))</f>
        <v>8.9684493846017244</v>
      </c>
      <c r="AK225" s="186" cm="1">
        <f t="array" ref="AK225">IF(AK$218=-1,AL225,IF(AK$218=99,AJ225,IF(AK$218=0,INDEX($E192:$M192,0,AK$216),(INDEX($E192:$M192,0,AK$218+1)-INDEX($E192:$M192,0,AK$218))/(INDEX($E$185:$M$185,0,AK$218+1)-INDEX($E$185:$M$185,0,AK$218))+AJ225)))</f>
        <v>8.9301754008592962</v>
      </c>
      <c r="AL225" s="186" cm="1">
        <f t="array" ref="AL225">IF(AL$218=-1,AM225,IF(AL$218=99,AK225,IF(AL$218=0,INDEX($E192:$M192,0,AL$216),(INDEX($E192:$M192,0,AL$218+1)-INDEX($E192:$M192,0,AL$218))/(INDEX($E$185:$M$185,0,AL$218+1)-INDEX($E$185:$M$185,0,AL$218))+AK225)))</f>
        <v>8.8919014171168609</v>
      </c>
      <c r="AM225" s="299">
        <f t="shared" si="605"/>
        <v>8.5843230080172432</v>
      </c>
      <c r="AN225" s="186" cm="1">
        <f t="array" ref="AN225">IF(AN$218=-1,AO225,IF(AN$218=99,AM225,IF(AN$218=0,INDEX($E192:$M192,0,AN$216),(INDEX($E192:$M192,0,AN$218+1)-INDEX($E192:$M192,0,AN$218))/(INDEX($E$185:$M$185,0,AN$218+1)-INDEX($E$185:$M$185,0,AN$218))+AM225)))</f>
        <v>8.2767445989176256</v>
      </c>
      <c r="AO225" s="186" cm="1">
        <f t="array" ref="AO225">IF(AO$218=-1,AP225,IF(AO$218=99,AN225,IF(AO$218=0,INDEX($E192:$M192,0,AO$216),(INDEX($E192:$M192,0,AO$218+1)-INDEX($E192:$M192,0,AO$218))/(INDEX($E$185:$M$185,0,AO$218+1)-INDEX($E$185:$M$185,0,AO$218))+AN225)))</f>
        <v>8.2767445989176256</v>
      </c>
      <c r="AP225" s="186" cm="1">
        <f t="array" ref="AP225">IF(AP$218=-1,#REF!,IF(AP$218=99,AO225,IF(AP$218=0,INDEX($E192:$M192,0,AP$216),(INDEX($E192:$M192,0,AP$218+1)-INDEX($E192:$M192,0,AP$218))/(INDEX($E$185:$M$185,0,AP$218+1)-INDEX($E$185:$M$185,0,AP$218))+AO225)))</f>
        <v>8.2767445989176256</v>
      </c>
      <c r="AQ225" s="186"/>
      <c r="AT225" s="186"/>
      <c r="AU225" s="186"/>
      <c r="BE225" s="186">
        <f t="shared" si="603"/>
        <v>15.023482841814213</v>
      </c>
      <c r="BF225" s="109">
        <f t="shared" si="604"/>
        <v>4.9146655581378998E-2</v>
      </c>
    </row>
    <row r="226" spans="1:58">
      <c r="B226" s="22" t="str">
        <f t="shared" si="598"/>
        <v>COM_PROJ</v>
      </c>
      <c r="C226" s="23" t="str">
        <f t="shared" si="599"/>
        <v>-</v>
      </c>
      <c r="D226" s="57" t="str">
        <f t="shared" si="600"/>
        <v>TPPUGAT</v>
      </c>
      <c r="E226" s="23" t="str">
        <f t="shared" si="601"/>
        <v>-</v>
      </c>
      <c r="F226" s="23" t="str">
        <f t="shared" si="601"/>
        <v>-</v>
      </c>
      <c r="G226" s="23" t="str">
        <f t="shared" si="601"/>
        <v>-</v>
      </c>
      <c r="H226" s="23" t="str">
        <f t="shared" si="601"/>
        <v>-</v>
      </c>
      <c r="I226" s="22">
        <f t="shared" si="602"/>
        <v>0</v>
      </c>
      <c r="J226" s="186">
        <f>INDEX('[2]TS BYDem'!J$10:J$59,MATCH($D226,'[2]TS BYDem'!D$10:D$59,0))</f>
        <v>0</v>
      </c>
      <c r="K226" s="186" cm="1">
        <f t="array" ref="K226">IF(K$218=-1,L226,IF(K$218=99,BE226,IF(K$218=0,INDEX($E193:$M193,0,K$216),(INDEX($E193:$M193,0,K$218+1)-INDEX($E193:$M193,0,K$218))/(INDEX($E$185:$M$185,0,K$218+1)-INDEX($E$185:$M$185,0,K$218))+BE226)))</f>
        <v>0.55947822475115061</v>
      </c>
      <c r="L226" s="186" cm="1">
        <f t="array" ref="L226">IF(L$218=-1,M226,IF(L$218=99,K226,IF(L$218=0,INDEX($E193:$M193,0,L$216),(INDEX($E193:$M193,0,L$218+1)-INDEX($E193:$M193,0,L$218))/(INDEX($E$185:$M$185,0,L$218+1)-INDEX($E$185:$M$185,0,L$218))+K226)))</f>
        <v>0.58435796683276764</v>
      </c>
      <c r="M226" s="186" cm="1">
        <f t="array" ref="M226">IF(M$218=-1,N226,IF(M$218=99,L226,IF(M$218=0,INDEX($E193:$M193,0,M$216),(INDEX($E193:$M193,0,M$218+1)-INDEX($E193:$M193,0,M$218))/(INDEX($E$185:$M$185,0,M$218+1)-INDEX($E$185:$M$185,0,M$218))+L226)))</f>
        <v>0.60923770891438467</v>
      </c>
      <c r="N226" s="186" cm="1">
        <f t="array" ref="N226">IF(N$218=-1,O226,IF(N$218=99,M226,IF(N$218=0,INDEX($E193:$M193,0,N$216),(INDEX($E193:$M193,0,N$218+1)-INDEX($E193:$M193,0,N$218))/(INDEX($E$185:$M$185,0,N$218+1)-INDEX($E$185:$M$185,0,N$218))+M226)))</f>
        <v>0.62888953865325536</v>
      </c>
      <c r="O226" s="186" cm="1">
        <f t="array" ref="O226">IF(O$218=-1,P226,IF(O$218=99,N226,IF(O$218=0,INDEX($E193:$M193,0,O$216),(INDEX($E193:$M193,0,O$218+1)-INDEX($E193:$M193,0,O$218))/(INDEX($E$185:$M$185,0,O$218+1)-INDEX($E$185:$M$185,0,O$218))+N226)))</f>
        <v>0.64854136839212595</v>
      </c>
      <c r="P226" s="186" cm="1">
        <f t="array" ref="P226">IF(P$218=-1,Q226,IF(P$218=99,O226,IF(P$218=0,INDEX($E193:$M193,0,P$216),(INDEX($E193:$M193,0,P$218+1)-INDEX($E193:$M193,0,P$218))/(INDEX($E$185:$M$185,0,P$218+1)-INDEX($E$185:$M$185,0,P$218))+O226)))</f>
        <v>0.67405613843991108</v>
      </c>
      <c r="Q226" s="186" cm="1">
        <f t="array" ref="Q226">IF(Q$218=-1,R226,IF(Q$218=99,P226,IF(Q$218=0,INDEX($E193:$M193,0,Q$216),(INDEX($E193:$M193,0,Q$218+1)-INDEX($E193:$M193,0,Q$218))/(INDEX($E$185:$M$185,0,Q$218+1)-INDEX($E$185:$M$185,0,Q$218))+P226)))</f>
        <v>0.6995709084876961</v>
      </c>
      <c r="R226" s="186" cm="1">
        <f t="array" ref="R226">IF(R$218=-1,S226,IF(R$218=99,Q226,IF(R$218=0,INDEX($E193:$M193,0,R$216),(INDEX($E193:$M193,0,R$218+1)-INDEX($E193:$M193,0,R$218))/(INDEX($E$185:$M$185,0,R$218+1)-INDEX($E$185:$M$185,0,R$218))+Q226)))</f>
        <v>0.6476760572601008</v>
      </c>
      <c r="S226" s="186" cm="1">
        <f t="array" ref="S226">IF(S$218=-1,T226,IF(S$218=99,R226,IF(S$218=0,INDEX($E193:$M193,0,S$216),(INDEX($E193:$M193,0,S$218+1)-INDEX($E193:$M193,0,S$218))/(INDEX($E$185:$M$185,0,S$218+1)-INDEX($E$185:$M$185,0,S$218))+R226)))</f>
        <v>0.64850440608752602</v>
      </c>
      <c r="T226" s="186" cm="1">
        <f t="array" ref="T226">IF(T$218=-1,U226,IF(T$218=99,S226,IF(T$218=0,INDEX($E193:$M193,0,T$216),(INDEX($E193:$M193,0,T$218+1)-INDEX($E193:$M193,0,T$218))/(INDEX($E$185:$M$185,0,T$218+1)-INDEX($E$185:$M$185,0,T$218))+S226)))</f>
        <v>0.66993665073337072</v>
      </c>
      <c r="U226" s="186" cm="1">
        <f t="array" ref="U226">IF(U$218=-1,V226,IF(U$218=99,T226,IF(U$218=0,INDEX($E193:$M193,0,U$216),(INDEX($E193:$M193,0,U$218+1)-INDEX($E193:$M193,0,U$218))/(INDEX($E$185:$M$185,0,U$218+1)-INDEX($E$185:$M$185,0,U$218))+T226)))</f>
        <v>0.69136889537921542</v>
      </c>
      <c r="V226" s="186" cm="1">
        <f t="array" ref="V226">IF(V$218=-1,W226,IF(V$218=99,U226,IF(V$218=0,INDEX($E193:$M193,0,V$216),(INDEX($E193:$M193,0,V$218+1)-INDEX($E193:$M193,0,V$218))/(INDEX($E$185:$M$185,0,V$218+1)-INDEX($E$185:$M$185,0,V$218))+U226)))</f>
        <v>0.71280114002506012</v>
      </c>
      <c r="W226" s="186" cm="1">
        <f t="array" ref="W226">IF(W$218=-1,X226,IF(W$218=99,V226,IF(W$218=0,INDEX($E193:$M193,0,W$216),(INDEX($E193:$M193,0,W$218+1)-INDEX($E193:$M193,0,W$218))/(INDEX($E$185:$M$185,0,W$218+1)-INDEX($E$185:$M$185,0,W$218))+V226)))</f>
        <v>0.73423338467090482</v>
      </c>
      <c r="X226" s="186" cm="1">
        <f t="array" ref="X226">IF(X$218=-1,Y226,IF(X$218=99,W226,IF(X$218=0,INDEX($E193:$M193,0,X$216),(INDEX($E193:$M193,0,X$218+1)-INDEX($E193:$M193,0,X$218))/(INDEX($E$185:$M$185,0,X$218+1)-INDEX($E$185:$M$185,0,X$218))+W226)))</f>
        <v>0.75566562931674952</v>
      </c>
      <c r="Y226" s="186" cm="1">
        <f t="array" ref="Y226">IF(Y$218=-1,Z226,IF(Y$218=99,X226,IF(Y$218=0,INDEX($E193:$M193,0,Y$216),(INDEX($E193:$M193,0,Y$218+1)-INDEX($E193:$M193,0,Y$218))/(INDEX($E$185:$M$185,0,Y$218+1)-INDEX($E$185:$M$185,0,Y$218))+X226)))</f>
        <v>0.77709787396259422</v>
      </c>
      <c r="Z226" s="186" cm="1">
        <f t="array" ref="Z226">IF(Z$218=-1,AA226,IF(Z$218=99,Y226,IF(Z$218=0,INDEX($E193:$M193,0,Z$216),(INDEX($E193:$M193,0,Z$218+1)-INDEX($E193:$M193,0,Z$218))/(INDEX($E$185:$M$185,0,Z$218+1)-INDEX($E$185:$M$185,0,Z$218))+Y226)))</f>
        <v>0.79853011860843892</v>
      </c>
      <c r="AA226" s="186" cm="1">
        <f t="array" ref="AA226">IF(AA$218=-1,AB226,IF(AA$218=99,Z226,IF(AA$218=0,INDEX($E193:$M193,0,AA$216),(INDEX($E193:$M193,0,AA$218+1)-INDEX($E193:$M193,0,AA$218))/(INDEX($E$185:$M$185,0,AA$218+1)-INDEX($E$185:$M$185,0,AA$218))+Z226)))</f>
        <v>0.81996236325428362</v>
      </c>
      <c r="AB226" s="186" cm="1">
        <f t="array" ref="AB226">IF(AB$218=-1,AC226,IF(AB$218=99,AA226,IF(AB$218=0,INDEX($E193:$M193,0,AB$216),(INDEX($E193:$M193,0,AB$218+1)-INDEX($E193:$M193,0,AB$218))/(INDEX($E$185:$M$185,0,AB$218+1)-INDEX($E$185:$M$185,0,AB$218))+AA226)))</f>
        <v>0.84139460790012854</v>
      </c>
      <c r="AC226" s="186" cm="1">
        <f t="array" ref="AC226">IF(AC$218=-1,AD226,IF(AC$218=99,AB226,IF(AC$218=0,INDEX($E193:$M193,0,AC$216),(INDEX($E193:$M193,0,AC$218+1)-INDEX($E193:$M193,0,AC$218))/(INDEX($E$185:$M$185,0,AC$218+1)-INDEX($E$185:$M$185,0,AC$218))+AB226)))</f>
        <v>0.86187201494465981</v>
      </c>
      <c r="AD226" s="186" cm="1">
        <f t="array" ref="AD226">IF(AD$218=-1,AE226,IF(AD$218=99,AC226,IF(AD$218=0,INDEX($E193:$M193,0,AD$216),(INDEX($E193:$M193,0,AD$218+1)-INDEX($E193:$M193,0,AD$218))/(INDEX($E$185:$M$185,0,AD$218+1)-INDEX($E$185:$M$185,0,AD$218))+AC226)))</f>
        <v>0.88234942198919109</v>
      </c>
      <c r="AE226" s="186" cm="1">
        <f t="array" ref="AE226">IF(AE$218=-1,AF226,IF(AE$218=99,AD226,IF(AE$218=0,INDEX($E193:$M193,0,AE$216),(INDEX($E193:$M193,0,AE$218+1)-INDEX($E193:$M193,0,AE$218))/(INDEX($E$185:$M$185,0,AE$218+1)-INDEX($E$185:$M$185,0,AE$218))+AD226)))</f>
        <v>0.90282682903372236</v>
      </c>
      <c r="AF226" s="186" cm="1">
        <f t="array" ref="AF226">IF(AF$218=-1,AG226,IF(AF$218=99,AE226,IF(AF$218=0,INDEX($E193:$M193,0,AF$216),(INDEX($E193:$M193,0,AF$218+1)-INDEX($E193:$M193,0,AF$218))/(INDEX($E$185:$M$185,0,AF$218+1)-INDEX($E$185:$M$185,0,AF$218))+AE226)))</f>
        <v>0.92330423607825363</v>
      </c>
      <c r="AG226" s="186" cm="1">
        <f t="array" ref="AG226">IF(AG$218=-1,AH226,IF(AG$218=99,AF226,IF(AG$218=0,INDEX($E193:$M193,0,AG$216),(INDEX($E193:$M193,0,AG$218+1)-INDEX($E193:$M193,0,AG$218))/(INDEX($E$185:$M$185,0,AG$218+1)-INDEX($E$185:$M$185,0,AG$218))+AF226)))</f>
        <v>0.9437816431227849</v>
      </c>
      <c r="AH226" s="186" cm="1">
        <f t="array" ref="AH226">IF(AH$218=-1,AI226,IF(AH$218=99,AG226,IF(AH$218=0,INDEX($E193:$M193,0,AH$216),(INDEX($E193:$M193,0,AH$218+1)-INDEX($E193:$M193,0,AH$218))/(INDEX($E$185:$M$185,0,AH$218+1)-INDEX($E$185:$M$185,0,AH$218))+AG226)))</f>
        <v>0.96425905016731617</v>
      </c>
      <c r="AI226" s="186" cm="1">
        <f t="array" ref="AI226">IF(AI$218=-1,AJ226,IF(AI$218=99,AH226,IF(AI$218=0,INDEX($E193:$M193,0,AI$216),(INDEX($E193:$M193,0,AI$218+1)-INDEX($E193:$M193,0,AI$218))/(INDEX($E$185:$M$185,0,AI$218+1)-INDEX($E$185:$M$185,0,AI$218))+AH226)))</f>
        <v>0.98473645721184744</v>
      </c>
      <c r="AJ226" s="186" cm="1">
        <f t="array" ref="AJ226">IF(AJ$218=-1,AK226,IF(AJ$218=99,AI226,IF(AJ$218=0,INDEX($E193:$M193,0,AJ$216),(INDEX($E193:$M193,0,AJ$218+1)-INDEX($E193:$M193,0,AJ$218))/(INDEX($E$185:$M$185,0,AJ$218+1)-INDEX($E$185:$M$185,0,AJ$218))+AI226)))</f>
        <v>1.0052138642563788</v>
      </c>
      <c r="AK226" s="186" cm="1">
        <f t="array" ref="AK226">IF(AK$218=-1,AL226,IF(AK$218=99,AJ226,IF(AK$218=0,INDEX($E193:$M193,0,AK$216),(INDEX($E193:$M193,0,AK$218+1)-INDEX($E193:$M193,0,AK$218))/(INDEX($E$185:$M$185,0,AK$218+1)-INDEX($E$185:$M$185,0,AK$218))+AJ226)))</f>
        <v>1.0256912713009101</v>
      </c>
      <c r="AL226" s="186" cm="1">
        <f t="array" ref="AL226">IF(AL$218=-1,AM226,IF(AL$218=99,AK226,IF(AL$218=0,INDEX($E193:$M193,0,AL$216),(INDEX($E193:$M193,0,AL$218+1)-INDEX($E193:$M193,0,AL$218))/(INDEX($E$185:$M$185,0,AL$218+1)-INDEX($E$185:$M$185,0,AL$218))+AK226)))</f>
        <v>1.0461686783454414</v>
      </c>
      <c r="AM226" s="299">
        <f t="shared" si="605"/>
        <v>1.1442712617822297</v>
      </c>
      <c r="AN226" s="186" cm="1">
        <f t="array" ref="AN226">IF(AN$218=-1,AO226,IF(AN$218=99,AM226,IF(AN$218=0,INDEX($E193:$M193,0,AN$216),(INDEX($E193:$M193,0,AN$218+1)-INDEX($E193:$M193,0,AN$218))/(INDEX($E$185:$M$185,0,AN$218+1)-INDEX($E$185:$M$185,0,AN$218))+AM226)))</f>
        <v>1.2423738452190181</v>
      </c>
      <c r="AO226" s="186" cm="1">
        <f t="array" ref="AO226">IF(AO$218=-1,AP226,IF(AO$218=99,AN226,IF(AO$218=0,INDEX($E193:$M193,0,AO$216),(INDEX($E193:$M193,0,AO$218+1)-INDEX($E193:$M193,0,AO$218))/(INDEX($E$185:$M$185,0,AO$218+1)-INDEX($E$185:$M$185,0,AO$218))+AN226)))</f>
        <v>1.2423738452190181</v>
      </c>
      <c r="AP226" s="186" cm="1">
        <f t="array" ref="AP226">IF(AP$218=-1,#REF!,IF(AP$218=99,AO226,IF(AP$218=0,INDEX($E193:$M193,0,AP$216),(INDEX($E193:$M193,0,AP$218+1)-INDEX($E193:$M193,0,AP$218))/(INDEX($E$185:$M$185,0,AP$218+1)-INDEX($E$185:$M$185,0,AP$218))+AO226)))</f>
        <v>1.2423738452190181</v>
      </c>
      <c r="AQ226" s="186"/>
      <c r="AT226" s="186"/>
      <c r="AU226" s="186"/>
      <c r="BE226" s="186">
        <f t="shared" si="603"/>
        <v>0.53459848266953358</v>
      </c>
      <c r="BF226" s="109" t="e">
        <f t="shared" si="604"/>
        <v>#DIV/0!</v>
      </c>
    </row>
    <row r="227" spans="1:58">
      <c r="A227" s="185" t="s">
        <v>16</v>
      </c>
      <c r="L227" s="185"/>
      <c r="O227" s="40"/>
    </row>
    <row r="228" spans="1:58" s="191" customFormat="1">
      <c r="A228" s="114" t="s">
        <v>16</v>
      </c>
      <c r="B228" s="191" t="s">
        <v>392</v>
      </c>
      <c r="C228" s="191">
        <v>1</v>
      </c>
      <c r="D228" s="191">
        <v>2006</v>
      </c>
      <c r="E228" s="191">
        <f>F4</f>
        <v>2015</v>
      </c>
      <c r="F228" s="191">
        <v>2017</v>
      </c>
      <c r="G228" s="191">
        <v>2020</v>
      </c>
      <c r="H228" s="191">
        <v>2030</v>
      </c>
      <c r="I228" s="191">
        <v>2040</v>
      </c>
      <c r="J228" s="236">
        <v>2050</v>
      </c>
      <c r="K228" s="114">
        <f>MATCH(J$214,$C$210:$K$210,$C228)</f>
        <v>1</v>
      </c>
      <c r="L228" s="191">
        <f t="shared" ref="L228:AY228" si="606">MATCH(K$232,$D$228:$J$228,$C228)</f>
        <v>1</v>
      </c>
      <c r="M228" s="191">
        <f t="shared" si="606"/>
        <v>1</v>
      </c>
      <c r="N228" s="191">
        <f t="shared" si="606"/>
        <v>2</v>
      </c>
      <c r="O228" s="191">
        <f t="shared" si="606"/>
        <v>2</v>
      </c>
      <c r="P228" s="191">
        <f t="shared" si="606"/>
        <v>3</v>
      </c>
      <c r="Q228" s="191">
        <f t="shared" si="606"/>
        <v>3</v>
      </c>
      <c r="R228" s="191">
        <f t="shared" si="606"/>
        <v>3</v>
      </c>
      <c r="S228" s="191">
        <f t="shared" si="606"/>
        <v>4</v>
      </c>
      <c r="T228" s="191">
        <f t="shared" si="606"/>
        <v>4</v>
      </c>
      <c r="U228" s="191">
        <f t="shared" si="606"/>
        <v>4</v>
      </c>
      <c r="V228" s="191">
        <f t="shared" si="606"/>
        <v>4</v>
      </c>
      <c r="W228" s="191">
        <f t="shared" si="606"/>
        <v>4</v>
      </c>
      <c r="X228" s="191">
        <f t="shared" si="606"/>
        <v>4</v>
      </c>
      <c r="Y228" s="191">
        <f t="shared" si="606"/>
        <v>4</v>
      </c>
      <c r="Z228" s="191">
        <f t="shared" si="606"/>
        <v>4</v>
      </c>
      <c r="AA228" s="191">
        <f t="shared" si="606"/>
        <v>4</v>
      </c>
      <c r="AB228" s="191">
        <f t="shared" si="606"/>
        <v>4</v>
      </c>
      <c r="AC228" s="191">
        <f t="shared" si="606"/>
        <v>5</v>
      </c>
      <c r="AD228" s="191">
        <f t="shared" si="606"/>
        <v>5</v>
      </c>
      <c r="AE228" s="191">
        <f t="shared" si="606"/>
        <v>5</v>
      </c>
      <c r="AF228" s="191">
        <f t="shared" si="606"/>
        <v>5</v>
      </c>
      <c r="AG228" s="191">
        <f t="shared" si="606"/>
        <v>5</v>
      </c>
      <c r="AH228" s="191">
        <f t="shared" si="606"/>
        <v>5</v>
      </c>
      <c r="AI228" s="191">
        <f t="shared" si="606"/>
        <v>5</v>
      </c>
      <c r="AJ228" s="191">
        <f t="shared" si="606"/>
        <v>5</v>
      </c>
      <c r="AK228" s="191">
        <f t="shared" si="606"/>
        <v>5</v>
      </c>
      <c r="AL228" s="191">
        <f t="shared" si="606"/>
        <v>5</v>
      </c>
      <c r="AM228" s="191">
        <f t="shared" si="606"/>
        <v>6</v>
      </c>
      <c r="AN228" s="191">
        <f t="shared" si="606"/>
        <v>6</v>
      </c>
      <c r="AO228" s="191">
        <f t="shared" si="606"/>
        <v>6</v>
      </c>
      <c r="AP228" s="191">
        <f t="shared" si="606"/>
        <v>6</v>
      </c>
      <c r="AQ228" s="191">
        <f t="shared" si="606"/>
        <v>6</v>
      </c>
      <c r="AR228" s="191">
        <f t="shared" si="606"/>
        <v>6</v>
      </c>
      <c r="AS228" s="191">
        <f t="shared" si="606"/>
        <v>6</v>
      </c>
      <c r="AT228" s="191">
        <f t="shared" si="606"/>
        <v>6</v>
      </c>
      <c r="AU228" s="191">
        <f t="shared" si="606"/>
        <v>6</v>
      </c>
      <c r="AV228" s="191">
        <f t="shared" si="606"/>
        <v>6</v>
      </c>
      <c r="AW228" s="191">
        <f t="shared" si="606"/>
        <v>7</v>
      </c>
      <c r="AX228" s="191">
        <f t="shared" si="606"/>
        <v>7</v>
      </c>
      <c r="AY228" s="191">
        <f t="shared" si="606"/>
        <v>7</v>
      </c>
    </row>
    <row r="229" spans="1:58">
      <c r="A229" s="40" t="s">
        <v>16</v>
      </c>
      <c r="B229" s="185" t="s">
        <v>393</v>
      </c>
      <c r="C229" s="185">
        <v>0</v>
      </c>
      <c r="D229" s="185" cm="1">
        <f t="array" ref="D229">INDEX($D228:$J228,0,COUNT($D228:$J228)-D230)</f>
        <v>2050</v>
      </c>
      <c r="E229" s="185" cm="1">
        <f t="array" ref="E229">INDEX($D228:$J228,0,COUNT($D228:$J228)-E230)</f>
        <v>2040</v>
      </c>
      <c r="F229" s="185" cm="1">
        <f t="array" ref="F229">INDEX($D228:$J228,0,COUNT($D228:$J228)-F230)</f>
        <v>2030</v>
      </c>
      <c r="G229" s="185" cm="1">
        <f t="array" ref="G229">INDEX($D228:$J228,0,COUNT($D228:$J228)-G230)</f>
        <v>2020</v>
      </c>
      <c r="H229" s="185" cm="1">
        <f t="array" ref="H229">INDEX($D228:$J228,0,COUNT($D228:$J228)-H230)</f>
        <v>2017</v>
      </c>
      <c r="I229" s="185" cm="1">
        <f t="array" ref="I229">INDEX($D228:$J228,0,COUNT($D228:$J228)-I230)</f>
        <v>2015</v>
      </c>
      <c r="J229" s="121" cm="1">
        <f t="array" ref="J229">INDEX($D228:$J228,0,COUNT($D228:$J228)-J230)</f>
        <v>2006</v>
      </c>
      <c r="K229" s="40">
        <f>MATCH(J$214,$C$210:$K$210,$C229)</f>
        <v>1</v>
      </c>
      <c r="L229" s="185" t="e">
        <f t="shared" ref="L229:AY229" si="607">MATCH(K$232,$D$228:$J$228,$C229)</f>
        <v>#N/A</v>
      </c>
      <c r="M229" s="185" t="e">
        <f t="shared" si="607"/>
        <v>#N/A</v>
      </c>
      <c r="N229" s="185">
        <f t="shared" si="607"/>
        <v>2</v>
      </c>
      <c r="O229" s="185" t="e">
        <f t="shared" si="607"/>
        <v>#N/A</v>
      </c>
      <c r="P229" s="185">
        <f t="shared" si="607"/>
        <v>3</v>
      </c>
      <c r="Q229" s="185" t="e">
        <f t="shared" si="607"/>
        <v>#N/A</v>
      </c>
      <c r="R229" s="185" t="e">
        <f t="shared" si="607"/>
        <v>#N/A</v>
      </c>
      <c r="S229" s="185">
        <f t="shared" si="607"/>
        <v>4</v>
      </c>
      <c r="T229" s="185" t="e">
        <f t="shared" si="607"/>
        <v>#N/A</v>
      </c>
      <c r="U229" s="185" t="e">
        <f t="shared" si="607"/>
        <v>#N/A</v>
      </c>
      <c r="V229" s="185" t="e">
        <f t="shared" si="607"/>
        <v>#N/A</v>
      </c>
      <c r="W229" s="185" t="e">
        <f t="shared" si="607"/>
        <v>#N/A</v>
      </c>
      <c r="X229" s="185" t="e">
        <f t="shared" si="607"/>
        <v>#N/A</v>
      </c>
      <c r="Y229" s="185" t="e">
        <f t="shared" si="607"/>
        <v>#N/A</v>
      </c>
      <c r="Z229" s="185" t="e">
        <f t="shared" si="607"/>
        <v>#N/A</v>
      </c>
      <c r="AA229" s="185" t="e">
        <f t="shared" si="607"/>
        <v>#N/A</v>
      </c>
      <c r="AB229" s="185" t="e">
        <f t="shared" si="607"/>
        <v>#N/A</v>
      </c>
      <c r="AC229" s="185">
        <f t="shared" si="607"/>
        <v>5</v>
      </c>
      <c r="AD229" s="185" t="e">
        <f t="shared" si="607"/>
        <v>#N/A</v>
      </c>
      <c r="AE229" s="185" t="e">
        <f t="shared" si="607"/>
        <v>#N/A</v>
      </c>
      <c r="AF229" s="185" t="e">
        <f t="shared" si="607"/>
        <v>#N/A</v>
      </c>
      <c r="AG229" s="185" t="e">
        <f t="shared" si="607"/>
        <v>#N/A</v>
      </c>
      <c r="AH229" s="185" t="e">
        <f t="shared" si="607"/>
        <v>#N/A</v>
      </c>
      <c r="AI229" s="185" t="e">
        <f t="shared" si="607"/>
        <v>#N/A</v>
      </c>
      <c r="AJ229" s="185" t="e">
        <f t="shared" si="607"/>
        <v>#N/A</v>
      </c>
      <c r="AK229" s="185" t="e">
        <f t="shared" si="607"/>
        <v>#N/A</v>
      </c>
      <c r="AL229" s="185" t="e">
        <f t="shared" si="607"/>
        <v>#N/A</v>
      </c>
      <c r="AM229" s="185">
        <f t="shared" si="607"/>
        <v>6</v>
      </c>
      <c r="AN229" s="185" t="e">
        <f t="shared" si="607"/>
        <v>#N/A</v>
      </c>
      <c r="AO229" s="185" t="e">
        <f t="shared" si="607"/>
        <v>#N/A</v>
      </c>
      <c r="AP229" s="185" t="e">
        <f t="shared" si="607"/>
        <v>#N/A</v>
      </c>
      <c r="AQ229" s="185" t="e">
        <f t="shared" si="607"/>
        <v>#N/A</v>
      </c>
      <c r="AR229" s="185" t="e">
        <f t="shared" si="607"/>
        <v>#N/A</v>
      </c>
      <c r="AS229" s="185" t="e">
        <f t="shared" si="607"/>
        <v>#N/A</v>
      </c>
      <c r="AT229" s="185" t="e">
        <f t="shared" si="607"/>
        <v>#N/A</v>
      </c>
      <c r="AU229" s="185" t="e">
        <f t="shared" si="607"/>
        <v>#N/A</v>
      </c>
      <c r="AV229" s="185" t="e">
        <f t="shared" si="607"/>
        <v>#N/A</v>
      </c>
      <c r="AW229" s="185">
        <f t="shared" si="607"/>
        <v>7</v>
      </c>
      <c r="AX229" s="185" t="e">
        <f t="shared" si="607"/>
        <v>#N/A</v>
      </c>
      <c r="AY229" s="185" t="e">
        <f t="shared" si="607"/>
        <v>#N/A</v>
      </c>
    </row>
    <row r="230" spans="1:58">
      <c r="A230" s="40" t="s">
        <v>16</v>
      </c>
      <c r="B230" s="185" t="s">
        <v>391</v>
      </c>
      <c r="C230" s="185">
        <v>-1</v>
      </c>
      <c r="D230" s="185">
        <v>0</v>
      </c>
      <c r="E230" s="185">
        <v>1</v>
      </c>
      <c r="F230" s="188">
        <v>2</v>
      </c>
      <c r="G230" s="185">
        <v>3</v>
      </c>
      <c r="H230" s="185">
        <v>4</v>
      </c>
      <c r="I230" s="185">
        <v>5</v>
      </c>
      <c r="J230" s="185">
        <v>6</v>
      </c>
      <c r="K230" s="185">
        <f>MATCH(J$214,$C$211:$K$211,$C230)</f>
        <v>9</v>
      </c>
      <c r="L230" s="185">
        <f t="shared" ref="L230:AY230" si="608">MATCH(K$232,$D$229:$J$229,$C230)</f>
        <v>6</v>
      </c>
      <c r="M230" s="185">
        <f t="shared" si="608"/>
        <v>6</v>
      </c>
      <c r="N230" s="185">
        <f t="shared" si="608"/>
        <v>6</v>
      </c>
      <c r="O230" s="185">
        <f t="shared" si="608"/>
        <v>5</v>
      </c>
      <c r="P230" s="185">
        <f t="shared" si="608"/>
        <v>5</v>
      </c>
      <c r="Q230" s="185">
        <f t="shared" si="608"/>
        <v>4</v>
      </c>
      <c r="R230" s="185">
        <f t="shared" si="608"/>
        <v>4</v>
      </c>
      <c r="S230" s="185">
        <f t="shared" si="608"/>
        <v>4</v>
      </c>
      <c r="T230" s="185">
        <f t="shared" si="608"/>
        <v>3</v>
      </c>
      <c r="U230" s="185">
        <f t="shared" si="608"/>
        <v>3</v>
      </c>
      <c r="V230" s="185">
        <f t="shared" si="608"/>
        <v>3</v>
      </c>
      <c r="W230" s="185">
        <f t="shared" si="608"/>
        <v>3</v>
      </c>
      <c r="X230" s="185">
        <f t="shared" si="608"/>
        <v>3</v>
      </c>
      <c r="Y230" s="185">
        <f t="shared" si="608"/>
        <v>3</v>
      </c>
      <c r="Z230" s="185">
        <f t="shared" si="608"/>
        <v>3</v>
      </c>
      <c r="AA230" s="185">
        <f t="shared" si="608"/>
        <v>3</v>
      </c>
      <c r="AB230" s="185">
        <f t="shared" si="608"/>
        <v>3</v>
      </c>
      <c r="AC230" s="185">
        <f t="shared" si="608"/>
        <v>3</v>
      </c>
      <c r="AD230" s="185">
        <f t="shared" si="608"/>
        <v>2</v>
      </c>
      <c r="AE230" s="185">
        <f t="shared" si="608"/>
        <v>2</v>
      </c>
      <c r="AF230" s="185">
        <f t="shared" si="608"/>
        <v>2</v>
      </c>
      <c r="AG230" s="185">
        <f t="shared" si="608"/>
        <v>2</v>
      </c>
      <c r="AH230" s="185">
        <f t="shared" si="608"/>
        <v>2</v>
      </c>
      <c r="AI230" s="185">
        <f t="shared" si="608"/>
        <v>2</v>
      </c>
      <c r="AJ230" s="185">
        <f t="shared" si="608"/>
        <v>2</v>
      </c>
      <c r="AK230" s="185">
        <f t="shared" si="608"/>
        <v>2</v>
      </c>
      <c r="AL230" s="185">
        <f t="shared" si="608"/>
        <v>2</v>
      </c>
      <c r="AM230" s="185">
        <f t="shared" si="608"/>
        <v>2</v>
      </c>
      <c r="AN230" s="185">
        <f t="shared" si="608"/>
        <v>1</v>
      </c>
      <c r="AO230" s="185">
        <f t="shared" si="608"/>
        <v>1</v>
      </c>
      <c r="AP230" s="185">
        <f t="shared" si="608"/>
        <v>1</v>
      </c>
      <c r="AQ230" s="185">
        <f t="shared" si="608"/>
        <v>1</v>
      </c>
      <c r="AR230" s="185">
        <f t="shared" si="608"/>
        <v>1</v>
      </c>
      <c r="AS230" s="185">
        <f t="shared" si="608"/>
        <v>1</v>
      </c>
      <c r="AT230" s="185">
        <f t="shared" si="608"/>
        <v>1</v>
      </c>
      <c r="AU230" s="185">
        <f t="shared" si="608"/>
        <v>1</v>
      </c>
      <c r="AV230" s="185">
        <f t="shared" si="608"/>
        <v>1</v>
      </c>
      <c r="AW230" s="185">
        <f t="shared" si="608"/>
        <v>1</v>
      </c>
      <c r="AX230" s="185" t="e">
        <f t="shared" si="608"/>
        <v>#N/A</v>
      </c>
      <c r="AY230" s="185" t="e">
        <f t="shared" si="608"/>
        <v>#N/A</v>
      </c>
    </row>
    <row r="231" spans="1:58" s="117" customFormat="1">
      <c r="A231" s="116" t="s">
        <v>16</v>
      </c>
      <c r="B231" s="117" t="s">
        <v>394</v>
      </c>
      <c r="K231" s="189">
        <f>IF(ISNA(K228),-1,IF(ISNA(K230),99,IF(ISNA(K229),K228,0)))</f>
        <v>0</v>
      </c>
      <c r="L231" s="189">
        <f>IF(ISNA(L228),-1,IF(ISNA(L230),99,IF(ISNA(L229),L228,0)))</f>
        <v>1</v>
      </c>
      <c r="M231" s="189">
        <f t="shared" ref="M231:AY231" si="609">IF(ISNA(M228),-1,IF(ISNA(M230),99,IF(ISNA(M229),M228,0)))</f>
        <v>1</v>
      </c>
      <c r="N231" s="189">
        <f t="shared" si="609"/>
        <v>0</v>
      </c>
      <c r="O231" s="189">
        <f t="shared" si="609"/>
        <v>2</v>
      </c>
      <c r="P231" s="189">
        <f t="shared" si="609"/>
        <v>0</v>
      </c>
      <c r="Q231" s="189">
        <f t="shared" si="609"/>
        <v>3</v>
      </c>
      <c r="R231" s="189">
        <f t="shared" si="609"/>
        <v>3</v>
      </c>
      <c r="S231" s="189">
        <f t="shared" si="609"/>
        <v>0</v>
      </c>
      <c r="T231" s="189">
        <f t="shared" si="609"/>
        <v>4</v>
      </c>
      <c r="U231" s="189">
        <f t="shared" si="609"/>
        <v>4</v>
      </c>
      <c r="V231" s="189">
        <f t="shared" si="609"/>
        <v>4</v>
      </c>
      <c r="W231" s="189">
        <f t="shared" si="609"/>
        <v>4</v>
      </c>
      <c r="X231" s="189">
        <f t="shared" si="609"/>
        <v>4</v>
      </c>
      <c r="Y231" s="189">
        <f t="shared" si="609"/>
        <v>4</v>
      </c>
      <c r="Z231" s="189">
        <f t="shared" si="609"/>
        <v>4</v>
      </c>
      <c r="AA231" s="189">
        <f t="shared" si="609"/>
        <v>4</v>
      </c>
      <c r="AB231" s="189">
        <f t="shared" si="609"/>
        <v>4</v>
      </c>
      <c r="AC231" s="189">
        <f t="shared" si="609"/>
        <v>0</v>
      </c>
      <c r="AD231" s="189">
        <f t="shared" si="609"/>
        <v>5</v>
      </c>
      <c r="AE231" s="189">
        <f t="shared" si="609"/>
        <v>5</v>
      </c>
      <c r="AF231" s="189">
        <f t="shared" si="609"/>
        <v>5</v>
      </c>
      <c r="AG231" s="189">
        <f t="shared" si="609"/>
        <v>5</v>
      </c>
      <c r="AH231" s="189">
        <f t="shared" si="609"/>
        <v>5</v>
      </c>
      <c r="AI231" s="189">
        <f t="shared" si="609"/>
        <v>5</v>
      </c>
      <c r="AJ231" s="189">
        <f t="shared" si="609"/>
        <v>5</v>
      </c>
      <c r="AK231" s="189">
        <f t="shared" si="609"/>
        <v>5</v>
      </c>
      <c r="AL231" s="189">
        <f t="shared" si="609"/>
        <v>5</v>
      </c>
      <c r="AM231" s="189">
        <f t="shared" si="609"/>
        <v>0</v>
      </c>
      <c r="AN231" s="189">
        <f t="shared" si="609"/>
        <v>6</v>
      </c>
      <c r="AO231" s="189">
        <f t="shared" si="609"/>
        <v>6</v>
      </c>
      <c r="AP231" s="189">
        <f t="shared" si="609"/>
        <v>6</v>
      </c>
      <c r="AQ231" s="189">
        <f t="shared" si="609"/>
        <v>6</v>
      </c>
      <c r="AR231" s="189">
        <f t="shared" si="609"/>
        <v>6</v>
      </c>
      <c r="AS231" s="189">
        <f t="shared" si="609"/>
        <v>6</v>
      </c>
      <c r="AT231" s="189">
        <f t="shared" si="609"/>
        <v>6</v>
      </c>
      <c r="AU231" s="189">
        <f t="shared" si="609"/>
        <v>6</v>
      </c>
      <c r="AV231" s="189">
        <f t="shared" si="609"/>
        <v>6</v>
      </c>
      <c r="AW231" s="189">
        <f t="shared" si="609"/>
        <v>0</v>
      </c>
      <c r="AX231" s="189">
        <f t="shared" si="609"/>
        <v>99</v>
      </c>
      <c r="AY231" s="189">
        <f t="shared" si="609"/>
        <v>99</v>
      </c>
      <c r="BA231" s="189"/>
      <c r="BB231" s="189"/>
      <c r="BC231" s="189"/>
      <c r="BD231" s="189"/>
      <c r="BE231" s="189"/>
      <c r="BF231" s="189"/>
    </row>
    <row r="232" spans="1:58">
      <c r="A232" s="185" t="s">
        <v>16</v>
      </c>
      <c r="C232" s="16"/>
      <c r="D232" s="16"/>
      <c r="E232" s="16"/>
      <c r="F232" s="16"/>
      <c r="G232" s="16"/>
      <c r="H232" s="16" t="s">
        <v>434</v>
      </c>
      <c r="I232" s="16"/>
      <c r="J232" s="18">
        <v>2012</v>
      </c>
      <c r="K232" s="18">
        <f>1+J232</f>
        <v>2013</v>
      </c>
      <c r="L232" s="18">
        <f t="shared" ref="L232:AV232" si="610">1+K232</f>
        <v>2014</v>
      </c>
      <c r="M232" s="18">
        <f>1+L232</f>
        <v>2015</v>
      </c>
      <c r="N232" s="18">
        <f t="shared" si="610"/>
        <v>2016</v>
      </c>
      <c r="O232" s="18">
        <f t="shared" si="610"/>
        <v>2017</v>
      </c>
      <c r="P232" s="18">
        <f t="shared" si="610"/>
        <v>2018</v>
      </c>
      <c r="Q232" s="18">
        <f t="shared" si="610"/>
        <v>2019</v>
      </c>
      <c r="R232" s="18">
        <f t="shared" si="610"/>
        <v>2020</v>
      </c>
      <c r="S232" s="18">
        <f t="shared" si="610"/>
        <v>2021</v>
      </c>
      <c r="T232" s="18">
        <f t="shared" si="610"/>
        <v>2022</v>
      </c>
      <c r="U232" s="18">
        <f t="shared" si="610"/>
        <v>2023</v>
      </c>
      <c r="V232" s="18">
        <f t="shared" si="610"/>
        <v>2024</v>
      </c>
      <c r="W232" s="18">
        <f t="shared" si="610"/>
        <v>2025</v>
      </c>
      <c r="X232" s="18">
        <f t="shared" si="610"/>
        <v>2026</v>
      </c>
      <c r="Y232" s="18">
        <f t="shared" si="610"/>
        <v>2027</v>
      </c>
      <c r="Z232" s="18">
        <f t="shared" si="610"/>
        <v>2028</v>
      </c>
      <c r="AA232" s="18">
        <f t="shared" si="610"/>
        <v>2029</v>
      </c>
      <c r="AB232" s="18">
        <f t="shared" si="610"/>
        <v>2030</v>
      </c>
      <c r="AC232" s="18">
        <f t="shared" si="610"/>
        <v>2031</v>
      </c>
      <c r="AD232" s="18">
        <f t="shared" si="610"/>
        <v>2032</v>
      </c>
      <c r="AE232" s="18">
        <f t="shared" si="610"/>
        <v>2033</v>
      </c>
      <c r="AF232" s="18">
        <f t="shared" si="610"/>
        <v>2034</v>
      </c>
      <c r="AG232" s="18">
        <f t="shared" si="610"/>
        <v>2035</v>
      </c>
      <c r="AH232" s="18">
        <f t="shared" si="610"/>
        <v>2036</v>
      </c>
      <c r="AI232" s="18">
        <f t="shared" si="610"/>
        <v>2037</v>
      </c>
      <c r="AJ232" s="18">
        <f t="shared" si="610"/>
        <v>2038</v>
      </c>
      <c r="AK232" s="18">
        <f t="shared" si="610"/>
        <v>2039</v>
      </c>
      <c r="AL232" s="18">
        <f t="shared" si="610"/>
        <v>2040</v>
      </c>
      <c r="AM232" s="18">
        <f t="shared" si="610"/>
        <v>2041</v>
      </c>
      <c r="AN232" s="18">
        <f t="shared" si="610"/>
        <v>2042</v>
      </c>
      <c r="AO232" s="18">
        <f t="shared" si="610"/>
        <v>2043</v>
      </c>
      <c r="AP232" s="18">
        <f t="shared" si="610"/>
        <v>2044</v>
      </c>
      <c r="AQ232" s="18">
        <f t="shared" si="610"/>
        <v>2045</v>
      </c>
      <c r="AR232" s="18">
        <f t="shared" si="610"/>
        <v>2046</v>
      </c>
      <c r="AS232" s="18">
        <f t="shared" si="610"/>
        <v>2047</v>
      </c>
      <c r="AT232" s="18">
        <f t="shared" si="610"/>
        <v>2048</v>
      </c>
      <c r="AU232" s="18">
        <f t="shared" si="610"/>
        <v>2049</v>
      </c>
      <c r="AV232" s="18">
        <f t="shared" si="610"/>
        <v>2050</v>
      </c>
      <c r="AW232" s="18">
        <v>2060</v>
      </c>
      <c r="AX232" s="18">
        <v>2070</v>
      </c>
      <c r="AZ232" s="18"/>
      <c r="BA232" s="18"/>
      <c r="BB232" s="18"/>
      <c r="BC232" s="18"/>
      <c r="BD232" s="18"/>
      <c r="BE232" s="18"/>
    </row>
    <row r="233" spans="1:58">
      <c r="A233" s="185" t="s">
        <v>16</v>
      </c>
      <c r="B233" s="22" t="str">
        <f t="shared" ref="B233:B238" si="611">IF(A233="*","","COM_PROJ")</f>
        <v/>
      </c>
      <c r="C233" s="23" t="str">
        <f t="shared" ref="C233:C238" si="612">IF($A233="*","","-")</f>
        <v/>
      </c>
      <c r="E233" s="23" t="str">
        <f t="shared" ref="E233:H238" si="613">IF($A233="*","","-")</f>
        <v/>
      </c>
      <c r="F233" s="23"/>
      <c r="G233" s="23" t="str">
        <f t="shared" si="613"/>
        <v/>
      </c>
      <c r="H233" s="23" t="str">
        <f t="shared" si="613"/>
        <v/>
      </c>
      <c r="I233" s="57" t="str">
        <f t="shared" ref="I233:I240" si="614">B161</f>
        <v>TPPRCAR</v>
      </c>
      <c r="J233" s="186">
        <f t="shared" ref="J233:J240" si="615">E161</f>
        <v>108.6598655462619</v>
      </c>
      <c r="K233" s="186" cm="1">
        <f t="array" ref="K233">IF(L$231=-1,L233,IF(L$231=99,J233,IF(L$231=0,INDEX($E161:$M161,0,L$229),(INDEX($E161:$M161,0,L$231+1)-INDEX($E161:$M161,0,L$231))/(INDEX($E$160:$M$160,0,L$231+1)-INDEX($E$160:$M$160,0,L$231))+J233)))</f>
        <v>110.13764955975378</v>
      </c>
      <c r="L233" s="186" cm="1">
        <f t="array" ref="L233">IF(M$231=-1,M233,IF(M$231=99,K233,IF(M$231=0,INDEX($E161:$M161,0,M$229),(INDEX($E161:$M161,0,M$231+1)-INDEX($E161:$M161,0,M$231))/(INDEX($E$160:$M$160,0,M$231+1)-INDEX($E$160:$M$160,0,M$231))+K233)))</f>
        <v>111.61543357324567</v>
      </c>
      <c r="M233" s="186" cm="1">
        <f t="array" ref="M233">IF(N$231=-1,N233,IF(N$231=99,L233,IF(N$231=0,INDEX($E161:$M161,0,N$229),(INDEX($E161:$M161,0,N$231+1)-INDEX($E161:$M161,0,N$231))/(INDEX($E$160:$M$160,0,N$231+1)-INDEX($E$160:$M$160,0,N$231))+L233)))</f>
        <v>113.09321758673757</v>
      </c>
      <c r="N233" s="186" cm="1">
        <f t="array" ref="N233">IF(O$231=-1,O233,IF(O$231=99,M233,IF(O$231=0,INDEX($E161:$M161,0,O$229),(INDEX($E161:$M161,0,O$231+1)-INDEX($E161:$M161,0,O$231))/(INDEX($E$160:$M$160,0,O$231+1)-INDEX($E$160:$M$160,0,O$231))+M233)))</f>
        <v>112.65339581522221</v>
      </c>
      <c r="O233" s="186" cm="1">
        <f t="array" ref="O233">IF(P$231=-1,P233,IF(P$231=99,N233,IF(P$231=0,INDEX($E161:$M161,0,P$229),(INDEX($E161:$M161,0,P$231+1)-INDEX($E161:$M161,0,P$231))/(INDEX($E$160:$M$160,0,P$231+1)-INDEX($E$160:$M$160,0,P$231))+N233)))</f>
        <v>112.21357404370687</v>
      </c>
      <c r="P233" s="186" cm="1">
        <f t="array" ref="P233">IF(Q$231=-1,Q233,IF(Q$231=99,O233,IF(Q$231=0,INDEX($E161:$M161,0,Q$229),(INDEX($E161:$M161,0,Q$231+1)-INDEX($E161:$M161,0,Q$231))/(INDEX($E$160:$M$160,0,Q$231+1)-INDEX($E$160:$M$160,0,Q$231))+O233)))</f>
        <v>114.99472359786546</v>
      </c>
      <c r="Q233" s="186" cm="1">
        <f t="array" ref="Q233">IF(R$231=-1,R233,IF(R$231=99,P233,IF(R$231=0,INDEX($E161:$M161,0,R$229),(INDEX($E161:$M161,0,R$231+1)-INDEX($E161:$M161,0,R$231))/(INDEX($E$160:$M$160,0,R$231+1)-INDEX($E$160:$M$160,0,R$231))+P233)))</f>
        <v>117.77587315202405</v>
      </c>
      <c r="R233" s="186" cm="1">
        <f t="array" ref="R233">IF(S$231=-1,S233,IF(S$231=99,Q233,IF(S$231=0,INDEX($E161:$M161,0,S$229),(INDEX($E161:$M161,0,S$231+1)-INDEX($E161:$M161,0,S$231))/(INDEX($E$160:$M$160,0,S$231+1)-INDEX($E$160:$M$160,0,S$231))+Q233)))</f>
        <v>117.77587315202406</v>
      </c>
      <c r="S233" s="186" cm="1">
        <f t="array" ref="S233">IF(T$231=-1,T233,IF(T$231=99,R233,IF(T$231=0,INDEX($E161:$M161,0,T$229),(INDEX($E161:$M161,0,T$231+1)-INDEX($E161:$M161,0,T$231))/(INDEX($E$160:$M$160,0,T$231+1)-INDEX($E$160:$M$160,0,T$231))+R233)))</f>
        <v>110.00556389780662</v>
      </c>
      <c r="T233" s="186" cm="1">
        <f t="array" ref="T233">IF(U$231=-1,U233,IF(U$231=99,S233,IF(U$231=0,INDEX($E161:$M161,0,U$229),(INDEX($E161:$M161,0,U$231+1)-INDEX($E161:$M161,0,U$231))/(INDEX($E$160:$M$160,0,U$231+1)-INDEX($E$160:$M$160,0,U$231))+S233)))</f>
        <v>102.23525464358919</v>
      </c>
      <c r="U233" s="186" cm="1">
        <f t="array" ref="U233">IF(V$231=-1,V233,IF(V$231=99,T233,IF(V$231=0,INDEX($E161:$M161,0,V$229),(INDEX($E161:$M161,0,V$231+1)-INDEX($E161:$M161,0,V$231))/(INDEX($E$160:$M$160,0,V$231+1)-INDEX($E$160:$M$160,0,V$231))+T233)))</f>
        <v>94.464945389371749</v>
      </c>
      <c r="V233" s="186" cm="1">
        <f t="array" ref="V233">IF(W$231=-1,W233,IF(W$231=99,U233,IF(W$231=0,INDEX($E161:$M161,0,W$229),(INDEX($E161:$M161,0,W$231+1)-INDEX($E161:$M161,0,W$231))/(INDEX($E$160:$M$160,0,W$231+1)-INDEX($E$160:$M$160,0,W$231))+U233)))</f>
        <v>86.694636135154312</v>
      </c>
      <c r="W233" s="186" cm="1">
        <f t="array" ref="W233">IF(X$231=-1,X233,IF(X$231=99,V233,IF(X$231=0,INDEX($E161:$M161,0,X$229),(INDEX($E161:$M161,0,X$231+1)-INDEX($E161:$M161,0,X$231))/(INDEX($E$160:$M$160,0,X$231+1)-INDEX($E$160:$M$160,0,X$231))+V233)))</f>
        <v>78.924326880936874</v>
      </c>
      <c r="X233" s="186" cm="1">
        <f t="array" ref="X233">IF(Y$231=-1,Y233,IF(Y$231=99,W233,IF(Y$231=0,INDEX($E161:$M161,0,Y$229),(INDEX($E161:$M161,0,Y$231+1)-INDEX($E161:$M161,0,Y$231))/(INDEX($E$160:$M$160,0,Y$231+1)-INDEX($E$160:$M$160,0,Y$231))+W233)))</f>
        <v>71.154017626719437</v>
      </c>
      <c r="Y233" s="186" cm="1">
        <f t="array" ref="Y233">IF(Z$231=-1,Z233,IF(Z$231=99,X233,IF(Z$231=0,INDEX($E161:$M161,0,Z$229),(INDEX($E161:$M161,0,Z$231+1)-INDEX($E161:$M161,0,Z$231))/(INDEX($E$160:$M$160,0,Z$231+1)-INDEX($E$160:$M$160,0,Z$231))+X233)))</f>
        <v>63.383708372501999</v>
      </c>
      <c r="Z233" s="186" cm="1">
        <f t="array" ref="Z233">IF(AA$231=-1,AA233,IF(AA$231=99,Y233,IF(AA$231=0,INDEX($E161:$M161,0,AA$229),(INDEX($E161:$M161,0,AA$231+1)-INDEX($E161:$M161,0,AA$231))/(INDEX($E$160:$M$160,0,AA$231+1)-INDEX($E$160:$M$160,0,AA$231))+Y233)))</f>
        <v>55.613399118284562</v>
      </c>
      <c r="AA233" s="186" cm="1">
        <f t="array" ref="AA233">IF(AB$231=-1,AB233,IF(AB$231=99,Z233,IF(AB$231=0,INDEX($E161:$M161,0,AB$229),(INDEX($E161:$M161,0,AB$231+1)-INDEX($E161:$M161,0,AB$231))/(INDEX($E$160:$M$160,0,AB$231+1)-INDEX($E$160:$M$160,0,AB$231))+Z233)))</f>
        <v>47.843089864067124</v>
      </c>
      <c r="AB233" s="186" cm="1">
        <f t="array" ref="AB233">IF(AC$231=-1,AC233,IF(AC$231=99,AA233,IF(AC$231=0,INDEX($E161:$M161,0,AC$229),(INDEX($E161:$M161,0,AC$231+1)-INDEX($E161:$M161,0,AC$231))/(INDEX($E$160:$M$160,0,AC$231+1)-INDEX($E$160:$M$160,0,AC$231))+AA233)))</f>
        <v>110.00556389780662</v>
      </c>
      <c r="AC233" s="186" cm="1">
        <f t="array" ref="AC233">IF(AD$231=-1,AD233,IF(AD$231=99,AB233,IF(AD$231=0,INDEX($E161:$M161,0,AD$229),(INDEX($E161:$M161,0,AD$231+1)-INDEX($E161:$M161,0,AD$231))/(INDEX($E$160:$M$160,0,AD$231+1)-INDEX($E$160:$M$160,0,AD$231))+AB233)))</f>
        <v>111.05456884454453</v>
      </c>
      <c r="AD233" s="186" cm="1">
        <f t="array" ref="AD233">IF(AE$231=-1,AE233,IF(AE$231=99,AC233,IF(AE$231=0,INDEX($E161:$M161,0,AE$229),(INDEX($E161:$M161,0,AE$231+1)-INDEX($E161:$M161,0,AE$231))/(INDEX($E$160:$M$160,0,AE$231+1)-INDEX($E$160:$M$160,0,AE$231))+AC233)))</f>
        <v>112.10357379128244</v>
      </c>
      <c r="AE233" s="186" cm="1">
        <f t="array" ref="AE233">IF(AF$231=-1,AF233,IF(AF$231=99,AD233,IF(AF$231=0,INDEX($E161:$M161,0,AF$229),(INDEX($E161:$M161,0,AF$231+1)-INDEX($E161:$M161,0,AF$231))/(INDEX($E$160:$M$160,0,AF$231+1)-INDEX($E$160:$M$160,0,AF$231))+AD233)))</f>
        <v>113.15257873802035</v>
      </c>
      <c r="AF233" s="186" cm="1">
        <f t="array" ref="AF233">IF(AG$231=-1,AG233,IF(AG$231=99,AE233,IF(AG$231=0,INDEX($E161:$M161,0,AG$229),(INDEX($E161:$M161,0,AG$231+1)-INDEX($E161:$M161,0,AG$231))/(INDEX($E$160:$M$160,0,AG$231+1)-INDEX($E$160:$M$160,0,AG$231))+AE233)))</f>
        <v>114.20158368475826</v>
      </c>
      <c r="AG233" s="186" cm="1">
        <f t="array" ref="AG233">IF(AH$231=-1,AH233,IF(AH$231=99,AF233,IF(AH$231=0,INDEX($E161:$M161,0,AH$229),(INDEX($E161:$M161,0,AH$231+1)-INDEX($E161:$M161,0,AH$231))/(INDEX($E$160:$M$160,0,AH$231+1)-INDEX($E$160:$M$160,0,AH$231))+AF233)))</f>
        <v>115.25058863149617</v>
      </c>
      <c r="AH233" s="186" cm="1">
        <f t="array" ref="AH233">IF(AI$231=-1,AI233,IF(AI$231=99,AG233,IF(AI$231=0,INDEX($E161:$M161,0,AI$229),(INDEX($E161:$M161,0,AI$231+1)-INDEX($E161:$M161,0,AI$231))/(INDEX($E$160:$M$160,0,AI$231+1)-INDEX($E$160:$M$160,0,AI$231))+AG233)))</f>
        <v>116.29959357823408</v>
      </c>
      <c r="AI233" s="186" cm="1">
        <f t="array" ref="AI233">IF(AJ$231=-1,AJ233,IF(AJ$231=99,AH233,IF(AJ$231=0,INDEX($E161:$M161,0,AJ$229),(INDEX($E161:$M161,0,AJ$231+1)-INDEX($E161:$M161,0,AJ$231))/(INDEX($E$160:$M$160,0,AJ$231+1)-INDEX($E$160:$M$160,0,AJ$231))+AH233)))</f>
        <v>117.34859852497199</v>
      </c>
      <c r="AJ233" s="186" cm="1">
        <f t="array" ref="AJ233">IF(AK$231=-1,AK233,IF(AK$231=99,AI233,IF(AK$231=0,INDEX($E161:$M161,0,AK$229),(INDEX($E161:$M161,0,AK$231+1)-INDEX($E161:$M161,0,AK$231))/(INDEX($E$160:$M$160,0,AK$231+1)-INDEX($E$160:$M$160,0,AK$231))+AI233)))</f>
        <v>118.3976034717099</v>
      </c>
      <c r="AK233" s="186" cm="1">
        <f t="array" ref="AK233">IF(AL$231=-1,AL233,IF(AL$231=99,AJ233,IF(AL$231=0,INDEX($E161:$M161,0,AL$229),(INDEX($E161:$M161,0,AL$231+1)-INDEX($E161:$M161,0,AL$231))/(INDEX($E$160:$M$160,0,AL$231+1)-INDEX($E$160:$M$160,0,AL$231))+AJ233)))</f>
        <v>119.44660841844781</v>
      </c>
      <c r="AL233" s="186" cm="1">
        <f t="array" ref="AL233">IF(AM$231=-1,AM233,IF(AM$231=99,AK233,IF(AM$231=0,INDEX($E161:$M161,0,AM$229),(INDEX($E161:$M161,0,AM$231+1)-INDEX($E161:$M161,0,AM$231))/(INDEX($E$160:$M$160,0,AM$231+1)-INDEX($E$160:$M$160,0,AM$231))+AK233)))</f>
        <v>111.05456884454453</v>
      </c>
      <c r="AM233" s="186" cm="1">
        <f t="array" ref="AM233">IF(AN$231=-1,AN233,IF(AN$231=99,AL233,IF(AN$231=0,INDEX($E161:$M161,0,AN$229),(INDEX($E161:$M161,0,AN$231+1)-INDEX($E161:$M161,0,AN$231))/(INDEX($E$160:$M$160,0,AN$231+1)-INDEX($E$160:$M$160,0,AN$231))+AL233)))</f>
        <v>114.7392052832231</v>
      </c>
      <c r="AN233" s="186" cm="1">
        <f t="array" ref="AN233">IF(AO$231=-1,AO233,IF(AO$231=99,AM233,IF(AO$231=0,INDEX($E161:$M161,0,AO$229),(INDEX($E161:$M161,0,AO$231+1)-INDEX($E161:$M161,0,AO$231))/(INDEX($E$160:$M$160,0,AO$231+1)-INDEX($E$160:$M$160,0,AO$231))+AM233)))</f>
        <v>118.42384172190167</v>
      </c>
      <c r="AO233" s="186" cm="1">
        <f t="array" ref="AO233">IF(AP$231=-1,AP233,IF(AP$231=99,AN233,IF(AP$231=0,INDEX($E161:$M161,0,AP$229),(INDEX($E161:$M161,0,AP$231+1)-INDEX($E161:$M161,0,AP$231))/(INDEX($E$160:$M$160,0,AP$231+1)-INDEX($E$160:$M$160,0,AP$231))+AN233)))</f>
        <v>122.10847816058023</v>
      </c>
      <c r="AP233" s="186" cm="1">
        <f t="array" ref="AP233">IF(AQ$231=-1,AQ233,IF(AQ$231=99,AO233,IF(AQ$231=0,INDEX($E161:$M161,0,AQ$229),(INDEX($E161:$M161,0,AQ$231+1)-INDEX($E161:$M161,0,AQ$231))/(INDEX($E$160:$M$160,0,AQ$231+1)-INDEX($E$160:$M$160,0,AQ$231))+AO233)))</f>
        <v>125.7931145992588</v>
      </c>
      <c r="AQ233" s="186" cm="1">
        <f t="array" ref="AQ233">IF(AR$231=-1,AR233,IF(AR$231=99,AP233,IF(AR$231=0,INDEX($E161:$M161,0,AR$229),(INDEX($E161:$M161,0,AR$231+1)-INDEX($E161:$M161,0,AR$231))/(INDEX($E$160:$M$160,0,AR$231+1)-INDEX($E$160:$M$160,0,AR$231))+AP233)))</f>
        <v>129.47775103793737</v>
      </c>
      <c r="AR233" s="186" cm="1">
        <f t="array" ref="AR233">IF(AS$231=-1,AS233,IF(AS$231=99,AQ233,IF(AS$231=0,INDEX($E161:$M161,0,AS$229),(INDEX($E161:$M161,0,AS$231+1)-INDEX($E161:$M161,0,AS$231))/(INDEX($E$160:$M$160,0,AS$231+1)-INDEX($E$160:$M$160,0,AS$231))+AQ233)))</f>
        <v>133.16238747661595</v>
      </c>
      <c r="AS233" s="186" cm="1">
        <f t="array" ref="AS233">IF(AT$231=-1,AT233,IF(AT$231=99,AR233,IF(AT$231=0,INDEX($E161:$M161,0,AT$229),(INDEX($E161:$M161,0,AT$231+1)-INDEX($E161:$M161,0,AT$231))/(INDEX($E$160:$M$160,0,AT$231+1)-INDEX($E$160:$M$160,0,AT$231))+AR233)))</f>
        <v>136.84702391529453</v>
      </c>
      <c r="AT233" s="186" cm="1">
        <f t="array" ref="AT233">IF(AU$231=-1,AU233,IF(AU$231=99,AS233,IF(AU$231=0,INDEX($E161:$M161,0,AU$229),(INDEX($E161:$M161,0,AU$231+1)-INDEX($E161:$M161,0,AU$231))/(INDEX($E$160:$M$160,0,AU$231+1)-INDEX($E$160:$M$160,0,AU$231))+AS233)))</f>
        <v>140.53166035397311</v>
      </c>
      <c r="AU233" s="186" cm="1">
        <f t="array" ref="AU233">IF(AV$231=-1,AV233,IF(AV$231=99,AT233,IF(AV$231=0,INDEX($E161:$M161,0,AV$229),(INDEX($E161:$M161,0,AV$231+1)-INDEX($E161:$M161,0,AV$231))/(INDEX($E$160:$M$160,0,AV$231+1)-INDEX($E$160:$M$160,0,AV$231))+AT233)))</f>
        <v>144.21629679265169</v>
      </c>
      <c r="AV233" s="186" cm="1">
        <f t="array" ref="AV233">IF(AW$231=-1,AW233,IF(AW$231=99,AU233,IF(AW$231=0,INDEX($E161:$M161,0,AW$229),(INDEX($E161:$M161,0,AW$231+1)-INDEX($E161:$M161,0,AW$231))/(INDEX($E$160:$M$160,0,AW$231+1)-INDEX($E$160:$M$160,0,AW$231))+AU233)))</f>
        <v>144.21629679265169</v>
      </c>
      <c r="AW233" s="186" cm="1">
        <f t="array" ref="AW233">IF(AX$231=-1,AX233,IF(AX$231=99,AV233,IF(AX$231=0,INDEX($E161:$M161,0,AX$229),(INDEX($E161:$M161,0,AX$231+1)-INDEX($E161:$M161,0,AX$231))/(INDEX($E$160:$M$160,0,AX$231+1)-INDEX($E$160:$M$160,0,AX$231))+AV233)))</f>
        <v>144.21629679265169</v>
      </c>
      <c r="AX233" s="186" cm="1">
        <f t="array" ref="AX233">IF(AY$231=-1,AZ233,IF(AY$231=99,AW233,IF(AY$231=0,INDEX($E161:$M161,0,AY$229),(INDEX($E161:$M161,0,AY$231+1)-INDEX($E161:$M161,0,AY$231))/(INDEX($E$160:$M$160,0,AY$231+1)-INDEX($E$160:$M$160,0,AY$231))+AW233)))</f>
        <v>144.21629679265169</v>
      </c>
      <c r="AZ233" s="186"/>
      <c r="BA233" s="186"/>
      <c r="BB233" s="186"/>
      <c r="BC233" s="186"/>
      <c r="BD233" s="186"/>
      <c r="BE233" s="186"/>
    </row>
    <row r="234" spans="1:58">
      <c r="A234" s="185" t="s">
        <v>16</v>
      </c>
      <c r="B234" s="22" t="str">
        <f t="shared" si="611"/>
        <v/>
      </c>
      <c r="C234" s="23" t="str">
        <f t="shared" si="612"/>
        <v/>
      </c>
      <c r="E234" s="23" t="str">
        <f t="shared" si="613"/>
        <v/>
      </c>
      <c r="F234" s="23"/>
      <c r="G234" s="23" t="str">
        <f t="shared" si="613"/>
        <v/>
      </c>
      <c r="H234" s="23" t="str">
        <f t="shared" si="613"/>
        <v/>
      </c>
      <c r="I234" s="57" t="str">
        <f t="shared" si="614"/>
        <v>TPPRSUV</v>
      </c>
      <c r="J234" s="186">
        <f t="shared" si="615"/>
        <v>13.915131557209829</v>
      </c>
      <c r="K234" s="186" cm="1">
        <f t="array" ref="K234">IF(L$231=-1,L234,IF(L$231=99,J234,IF(L$231=0,INDEX($E162:$M162,0,L$229),(INDEX($E162:$M162,0,L$231+1)-INDEX($E162:$M162,0,L$231))/(INDEX($E$160:$M$160,0,L$231+1)-INDEX($E$160:$M$160,0,L$231))+J234)))</f>
        <v>15.459100350449605</v>
      </c>
      <c r="L234" s="186" cm="1">
        <f t="array" ref="L234">IF(M$231=-1,M234,IF(M$231=99,K234,IF(M$231=0,INDEX($E162:$M162,0,M$229),(INDEX($E162:$M162,0,M$231+1)-INDEX($E162:$M162,0,M$231))/(INDEX($E$160:$M$160,0,M$231+1)-INDEX($E$160:$M$160,0,M$231))+K234)))</f>
        <v>17.00306914368938</v>
      </c>
      <c r="M234" s="186" cm="1">
        <f t="array" ref="M234">IF(N$231=-1,N234,IF(N$231=99,L234,IF(N$231=0,INDEX($E162:$M162,0,N$229),(INDEX($E162:$M162,0,N$231+1)-INDEX($E162:$M162,0,N$231))/(INDEX($E$160:$M$160,0,N$231+1)-INDEX($E$160:$M$160,0,N$231))+L234)))</f>
        <v>18.547037936929154</v>
      </c>
      <c r="N234" s="186" cm="1">
        <f t="array" ref="N234">IF(O$231=-1,O234,IF(O$231=99,M234,IF(O$231=0,INDEX($E162:$M162,0,O$229),(INDEX($E162:$M162,0,O$231+1)-INDEX($E162:$M162,0,O$231))/(INDEX($E$160:$M$160,0,O$231+1)-INDEX($E$160:$M$160,0,O$231))+M234)))</f>
        <v>21.196211210608432</v>
      </c>
      <c r="O234" s="186" cm="1">
        <f t="array" ref="O234">IF(P$231=-1,P234,IF(P$231=99,N234,IF(P$231=0,INDEX($E162:$M162,0,P$229),(INDEX($E162:$M162,0,P$231+1)-INDEX($E162:$M162,0,P$231))/(INDEX($E$160:$M$160,0,P$231+1)-INDEX($E$160:$M$160,0,P$231))+N234)))</f>
        <v>23.845384484287713</v>
      </c>
      <c r="P234" s="186" cm="1">
        <f t="array" ref="P234">IF(Q$231=-1,Q234,IF(Q$231=99,O234,IF(Q$231=0,INDEX($E162:$M162,0,Q$229),(INDEX($E162:$M162,0,Q$231+1)-INDEX($E162:$M162,0,Q$231))/(INDEX($E$160:$M$160,0,Q$231+1)-INDEX($E$160:$M$160,0,Q$231))+O234)))</f>
        <v>24.436378764546415</v>
      </c>
      <c r="Q234" s="186" cm="1">
        <f t="array" ref="Q234">IF(R$231=-1,R234,IF(R$231=99,P234,IF(R$231=0,INDEX($E162:$M162,0,R$229),(INDEX($E162:$M162,0,R$231+1)-INDEX($E162:$M162,0,R$231))/(INDEX($E$160:$M$160,0,R$231+1)-INDEX($E$160:$M$160,0,R$231))+P234)))</f>
        <v>25.027373044805117</v>
      </c>
      <c r="R234" s="186" cm="1">
        <f t="array" ref="R234">IF(S$231=-1,S234,IF(S$231=99,Q234,IF(S$231=0,INDEX($E162:$M162,0,S$229),(INDEX($E162:$M162,0,S$231+1)-INDEX($E162:$M162,0,S$231))/(INDEX($E$160:$M$160,0,S$231+1)-INDEX($E$160:$M$160,0,S$231))+Q234)))</f>
        <v>25.027373044805117</v>
      </c>
      <c r="S234" s="186" cm="1">
        <f t="array" ref="S234">IF(T$231=-1,T234,IF(T$231=99,R234,IF(T$231=0,INDEX($E162:$M162,0,T$229),(INDEX($E162:$M162,0,T$231+1)-INDEX($E162:$M162,0,T$231))/(INDEX($E$160:$M$160,0,T$231+1)-INDEX($E$160:$M$160,0,T$231))+R234)))</f>
        <v>23.37618232828391</v>
      </c>
      <c r="T234" s="186" cm="1">
        <f t="array" ref="T234">IF(U$231=-1,U234,IF(U$231=99,S234,IF(U$231=0,INDEX($E162:$M162,0,U$229),(INDEX($E162:$M162,0,U$231+1)-INDEX($E162:$M162,0,U$231))/(INDEX($E$160:$M$160,0,U$231+1)-INDEX($E$160:$M$160,0,U$231))+S234)))</f>
        <v>21.724991611762704</v>
      </c>
      <c r="U234" s="186" cm="1">
        <f t="array" ref="U234">IF(V$231=-1,V234,IF(V$231=99,T234,IF(V$231=0,INDEX($E162:$M162,0,V$229),(INDEX($E162:$M162,0,V$231+1)-INDEX($E162:$M162,0,V$231))/(INDEX($E$160:$M$160,0,V$231+1)-INDEX($E$160:$M$160,0,V$231))+T234)))</f>
        <v>20.073800895241497</v>
      </c>
      <c r="V234" s="186" cm="1">
        <f t="array" ref="V234">IF(W$231=-1,W234,IF(W$231=99,U234,IF(W$231=0,INDEX($E162:$M162,0,W$229),(INDEX($E162:$M162,0,W$231+1)-INDEX($E162:$M162,0,W$231))/(INDEX($E$160:$M$160,0,W$231+1)-INDEX($E$160:$M$160,0,W$231))+U234)))</f>
        <v>18.422610178720291</v>
      </c>
      <c r="W234" s="186" cm="1">
        <f t="array" ref="W234">IF(X$231=-1,X234,IF(X$231=99,V234,IF(X$231=0,INDEX($E162:$M162,0,X$229),(INDEX($E162:$M162,0,X$231+1)-INDEX($E162:$M162,0,X$231))/(INDEX($E$160:$M$160,0,X$231+1)-INDEX($E$160:$M$160,0,X$231))+V234)))</f>
        <v>16.771419462199084</v>
      </c>
      <c r="X234" s="186" cm="1">
        <f t="array" ref="X234">IF(Y$231=-1,Y234,IF(Y$231=99,W234,IF(Y$231=0,INDEX($E162:$M162,0,Y$229),(INDEX($E162:$M162,0,Y$231+1)-INDEX($E162:$M162,0,Y$231))/(INDEX($E$160:$M$160,0,Y$231+1)-INDEX($E$160:$M$160,0,Y$231))+W234)))</f>
        <v>15.120228745677878</v>
      </c>
      <c r="Y234" s="186" cm="1">
        <f t="array" ref="Y234">IF(Z$231=-1,Z234,IF(Z$231=99,X234,IF(Z$231=0,INDEX($E162:$M162,0,Z$229),(INDEX($E162:$M162,0,Z$231+1)-INDEX($E162:$M162,0,Z$231))/(INDEX($E$160:$M$160,0,Z$231+1)-INDEX($E$160:$M$160,0,Z$231))+X234)))</f>
        <v>13.469038029156671</v>
      </c>
      <c r="Z234" s="186" cm="1">
        <f t="array" ref="Z234">IF(AA$231=-1,AA234,IF(AA$231=99,Y234,IF(AA$231=0,INDEX($E162:$M162,0,AA$229),(INDEX($E162:$M162,0,AA$231+1)-INDEX($E162:$M162,0,AA$231))/(INDEX($E$160:$M$160,0,AA$231+1)-INDEX($E$160:$M$160,0,AA$231))+Y234)))</f>
        <v>11.817847312635465</v>
      </c>
      <c r="AA234" s="186" cm="1">
        <f t="array" ref="AA234">IF(AB$231=-1,AB234,IF(AB$231=99,Z234,IF(AB$231=0,INDEX($E162:$M162,0,AB$229),(INDEX($E162:$M162,0,AB$231+1)-INDEX($E162:$M162,0,AB$231))/(INDEX($E$160:$M$160,0,AB$231+1)-INDEX($E$160:$M$160,0,AB$231))+Z234)))</f>
        <v>10.166656596114258</v>
      </c>
      <c r="AB234" s="186" cm="1">
        <f t="array" ref="AB234">IF(AC$231=-1,AC234,IF(AC$231=99,AA234,IF(AC$231=0,INDEX($E162:$M162,0,AC$229),(INDEX($E162:$M162,0,AC$231+1)-INDEX($E162:$M162,0,AC$231))/(INDEX($E$160:$M$160,0,AC$231+1)-INDEX($E$160:$M$160,0,AC$231))+AA234)))</f>
        <v>23.37618232828391</v>
      </c>
      <c r="AC234" s="186" cm="1">
        <f t="array" ref="AC234">IF(AD$231=-1,AD234,IF(AD$231=99,AB234,IF(AD$231=0,INDEX($E162:$M162,0,AD$229),(INDEX($E162:$M162,0,AD$231+1)-INDEX($E162:$M162,0,AD$231))/(INDEX($E$160:$M$160,0,AD$231+1)-INDEX($E$160:$M$160,0,AD$231))+AB234)))</f>
        <v>23.599095879465718</v>
      </c>
      <c r="AD234" s="186" cm="1">
        <f t="array" ref="AD234">IF(AE$231=-1,AE234,IF(AE$231=99,AC234,IF(AE$231=0,INDEX($E162:$M162,0,AE$229),(INDEX($E162:$M162,0,AE$231+1)-INDEX($E162:$M162,0,AE$231))/(INDEX($E$160:$M$160,0,AE$231+1)-INDEX($E$160:$M$160,0,AE$231))+AC234)))</f>
        <v>23.822009430647526</v>
      </c>
      <c r="AE234" s="186" cm="1">
        <f t="array" ref="AE234">IF(AF$231=-1,AF234,IF(AF$231=99,AD234,IF(AF$231=0,INDEX($E162:$M162,0,AF$229),(INDEX($E162:$M162,0,AF$231+1)-INDEX($E162:$M162,0,AF$231))/(INDEX($E$160:$M$160,0,AF$231+1)-INDEX($E$160:$M$160,0,AF$231))+AD234)))</f>
        <v>24.044922981829334</v>
      </c>
      <c r="AF234" s="186" cm="1">
        <f t="array" ref="AF234">IF(AG$231=-1,AG234,IF(AG$231=99,AE234,IF(AG$231=0,INDEX($E162:$M162,0,AG$229),(INDEX($E162:$M162,0,AG$231+1)-INDEX($E162:$M162,0,AG$231))/(INDEX($E$160:$M$160,0,AG$231+1)-INDEX($E$160:$M$160,0,AG$231))+AE234)))</f>
        <v>24.267836533011142</v>
      </c>
      <c r="AG234" s="186" cm="1">
        <f t="array" ref="AG234">IF(AH$231=-1,AH234,IF(AH$231=99,AF234,IF(AH$231=0,INDEX($E162:$M162,0,AH$229),(INDEX($E162:$M162,0,AH$231+1)-INDEX($E162:$M162,0,AH$231))/(INDEX($E$160:$M$160,0,AH$231+1)-INDEX($E$160:$M$160,0,AH$231))+AF234)))</f>
        <v>24.49075008419295</v>
      </c>
      <c r="AH234" s="186" cm="1">
        <f t="array" ref="AH234">IF(AI$231=-1,AI234,IF(AI$231=99,AG234,IF(AI$231=0,INDEX($E162:$M162,0,AI$229),(INDEX($E162:$M162,0,AI$231+1)-INDEX($E162:$M162,0,AI$231))/(INDEX($E$160:$M$160,0,AI$231+1)-INDEX($E$160:$M$160,0,AI$231))+AG234)))</f>
        <v>24.713663635374758</v>
      </c>
      <c r="AI234" s="186" cm="1">
        <f t="array" ref="AI234">IF(AJ$231=-1,AJ234,IF(AJ$231=99,AH234,IF(AJ$231=0,INDEX($E162:$M162,0,AJ$229),(INDEX($E162:$M162,0,AJ$231+1)-INDEX($E162:$M162,0,AJ$231))/(INDEX($E$160:$M$160,0,AJ$231+1)-INDEX($E$160:$M$160,0,AJ$231))+AH234)))</f>
        <v>24.936577186556566</v>
      </c>
      <c r="AJ234" s="186" cm="1">
        <f t="array" ref="AJ234">IF(AK$231=-1,AK234,IF(AK$231=99,AI234,IF(AK$231=0,INDEX($E162:$M162,0,AK$229),(INDEX($E162:$M162,0,AK$231+1)-INDEX($E162:$M162,0,AK$231))/(INDEX($E$160:$M$160,0,AK$231+1)-INDEX($E$160:$M$160,0,AK$231))+AI234)))</f>
        <v>25.159490737738373</v>
      </c>
      <c r="AK234" s="186" cm="1">
        <f t="array" ref="AK234">IF(AL$231=-1,AL234,IF(AL$231=99,AJ234,IF(AL$231=0,INDEX($E162:$M162,0,AL$229),(INDEX($E162:$M162,0,AL$231+1)-INDEX($E162:$M162,0,AL$231))/(INDEX($E$160:$M$160,0,AL$231+1)-INDEX($E$160:$M$160,0,AL$231))+AJ234)))</f>
        <v>25.382404288920181</v>
      </c>
      <c r="AL234" s="186" cm="1">
        <f t="array" ref="AL234">IF(AM$231=-1,AM234,IF(AM$231=99,AK234,IF(AM$231=0,INDEX($E162:$M162,0,AM$229),(INDEX($E162:$M162,0,AM$231+1)-INDEX($E162:$M162,0,AM$231))/(INDEX($E$160:$M$160,0,AM$231+1)-INDEX($E$160:$M$160,0,AM$231))+AK234)))</f>
        <v>23.599095879465718</v>
      </c>
      <c r="AM234" s="186" cm="1">
        <f t="array" ref="AM234">IF(AN$231=-1,AN234,IF(AN$231=99,AL234,IF(AN$231=0,INDEX($E162:$M162,0,AN$229),(INDEX($E162:$M162,0,AN$231+1)-INDEX($E162:$M162,0,AN$231))/(INDEX($E$160:$M$160,0,AN$231+1)-INDEX($E$160:$M$160,0,AN$231))+AL234)))</f>
        <v>24.382081122684916</v>
      </c>
      <c r="AN234" s="186" cm="1">
        <f t="array" ref="AN234">IF(AO$231=-1,AO234,IF(AO$231=99,AM234,IF(AO$231=0,INDEX($E162:$M162,0,AO$229),(INDEX($E162:$M162,0,AO$231+1)-INDEX($E162:$M162,0,AO$231))/(INDEX($E$160:$M$160,0,AO$231+1)-INDEX($E$160:$M$160,0,AO$231))+AM234)))</f>
        <v>25.165066365904114</v>
      </c>
      <c r="AO234" s="186" cm="1">
        <f t="array" ref="AO234">IF(AP$231=-1,AP234,IF(AP$231=99,AN234,IF(AP$231=0,INDEX($E162:$M162,0,AP$229),(INDEX($E162:$M162,0,AP$231+1)-INDEX($E162:$M162,0,AP$231))/(INDEX($E$160:$M$160,0,AP$231+1)-INDEX($E$160:$M$160,0,AP$231))+AN234)))</f>
        <v>25.948051609123311</v>
      </c>
      <c r="AP234" s="186" cm="1">
        <f t="array" ref="AP234">IF(AQ$231=-1,AQ234,IF(AQ$231=99,AO234,IF(AQ$231=0,INDEX($E162:$M162,0,AQ$229),(INDEX($E162:$M162,0,AQ$231+1)-INDEX($E162:$M162,0,AQ$231))/(INDEX($E$160:$M$160,0,AQ$231+1)-INDEX($E$160:$M$160,0,AQ$231))+AO234)))</f>
        <v>26.731036852342509</v>
      </c>
      <c r="AQ234" s="186" cm="1">
        <f t="array" ref="AQ234">IF(AR$231=-1,AR234,IF(AR$231=99,AP234,IF(AR$231=0,INDEX($E162:$M162,0,AR$229),(INDEX($E162:$M162,0,AR$231+1)-INDEX($E162:$M162,0,AR$231))/(INDEX($E$160:$M$160,0,AR$231+1)-INDEX($E$160:$M$160,0,AR$231))+AP234)))</f>
        <v>27.514022095561707</v>
      </c>
      <c r="AR234" s="186" cm="1">
        <f t="array" ref="AR234">IF(AS$231=-1,AS234,IF(AS$231=99,AQ234,IF(AS$231=0,INDEX($E162:$M162,0,AS$229),(INDEX($E162:$M162,0,AS$231+1)-INDEX($E162:$M162,0,AS$231))/(INDEX($E$160:$M$160,0,AS$231+1)-INDEX($E$160:$M$160,0,AS$231))+AQ234)))</f>
        <v>28.297007338780904</v>
      </c>
      <c r="AS234" s="186" cm="1">
        <f t="array" ref="AS234">IF(AT$231=-1,AT234,IF(AT$231=99,AR234,IF(AT$231=0,INDEX($E162:$M162,0,AT$229),(INDEX($E162:$M162,0,AT$231+1)-INDEX($E162:$M162,0,AT$231))/(INDEX($E$160:$M$160,0,AT$231+1)-INDEX($E$160:$M$160,0,AT$231))+AR234)))</f>
        <v>29.079992582000102</v>
      </c>
      <c r="AT234" s="186" cm="1">
        <f t="array" ref="AT234">IF(AU$231=-1,AU234,IF(AU$231=99,AS234,IF(AU$231=0,INDEX($E162:$M162,0,AU$229),(INDEX($E162:$M162,0,AU$231+1)-INDEX($E162:$M162,0,AU$231))/(INDEX($E$160:$M$160,0,AU$231+1)-INDEX($E$160:$M$160,0,AU$231))+AS234)))</f>
        <v>29.8629778252193</v>
      </c>
      <c r="AU234" s="186" cm="1">
        <f t="array" ref="AU234">IF(AV$231=-1,AV234,IF(AV$231=99,AT234,IF(AV$231=0,INDEX($E162:$M162,0,AV$229),(INDEX($E162:$M162,0,AV$231+1)-INDEX($E162:$M162,0,AV$231))/(INDEX($E$160:$M$160,0,AV$231+1)-INDEX($E$160:$M$160,0,AV$231))+AT234)))</f>
        <v>30.645963068438498</v>
      </c>
      <c r="AV234" s="186" cm="1">
        <f t="array" ref="AV234">IF(AW$231=-1,AW234,IF(AW$231=99,AU234,IF(AW$231=0,INDEX($E162:$M162,0,AW$229),(INDEX($E162:$M162,0,AW$231+1)-INDEX($E162:$M162,0,AW$231))/(INDEX($E$160:$M$160,0,AW$231+1)-INDEX($E$160:$M$160,0,AW$231))+AU234)))</f>
        <v>30.645963068438487</v>
      </c>
      <c r="AW234" s="186" cm="1">
        <f t="array" ref="AW234">IF(AX$231=-1,AX234,IF(AX$231=99,AV234,IF(AX$231=0,INDEX($E162:$M162,0,AX$229),(INDEX($E162:$M162,0,AX$231+1)-INDEX($E162:$M162,0,AX$231))/(INDEX($E$160:$M$160,0,AX$231+1)-INDEX($E$160:$M$160,0,AX$231))+AV234)))</f>
        <v>30.645963068438487</v>
      </c>
      <c r="AX234" s="186" cm="1">
        <f t="array" ref="AX234">IF(AY$231=-1,AZ234,IF(AY$231=99,AW234,IF(AY$231=0,INDEX($E162:$M162,0,AY$229),(INDEX($E162:$M162,0,AY$231+1)-INDEX($E162:$M162,0,AY$231))/(INDEX($E$160:$M$160,0,AY$231+1)-INDEX($E$160:$M$160,0,AY$231))+AW234)))</f>
        <v>30.645963068438487</v>
      </c>
      <c r="AZ234" s="186"/>
      <c r="BA234" s="186"/>
      <c r="BB234" s="186"/>
      <c r="BC234" s="186"/>
      <c r="BD234" s="186"/>
      <c r="BE234" s="186"/>
    </row>
    <row r="235" spans="1:58">
      <c r="A235" s="185" t="s">
        <v>16</v>
      </c>
      <c r="B235" s="22" t="str">
        <f t="shared" si="611"/>
        <v/>
      </c>
      <c r="C235" s="23" t="str">
        <f t="shared" si="612"/>
        <v/>
      </c>
      <c r="E235" s="23" t="str">
        <f t="shared" si="613"/>
        <v/>
      </c>
      <c r="F235" s="23"/>
      <c r="G235" s="23" t="str">
        <f t="shared" si="613"/>
        <v/>
      </c>
      <c r="H235" s="23" t="str">
        <f t="shared" si="613"/>
        <v/>
      </c>
      <c r="I235" s="57" t="str">
        <f t="shared" si="614"/>
        <v>TPPRMOT</v>
      </c>
      <c r="J235" s="186">
        <f t="shared" si="615"/>
        <v>4.7105599865379668</v>
      </c>
      <c r="K235" s="186" cm="1">
        <f t="array" ref="K235">IF(L$231=-1,L235,IF(L$231=99,J235,IF(L$231=0,INDEX($E163:$M163,0,L$229),(INDEX($E163:$M163,0,L$231+1)-INDEX($E163:$M163,0,L$231))/(INDEX($E$160:$M$160,0,L$231+1)-INDEX($E$160:$M$160,0,L$231))+J235)))</f>
        <v>4.4651617484250128</v>
      </c>
      <c r="L235" s="186" cm="1">
        <f t="array" ref="L235">IF(M$231=-1,M235,IF(M$231=99,K235,IF(M$231=0,INDEX($E163:$M163,0,M$229),(INDEX($E163:$M163,0,M$231+1)-INDEX($E163:$M163,0,M$231))/(INDEX($E$160:$M$160,0,M$231+1)-INDEX($E$160:$M$160,0,M$231))+K235)))</f>
        <v>4.2197635103120588</v>
      </c>
      <c r="M235" s="186" cm="1">
        <f t="array" ref="M235">IF(N$231=-1,N235,IF(N$231=99,L235,IF(N$231=0,INDEX($E163:$M163,0,N$229),(INDEX($E163:$M163,0,N$231+1)-INDEX($E163:$M163,0,N$231))/(INDEX($E$160:$M$160,0,N$231+1)-INDEX($E$160:$M$160,0,N$231))+L235)))</f>
        <v>3.9743652721991038</v>
      </c>
      <c r="N235" s="186" cm="1">
        <f t="array" ref="N235">IF(O$231=-1,O235,IF(O$231=99,M235,IF(O$231=0,INDEX($E163:$M163,0,O$229),(INDEX($E163:$M163,0,O$231+1)-INDEX($E163:$M163,0,O$231))/(INDEX($E$160:$M$160,0,O$231+1)-INDEX($E$160:$M$160,0,O$231))+M235)))</f>
        <v>4.0911871494190564</v>
      </c>
      <c r="O235" s="186" cm="1">
        <f t="array" ref="O235">IF(P$231=-1,P235,IF(P$231=99,N235,IF(P$231=0,INDEX($E163:$M163,0,P$229),(INDEX($E163:$M163,0,P$231+1)-INDEX($E163:$M163,0,P$231))/(INDEX($E$160:$M$160,0,P$231+1)-INDEX($E$160:$M$160,0,P$231))+N235)))</f>
        <v>4.208009026639008</v>
      </c>
      <c r="P235" s="186" cm="1">
        <f t="array" ref="P235">IF(Q$231=-1,Q235,IF(Q$231=99,O235,IF(Q$231=0,INDEX($E163:$M163,0,Q$229),(INDEX($E163:$M163,0,Q$231+1)-INDEX($E163:$M163,0,Q$231))/(INDEX($E$160:$M$160,0,Q$231+1)-INDEX($E$160:$M$160,0,Q$231))+O235)))</f>
        <v>4.3123021349199551</v>
      </c>
      <c r="Q235" s="186" cm="1">
        <f t="array" ref="Q235">IF(R$231=-1,R235,IF(R$231=99,P235,IF(R$231=0,INDEX($E163:$M163,0,R$229),(INDEX($E163:$M163,0,R$231+1)-INDEX($E163:$M163,0,R$231))/(INDEX($E$160:$M$160,0,R$231+1)-INDEX($E$160:$M$160,0,R$231))+P235)))</f>
        <v>4.4165952432009021</v>
      </c>
      <c r="R235" s="186" cm="1">
        <f t="array" ref="R235">IF(S$231=-1,S235,IF(S$231=99,Q235,IF(S$231=0,INDEX($E163:$M163,0,S$229),(INDEX($E163:$M163,0,S$231+1)-INDEX($E163:$M163,0,S$231))/(INDEX($E$160:$M$160,0,S$231+1)-INDEX($E$160:$M$160,0,S$231))+Q235)))</f>
        <v>4.4165952432009021</v>
      </c>
      <c r="S235" s="186" cm="1">
        <f t="array" ref="S235">IF(T$231=-1,T235,IF(T$231=99,R235,IF(T$231=0,INDEX($E163:$M163,0,T$229),(INDEX($E163:$M163,0,T$231+1)-INDEX($E163:$M163,0,T$231))/(INDEX($E$160:$M$160,0,T$231+1)-INDEX($E$160:$M$160,0,T$231))+R235)))</f>
        <v>4.1252086461677484</v>
      </c>
      <c r="T235" s="186" cm="1">
        <f t="array" ref="T235">IF(U$231=-1,U235,IF(U$231=99,S235,IF(U$231=0,INDEX($E163:$M163,0,U$229),(INDEX($E163:$M163,0,U$231+1)-INDEX($E163:$M163,0,U$231))/(INDEX($E$160:$M$160,0,U$231+1)-INDEX($E$160:$M$160,0,U$231))+S235)))</f>
        <v>3.8338220491345947</v>
      </c>
      <c r="U235" s="186" cm="1">
        <f t="array" ref="U235">IF(V$231=-1,V235,IF(V$231=99,T235,IF(V$231=0,INDEX($E163:$M163,0,V$229),(INDEX($E163:$M163,0,V$231+1)-INDEX($E163:$M163,0,V$231))/(INDEX($E$160:$M$160,0,V$231+1)-INDEX($E$160:$M$160,0,V$231))+T235)))</f>
        <v>3.542435452101441</v>
      </c>
      <c r="V235" s="186" cm="1">
        <f t="array" ref="V235">IF(W$231=-1,W235,IF(W$231=99,U235,IF(W$231=0,INDEX($E163:$M163,0,W$229),(INDEX($E163:$M163,0,W$231+1)-INDEX($E163:$M163,0,W$231))/(INDEX($E$160:$M$160,0,W$231+1)-INDEX($E$160:$M$160,0,W$231))+U235)))</f>
        <v>3.2510488550682872</v>
      </c>
      <c r="W235" s="186" cm="1">
        <f t="array" ref="W235">IF(X$231=-1,X235,IF(X$231=99,V235,IF(X$231=0,INDEX($E163:$M163,0,X$229),(INDEX($E163:$M163,0,X$231+1)-INDEX($E163:$M163,0,X$231))/(INDEX($E$160:$M$160,0,X$231+1)-INDEX($E$160:$M$160,0,X$231))+V235)))</f>
        <v>2.9596622580351335</v>
      </c>
      <c r="X235" s="186" cm="1">
        <f t="array" ref="X235">IF(Y$231=-1,Y235,IF(Y$231=99,W235,IF(Y$231=0,INDEX($E163:$M163,0,Y$229),(INDEX($E163:$M163,0,Y$231+1)-INDEX($E163:$M163,0,Y$231))/(INDEX($E$160:$M$160,0,Y$231+1)-INDEX($E$160:$M$160,0,Y$231))+W235)))</f>
        <v>2.6682756610019798</v>
      </c>
      <c r="Y235" s="186" cm="1">
        <f t="array" ref="Y235">IF(Z$231=-1,Z235,IF(Z$231=99,X235,IF(Z$231=0,INDEX($E163:$M163,0,Z$229),(INDEX($E163:$M163,0,Z$231+1)-INDEX($E163:$M163,0,Z$231))/(INDEX($E$160:$M$160,0,Z$231+1)-INDEX($E$160:$M$160,0,Z$231))+X235)))</f>
        <v>2.376889063968826</v>
      </c>
      <c r="Z235" s="186" cm="1">
        <f t="array" ref="Z235">IF(AA$231=-1,AA235,IF(AA$231=99,Y235,IF(AA$231=0,INDEX($E163:$M163,0,AA$229),(INDEX($E163:$M163,0,AA$231+1)-INDEX($E163:$M163,0,AA$231))/(INDEX($E$160:$M$160,0,AA$231+1)-INDEX($E$160:$M$160,0,AA$231))+Y235)))</f>
        <v>2.0855024669356723</v>
      </c>
      <c r="AA235" s="186" cm="1">
        <f t="array" ref="AA235">IF(AB$231=-1,AB235,IF(AB$231=99,Z235,IF(AB$231=0,INDEX($E163:$M163,0,AB$229),(INDEX($E163:$M163,0,AB$231+1)-INDEX($E163:$M163,0,AB$231))/(INDEX($E$160:$M$160,0,AB$231+1)-INDEX($E$160:$M$160,0,AB$231))+Z235)))</f>
        <v>1.7941158699025186</v>
      </c>
      <c r="AB235" s="186" cm="1">
        <f t="array" ref="AB235">IF(AC$231=-1,AC235,IF(AC$231=99,AA235,IF(AC$231=0,INDEX($E163:$M163,0,AC$229),(INDEX($E163:$M163,0,AC$231+1)-INDEX($E163:$M163,0,AC$231))/(INDEX($E$160:$M$160,0,AC$231+1)-INDEX($E$160:$M$160,0,AC$231))+AA235)))</f>
        <v>4.1252086461677484</v>
      </c>
      <c r="AC235" s="186" cm="1">
        <f t="array" ref="AC235">IF(AD$231=-1,AD235,IF(AD$231=99,AB235,IF(AD$231=0,INDEX($E163:$M163,0,AD$229),(INDEX($E163:$M163,0,AD$231+1)-INDEX($E163:$M163,0,AD$231))/(INDEX($E$160:$M$160,0,AD$231+1)-INDEX($E$160:$M$160,0,AD$231))+AB235)))</f>
        <v>4.1645463316704205</v>
      </c>
      <c r="AD235" s="186" cm="1">
        <f t="array" ref="AD235">IF(AE$231=-1,AE235,IF(AE$231=99,AC235,IF(AE$231=0,INDEX($E163:$M163,0,AE$229),(INDEX($E163:$M163,0,AE$231+1)-INDEX($E163:$M163,0,AE$231))/(INDEX($E$160:$M$160,0,AE$231+1)-INDEX($E$160:$M$160,0,AE$231))+AC235)))</f>
        <v>4.2038840171730927</v>
      </c>
      <c r="AE235" s="186" cm="1">
        <f t="array" ref="AE235">IF(AF$231=-1,AF235,IF(AF$231=99,AD235,IF(AF$231=0,INDEX($E163:$M163,0,AF$229),(INDEX($E163:$M163,0,AF$231+1)-INDEX($E163:$M163,0,AF$231))/(INDEX($E$160:$M$160,0,AF$231+1)-INDEX($E$160:$M$160,0,AF$231))+AD235)))</f>
        <v>4.2432217026757648</v>
      </c>
      <c r="AF235" s="186" cm="1">
        <f t="array" ref="AF235">IF(AG$231=-1,AG235,IF(AG$231=99,AE235,IF(AG$231=0,INDEX($E163:$M163,0,AG$229),(INDEX($E163:$M163,0,AG$231+1)-INDEX($E163:$M163,0,AG$231))/(INDEX($E$160:$M$160,0,AG$231+1)-INDEX($E$160:$M$160,0,AG$231))+AE235)))</f>
        <v>4.282559388178437</v>
      </c>
      <c r="AG235" s="186" cm="1">
        <f t="array" ref="AG235">IF(AH$231=-1,AH235,IF(AH$231=99,AF235,IF(AH$231=0,INDEX($E163:$M163,0,AH$229),(INDEX($E163:$M163,0,AH$231+1)-INDEX($E163:$M163,0,AH$231))/(INDEX($E$160:$M$160,0,AH$231+1)-INDEX($E$160:$M$160,0,AH$231))+AF235)))</f>
        <v>4.3218970736811091</v>
      </c>
      <c r="AH235" s="186" cm="1">
        <f t="array" ref="AH235">IF(AI$231=-1,AI235,IF(AI$231=99,AG235,IF(AI$231=0,INDEX($E163:$M163,0,AI$229),(INDEX($E163:$M163,0,AI$231+1)-INDEX($E163:$M163,0,AI$231))/(INDEX($E$160:$M$160,0,AI$231+1)-INDEX($E$160:$M$160,0,AI$231))+AG235)))</f>
        <v>4.3612347591837812</v>
      </c>
      <c r="AI235" s="186" cm="1">
        <f t="array" ref="AI235">IF(AJ$231=-1,AJ235,IF(AJ$231=99,AH235,IF(AJ$231=0,INDEX($E163:$M163,0,AJ$229),(INDEX($E163:$M163,0,AJ$231+1)-INDEX($E163:$M163,0,AJ$231))/(INDEX($E$160:$M$160,0,AJ$231+1)-INDEX($E$160:$M$160,0,AJ$231))+AH235)))</f>
        <v>4.4005724446864534</v>
      </c>
      <c r="AJ235" s="186" cm="1">
        <f t="array" ref="AJ235">IF(AK$231=-1,AK235,IF(AK$231=99,AI235,IF(AK$231=0,INDEX($E163:$M163,0,AK$229),(INDEX($E163:$M163,0,AK$231+1)-INDEX($E163:$M163,0,AK$231))/(INDEX($E$160:$M$160,0,AK$231+1)-INDEX($E$160:$M$160,0,AK$231))+AI235)))</f>
        <v>4.4399101301891255</v>
      </c>
      <c r="AK235" s="186" cm="1">
        <f t="array" ref="AK235">IF(AL$231=-1,AL235,IF(AL$231=99,AJ235,IF(AL$231=0,INDEX($E163:$M163,0,AL$229),(INDEX($E163:$M163,0,AL$231+1)-INDEX($E163:$M163,0,AL$231))/(INDEX($E$160:$M$160,0,AL$231+1)-INDEX($E$160:$M$160,0,AL$231))+AJ235)))</f>
        <v>4.4792478156917976</v>
      </c>
      <c r="AL235" s="186" cm="1">
        <f t="array" ref="AL235">IF(AM$231=-1,AM235,IF(AM$231=99,AK235,IF(AM$231=0,INDEX($E163:$M163,0,AM$229),(INDEX($E163:$M163,0,AM$231+1)-INDEX($E163:$M163,0,AM$231))/(INDEX($E$160:$M$160,0,AM$231+1)-INDEX($E$160:$M$160,0,AM$231))+AK235)))</f>
        <v>4.1645463316704205</v>
      </c>
      <c r="AM235" s="186" cm="1">
        <f t="array" ref="AM235">IF(AN$231=-1,AN235,IF(AN$231=99,AL235,IF(AN$231=0,INDEX($E163:$M163,0,AN$229),(INDEX($E163:$M163,0,AN$231+1)-INDEX($E163:$M163,0,AN$231))/(INDEX($E$160:$M$160,0,AN$231+1)-INDEX($E$160:$M$160,0,AN$231))+AL235)))</f>
        <v>4.3027201981208671</v>
      </c>
      <c r="AN235" s="186" cm="1">
        <f t="array" ref="AN235">IF(AO$231=-1,AO235,IF(AO$231=99,AM235,IF(AO$231=0,INDEX($E163:$M163,0,AO$229),(INDEX($E163:$M163,0,AO$231+1)-INDEX($E163:$M163,0,AO$231))/(INDEX($E$160:$M$160,0,AO$231+1)-INDEX($E$160:$M$160,0,AO$231))+AM235)))</f>
        <v>4.4408940645713137</v>
      </c>
      <c r="AO235" s="186" cm="1">
        <f t="array" ref="AO235">IF(AP$231=-1,AP235,IF(AP$231=99,AN235,IF(AP$231=0,INDEX($E163:$M163,0,AP$229),(INDEX($E163:$M163,0,AP$231+1)-INDEX($E163:$M163,0,AP$231))/(INDEX($E$160:$M$160,0,AP$231+1)-INDEX($E$160:$M$160,0,AP$231))+AN235)))</f>
        <v>4.5790679310217604</v>
      </c>
      <c r="AP235" s="186" cm="1">
        <f t="array" ref="AP235">IF(AQ$231=-1,AQ235,IF(AQ$231=99,AO235,IF(AQ$231=0,INDEX($E163:$M163,0,AQ$229),(INDEX($E163:$M163,0,AQ$231+1)-INDEX($E163:$M163,0,AQ$231))/(INDEX($E$160:$M$160,0,AQ$231+1)-INDEX($E$160:$M$160,0,AQ$231))+AO235)))</f>
        <v>4.717241797472207</v>
      </c>
      <c r="AQ235" s="186" cm="1">
        <f t="array" ref="AQ235">IF(AR$231=-1,AR235,IF(AR$231=99,AP235,IF(AR$231=0,INDEX($E163:$M163,0,AR$229),(INDEX($E163:$M163,0,AR$231+1)-INDEX($E163:$M163,0,AR$231))/(INDEX($E$160:$M$160,0,AR$231+1)-INDEX($E$160:$M$160,0,AR$231))+AP235)))</f>
        <v>4.8554156639226536</v>
      </c>
      <c r="AR235" s="186" cm="1">
        <f t="array" ref="AR235">IF(AS$231=-1,AS235,IF(AS$231=99,AQ235,IF(AS$231=0,INDEX($E163:$M163,0,AS$229),(INDEX($E163:$M163,0,AS$231+1)-INDEX($E163:$M163,0,AS$231))/(INDEX($E$160:$M$160,0,AS$231+1)-INDEX($E$160:$M$160,0,AS$231))+AQ235)))</f>
        <v>4.9935895303731002</v>
      </c>
      <c r="AS235" s="186" cm="1">
        <f t="array" ref="AS235">IF(AT$231=-1,AT235,IF(AT$231=99,AR235,IF(AT$231=0,INDEX($E163:$M163,0,AT$229),(INDEX($E163:$M163,0,AT$231+1)-INDEX($E163:$M163,0,AT$231))/(INDEX($E$160:$M$160,0,AT$231+1)-INDEX($E$160:$M$160,0,AT$231))+AR235)))</f>
        <v>5.1317633968235468</v>
      </c>
      <c r="AT235" s="186" cm="1">
        <f t="array" ref="AT235">IF(AU$231=-1,AU235,IF(AU$231=99,AS235,IF(AU$231=0,INDEX($E163:$M163,0,AU$229),(INDEX($E163:$M163,0,AU$231+1)-INDEX($E163:$M163,0,AU$231))/(INDEX($E$160:$M$160,0,AU$231+1)-INDEX($E$160:$M$160,0,AU$231))+AS235)))</f>
        <v>5.2699372632739934</v>
      </c>
      <c r="AU235" s="186" cm="1">
        <f t="array" ref="AU235">IF(AV$231=-1,AV235,IF(AV$231=99,AT235,IF(AV$231=0,INDEX($E163:$M163,0,AV$229),(INDEX($E163:$M163,0,AV$231+1)-INDEX($E163:$M163,0,AV$231))/(INDEX($E$160:$M$160,0,AV$231+1)-INDEX($E$160:$M$160,0,AV$231))+AT235)))</f>
        <v>5.40811112972444</v>
      </c>
      <c r="AV235" s="186" cm="1">
        <f t="array" ref="AV235">IF(AW$231=-1,AW235,IF(AW$231=99,AU235,IF(AW$231=0,INDEX($E163:$M163,0,AW$229),(INDEX($E163:$M163,0,AW$231+1)-INDEX($E163:$M163,0,AW$231))/(INDEX($E$160:$M$160,0,AW$231+1)-INDEX($E$160:$M$160,0,AW$231))+AU235)))</f>
        <v>5.4081111297244382</v>
      </c>
      <c r="AW235" s="186" cm="1">
        <f t="array" ref="AW235">IF(AX$231=-1,AX235,IF(AX$231=99,AV235,IF(AX$231=0,INDEX($E163:$M163,0,AX$229),(INDEX($E163:$M163,0,AX$231+1)-INDEX($E163:$M163,0,AX$231))/(INDEX($E$160:$M$160,0,AX$231+1)-INDEX($E$160:$M$160,0,AX$231))+AV235)))</f>
        <v>5.4081111297244382</v>
      </c>
      <c r="AX235" s="186" cm="1">
        <f t="array" ref="AX235">IF(AY$231=-1,AZ235,IF(AY$231=99,AW235,IF(AY$231=0,INDEX($E163:$M163,0,AY$229),(INDEX($E163:$M163,0,AY$231+1)-INDEX($E163:$M163,0,AY$231))/(INDEX($E$160:$M$160,0,AY$231+1)-INDEX($E$160:$M$160,0,AY$231))+AW235)))</f>
        <v>5.4081111297244382</v>
      </c>
      <c r="AZ235" s="186"/>
      <c r="BA235" s="186"/>
      <c r="BB235" s="186"/>
      <c r="BC235" s="186"/>
      <c r="BD235" s="186"/>
      <c r="BE235" s="186"/>
    </row>
    <row r="236" spans="1:58">
      <c r="A236" s="185" t="s">
        <v>16</v>
      </c>
      <c r="B236" s="22" t="str">
        <f t="shared" si="611"/>
        <v/>
      </c>
      <c r="C236" s="23" t="str">
        <f t="shared" si="612"/>
        <v/>
      </c>
      <c r="E236" s="23" t="str">
        <f t="shared" si="613"/>
        <v/>
      </c>
      <c r="F236" s="23"/>
      <c r="G236" s="23" t="str">
        <f t="shared" si="613"/>
        <v/>
      </c>
      <c r="H236" s="23" t="str">
        <f t="shared" si="613"/>
        <v/>
      </c>
      <c r="I236" s="57" t="str">
        <f t="shared" si="614"/>
        <v>TPPUBUS</v>
      </c>
      <c r="J236" s="186">
        <f t="shared" si="615"/>
        <v>15.449787242939724</v>
      </c>
      <c r="K236" s="186" cm="1">
        <f t="array" ref="K236">IF(L$231=-1,L236,IF(L$231=99,J236,IF(L$231=0,INDEX($E164:$M164,0,L$229),(INDEX($E164:$M164,0,L$231+1)-INDEX($E164:$M164,0,L$231))/(INDEX($E$160:$M$160,0,L$231+1)-INDEX($E$160:$M$160,0,L$231))+J236)))</f>
        <v>19.689107768976417</v>
      </c>
      <c r="L236" s="186" cm="1">
        <f t="array" ref="L236">IF(M$231=-1,M236,IF(M$231=99,K236,IF(M$231=0,INDEX($E164:$M164,0,M$229),(INDEX($E164:$M164,0,M$231+1)-INDEX($E164:$M164,0,M$231))/(INDEX($E$160:$M$160,0,M$231+1)-INDEX($E$160:$M$160,0,M$231))+K236)))</f>
        <v>23.928428295013109</v>
      </c>
      <c r="M236" s="186" cm="1">
        <f t="array" ref="M236">IF(N$231=-1,N236,IF(N$231=99,L236,IF(N$231=0,INDEX($E164:$M164,0,N$229),(INDEX($E164:$M164,0,N$231+1)-INDEX($E164:$M164,0,N$231))/(INDEX($E$160:$M$160,0,N$231+1)-INDEX($E$160:$M$160,0,N$231))+L236)))</f>
        <v>28.167748821049805</v>
      </c>
      <c r="N236" s="186" cm="1">
        <f t="array" ref="N236">IF(O$231=-1,O236,IF(O$231=99,M236,IF(O$231=0,INDEX($E164:$M164,0,O$229),(INDEX($E164:$M164,0,O$231+1)-INDEX($E164:$M164,0,O$231))/(INDEX($E$160:$M$160,0,O$231+1)-INDEX($E$160:$M$160,0,O$231))+M236)))</f>
        <v>23.335007258707499</v>
      </c>
      <c r="O236" s="186" cm="1">
        <f t="array" ref="O236">IF(P$231=-1,P236,IF(P$231=99,N236,IF(P$231=0,INDEX($E164:$M164,0,P$229),(INDEX($E164:$M164,0,P$231+1)-INDEX($E164:$M164,0,P$231))/(INDEX($E$160:$M$160,0,P$231+1)-INDEX($E$160:$M$160,0,P$231))+N236)))</f>
        <v>18.502265696365193</v>
      </c>
      <c r="P236" s="186" cm="1">
        <f t="array" ref="P236">IF(Q$231=-1,Q236,IF(Q$231=99,O236,IF(Q$231=0,INDEX($E164:$M164,0,Q$229),(INDEX($E164:$M164,0,Q$231+1)-INDEX($E164:$M164,0,Q$231))/(INDEX($E$160:$M$160,0,Q$231+1)-INDEX($E$160:$M$160,0,Q$231))+O236)))</f>
        <v>18.714117122077631</v>
      </c>
      <c r="Q236" s="186" cm="1">
        <f t="array" ref="Q236">IF(R$231=-1,R236,IF(R$231=99,P236,IF(R$231=0,INDEX($E164:$M164,0,R$229),(INDEX($E164:$M164,0,R$231+1)-INDEX($E164:$M164,0,R$231))/(INDEX($E$160:$M$160,0,R$231+1)-INDEX($E$160:$M$160,0,R$231))+P236)))</f>
        <v>18.92596854779007</v>
      </c>
      <c r="R236" s="186" cm="1">
        <f t="array" ref="R236">IF(S$231=-1,S236,IF(S$231=99,Q236,IF(S$231=0,INDEX($E164:$M164,0,S$229),(INDEX($E164:$M164,0,S$231+1)-INDEX($E164:$M164,0,S$231))/(INDEX($E$160:$M$160,0,S$231+1)-INDEX($E$160:$M$160,0,S$231))+Q236)))</f>
        <v>18.925968547790067</v>
      </c>
      <c r="S236" s="186" cm="1">
        <f t="array" ref="S236">IF(T$231=-1,T236,IF(T$231=99,R236,IF(T$231=0,INDEX($E164:$M164,0,T$229),(INDEX($E164:$M164,0,T$231+1)-INDEX($E164:$M164,0,T$231))/(INDEX($E$160:$M$160,0,T$231+1)-INDEX($E$160:$M$160,0,T$231))+R236)))</f>
        <v>19.265408767045493</v>
      </c>
      <c r="T236" s="186" cm="1">
        <f t="array" ref="T236">IF(U$231=-1,U236,IF(U$231=99,S236,IF(U$231=0,INDEX($E164:$M164,0,U$229),(INDEX($E164:$M164,0,U$231+1)-INDEX($E164:$M164,0,U$231))/(INDEX($E$160:$M$160,0,U$231+1)-INDEX($E$160:$M$160,0,U$231))+S236)))</f>
        <v>19.604848986300919</v>
      </c>
      <c r="U236" s="186" cm="1">
        <f t="array" ref="U236">IF(V$231=-1,V236,IF(V$231=99,T236,IF(V$231=0,INDEX($E164:$M164,0,V$229),(INDEX($E164:$M164,0,V$231+1)-INDEX($E164:$M164,0,V$231))/(INDEX($E$160:$M$160,0,V$231+1)-INDEX($E$160:$M$160,0,V$231))+T236)))</f>
        <v>19.944289205556345</v>
      </c>
      <c r="V236" s="186" cm="1">
        <f t="array" ref="V236">IF(W$231=-1,W236,IF(W$231=99,U236,IF(W$231=0,INDEX($E164:$M164,0,W$229),(INDEX($E164:$M164,0,W$231+1)-INDEX($E164:$M164,0,W$231))/(INDEX($E$160:$M$160,0,W$231+1)-INDEX($E$160:$M$160,0,W$231))+U236)))</f>
        <v>20.283729424811771</v>
      </c>
      <c r="W236" s="186" cm="1">
        <f t="array" ref="W236">IF(X$231=-1,X236,IF(X$231=99,V236,IF(X$231=0,INDEX($E164:$M164,0,X$229),(INDEX($E164:$M164,0,X$231+1)-INDEX($E164:$M164,0,X$231))/(INDEX($E$160:$M$160,0,X$231+1)-INDEX($E$160:$M$160,0,X$231))+V236)))</f>
        <v>20.623169644067197</v>
      </c>
      <c r="X236" s="186" cm="1">
        <f t="array" ref="X236">IF(Y$231=-1,Y236,IF(Y$231=99,W236,IF(Y$231=0,INDEX($E164:$M164,0,Y$229),(INDEX($E164:$M164,0,Y$231+1)-INDEX($E164:$M164,0,Y$231))/(INDEX($E$160:$M$160,0,Y$231+1)-INDEX($E$160:$M$160,0,Y$231))+W236)))</f>
        <v>20.962609863322623</v>
      </c>
      <c r="Y236" s="186" cm="1">
        <f t="array" ref="Y236">IF(Z$231=-1,Z236,IF(Z$231=99,X236,IF(Z$231=0,INDEX($E164:$M164,0,Z$229),(INDEX($E164:$M164,0,Z$231+1)-INDEX($E164:$M164,0,Z$231))/(INDEX($E$160:$M$160,0,Z$231+1)-INDEX($E$160:$M$160,0,Z$231))+X236)))</f>
        <v>21.302050082578049</v>
      </c>
      <c r="Z236" s="186" cm="1">
        <f t="array" ref="Z236">IF(AA$231=-1,AA236,IF(AA$231=99,Y236,IF(AA$231=0,INDEX($E164:$M164,0,AA$229),(INDEX($E164:$M164,0,AA$231+1)-INDEX($E164:$M164,0,AA$231))/(INDEX($E$160:$M$160,0,AA$231+1)-INDEX($E$160:$M$160,0,AA$231))+Y236)))</f>
        <v>21.641490301833475</v>
      </c>
      <c r="AA236" s="186" cm="1">
        <f t="array" ref="AA236">IF(AB$231=-1,AB236,IF(AB$231=99,Z236,IF(AB$231=0,INDEX($E164:$M164,0,AB$229),(INDEX($E164:$M164,0,AB$231+1)-INDEX($E164:$M164,0,AB$231))/(INDEX($E$160:$M$160,0,AB$231+1)-INDEX($E$160:$M$160,0,AB$231))+Z236)))</f>
        <v>21.980930521088901</v>
      </c>
      <c r="AB236" s="186" cm="1">
        <f t="array" ref="AB236">IF(AC$231=-1,AC236,IF(AC$231=99,AA236,IF(AC$231=0,INDEX($E164:$M164,0,AC$229),(INDEX($E164:$M164,0,AC$231+1)-INDEX($E164:$M164,0,AC$231))/(INDEX($E$160:$M$160,0,AC$231+1)-INDEX($E$160:$M$160,0,AC$231))+AA236)))</f>
        <v>19.265408767045493</v>
      </c>
      <c r="AC236" s="186" cm="1">
        <f t="array" ref="AC236">IF(AD$231=-1,AD236,IF(AD$231=99,AB236,IF(AD$231=0,INDEX($E164:$M164,0,AD$229),(INDEX($E164:$M164,0,AD$231+1)-INDEX($E164:$M164,0,AD$231))/(INDEX($E$160:$M$160,0,AD$231+1)-INDEX($E$160:$M$160,0,AD$231))+AB236)))</f>
        <v>19.539290826558879</v>
      </c>
      <c r="AD236" s="186" cm="1">
        <f t="array" ref="AD236">IF(AE$231=-1,AE236,IF(AE$231=99,AC236,IF(AE$231=0,INDEX($E164:$M164,0,AE$229),(INDEX($E164:$M164,0,AE$231+1)-INDEX($E164:$M164,0,AE$231))/(INDEX($E$160:$M$160,0,AE$231+1)-INDEX($E$160:$M$160,0,AE$231))+AC236)))</f>
        <v>19.813172886072266</v>
      </c>
      <c r="AE236" s="186" cm="1">
        <f t="array" ref="AE236">IF(AF$231=-1,AF236,IF(AF$231=99,AD236,IF(AF$231=0,INDEX($E164:$M164,0,AF$229),(INDEX($E164:$M164,0,AF$231+1)-INDEX($E164:$M164,0,AF$231))/(INDEX($E$160:$M$160,0,AF$231+1)-INDEX($E$160:$M$160,0,AF$231))+AD236)))</f>
        <v>20.087054945585653</v>
      </c>
      <c r="AF236" s="186" cm="1">
        <f t="array" ref="AF236">IF(AG$231=-1,AG236,IF(AG$231=99,AE236,IF(AG$231=0,INDEX($E164:$M164,0,AG$229),(INDEX($E164:$M164,0,AG$231+1)-INDEX($E164:$M164,0,AG$231))/(INDEX($E$160:$M$160,0,AG$231+1)-INDEX($E$160:$M$160,0,AG$231))+AE236)))</f>
        <v>20.360937005099039</v>
      </c>
      <c r="AG236" s="186" cm="1">
        <f t="array" ref="AG236">IF(AH$231=-1,AH236,IF(AH$231=99,AF236,IF(AH$231=0,INDEX($E164:$M164,0,AH$229),(INDEX($E164:$M164,0,AH$231+1)-INDEX($E164:$M164,0,AH$231))/(INDEX($E$160:$M$160,0,AH$231+1)-INDEX($E$160:$M$160,0,AH$231))+AF236)))</f>
        <v>20.634819064612426</v>
      </c>
      <c r="AH236" s="186" cm="1">
        <f t="array" ref="AH236">IF(AI$231=-1,AI236,IF(AI$231=99,AG236,IF(AI$231=0,INDEX($E164:$M164,0,AI$229),(INDEX($E164:$M164,0,AI$231+1)-INDEX($E164:$M164,0,AI$231))/(INDEX($E$160:$M$160,0,AI$231+1)-INDEX($E$160:$M$160,0,AI$231))+AG236)))</f>
        <v>20.908701124125812</v>
      </c>
      <c r="AI236" s="186" cm="1">
        <f t="array" ref="AI236">IF(AJ$231=-1,AJ236,IF(AJ$231=99,AH236,IF(AJ$231=0,INDEX($E164:$M164,0,AJ$229),(INDEX($E164:$M164,0,AJ$231+1)-INDEX($E164:$M164,0,AJ$231))/(INDEX($E$160:$M$160,0,AJ$231+1)-INDEX($E$160:$M$160,0,AJ$231))+AH236)))</f>
        <v>21.182583183639199</v>
      </c>
      <c r="AJ236" s="186" cm="1">
        <f t="array" ref="AJ236">IF(AK$231=-1,AK236,IF(AK$231=99,AI236,IF(AK$231=0,INDEX($E164:$M164,0,AK$229),(INDEX($E164:$M164,0,AK$231+1)-INDEX($E164:$M164,0,AK$231))/(INDEX($E$160:$M$160,0,AK$231+1)-INDEX($E$160:$M$160,0,AK$231))+AI236)))</f>
        <v>21.456465243152586</v>
      </c>
      <c r="AK236" s="186" cm="1">
        <f t="array" ref="AK236">IF(AL$231=-1,AL236,IF(AL$231=99,AJ236,IF(AL$231=0,INDEX($E164:$M164,0,AL$229),(INDEX($E164:$M164,0,AL$231+1)-INDEX($E164:$M164,0,AL$231))/(INDEX($E$160:$M$160,0,AL$231+1)-INDEX($E$160:$M$160,0,AL$231))+AJ236)))</f>
        <v>21.730347302665972</v>
      </c>
      <c r="AL236" s="186" cm="1">
        <f t="array" ref="AL236">IF(AM$231=-1,AM236,IF(AM$231=99,AK236,IF(AM$231=0,INDEX($E164:$M164,0,AM$229),(INDEX($E164:$M164,0,AM$231+1)-INDEX($E164:$M164,0,AM$231))/(INDEX($E$160:$M$160,0,AM$231+1)-INDEX($E$160:$M$160,0,AM$231))+AK236)))</f>
        <v>19.539290826558879</v>
      </c>
      <c r="AM236" s="186" cm="1">
        <f t="array" ref="AM236">IF(AN$231=-1,AN236,IF(AN$231=99,AL236,IF(AN$231=0,INDEX($E164:$M164,0,AN$229),(INDEX($E164:$M164,0,AN$231+1)-INDEX($E164:$M164,0,AN$231))/(INDEX($E$160:$M$160,0,AN$231+1)-INDEX($E$160:$M$160,0,AN$231))+AL236)))</f>
        <v>19.578640003112067</v>
      </c>
      <c r="AN236" s="186" cm="1">
        <f t="array" ref="AN236">IF(AO$231=-1,AO236,IF(AO$231=99,AM236,IF(AO$231=0,INDEX($E164:$M164,0,AO$229),(INDEX($E164:$M164,0,AO$231+1)-INDEX($E164:$M164,0,AO$231))/(INDEX($E$160:$M$160,0,AO$231+1)-INDEX($E$160:$M$160,0,AO$231))+AM236)))</f>
        <v>19.617989179665255</v>
      </c>
      <c r="AO236" s="186" cm="1">
        <f t="array" ref="AO236">IF(AP$231=-1,AP236,IF(AP$231=99,AN236,IF(AP$231=0,INDEX($E164:$M164,0,AP$229),(INDEX($E164:$M164,0,AP$231+1)-INDEX($E164:$M164,0,AP$231))/(INDEX($E$160:$M$160,0,AP$231+1)-INDEX($E$160:$M$160,0,AP$231))+AN236)))</f>
        <v>19.657338356218442</v>
      </c>
      <c r="AP236" s="186" cm="1">
        <f t="array" ref="AP236">IF(AQ$231=-1,AQ236,IF(AQ$231=99,AO236,IF(AQ$231=0,INDEX($E164:$M164,0,AQ$229),(INDEX($E164:$M164,0,AQ$231+1)-INDEX($E164:$M164,0,AQ$231))/(INDEX($E$160:$M$160,0,AQ$231+1)-INDEX($E$160:$M$160,0,AQ$231))+AO236)))</f>
        <v>19.69668753277163</v>
      </c>
      <c r="AQ236" s="186" cm="1">
        <f t="array" ref="AQ236">IF(AR$231=-1,AR236,IF(AR$231=99,AP236,IF(AR$231=0,INDEX($E164:$M164,0,AR$229),(INDEX($E164:$M164,0,AR$231+1)-INDEX($E164:$M164,0,AR$231))/(INDEX($E$160:$M$160,0,AR$231+1)-INDEX($E$160:$M$160,0,AR$231))+AP236)))</f>
        <v>19.736036709324818</v>
      </c>
      <c r="AR236" s="186" cm="1">
        <f t="array" ref="AR236">IF(AS$231=-1,AS236,IF(AS$231=99,AQ236,IF(AS$231=0,INDEX($E164:$M164,0,AS$229),(INDEX($E164:$M164,0,AS$231+1)-INDEX($E164:$M164,0,AS$231))/(INDEX($E$160:$M$160,0,AS$231+1)-INDEX($E$160:$M$160,0,AS$231))+AQ236)))</f>
        <v>19.775385885878006</v>
      </c>
      <c r="AS236" s="186" cm="1">
        <f t="array" ref="AS236">IF(AT$231=-1,AT236,IF(AT$231=99,AR236,IF(AT$231=0,INDEX($E164:$M164,0,AT$229),(INDEX($E164:$M164,0,AT$231+1)-INDEX($E164:$M164,0,AT$231))/(INDEX($E$160:$M$160,0,AT$231+1)-INDEX($E$160:$M$160,0,AT$231))+AR236)))</f>
        <v>19.814735062431193</v>
      </c>
      <c r="AT236" s="186" cm="1">
        <f t="array" ref="AT236">IF(AU$231=-1,AU236,IF(AU$231=99,AS236,IF(AU$231=0,INDEX($E164:$M164,0,AU$229),(INDEX($E164:$M164,0,AU$231+1)-INDEX($E164:$M164,0,AU$231))/(INDEX($E$160:$M$160,0,AU$231+1)-INDEX($E$160:$M$160,0,AU$231))+AS236)))</f>
        <v>19.854084238984381</v>
      </c>
      <c r="AU236" s="186" cm="1">
        <f t="array" ref="AU236">IF(AV$231=-1,AV236,IF(AV$231=99,AT236,IF(AV$231=0,INDEX($E164:$M164,0,AV$229),(INDEX($E164:$M164,0,AV$231+1)-INDEX($E164:$M164,0,AV$231))/(INDEX($E$160:$M$160,0,AV$231+1)-INDEX($E$160:$M$160,0,AV$231))+AT236)))</f>
        <v>19.893433415537569</v>
      </c>
      <c r="AV236" s="186" cm="1">
        <f t="array" ref="AV236">IF(AW$231=-1,AW236,IF(AW$231=99,AU236,IF(AW$231=0,INDEX($E164:$M164,0,AW$229),(INDEX($E164:$M164,0,AW$231+1)-INDEX($E164:$M164,0,AW$231))/(INDEX($E$160:$M$160,0,AW$231+1)-INDEX($E$160:$M$160,0,AW$231))+AU236)))</f>
        <v>19.893433415537555</v>
      </c>
      <c r="AW236" s="186" cm="1">
        <f t="array" ref="AW236">IF(AX$231=-1,AX236,IF(AX$231=99,AV236,IF(AX$231=0,INDEX($E164:$M164,0,AX$229),(INDEX($E164:$M164,0,AX$231+1)-INDEX($E164:$M164,0,AX$231))/(INDEX($E$160:$M$160,0,AX$231+1)-INDEX($E$160:$M$160,0,AX$231))+AV236)))</f>
        <v>19.893433415537555</v>
      </c>
      <c r="AX236" s="186" cm="1">
        <f t="array" ref="AX236">IF(AY$231=-1,AZ236,IF(AY$231=99,AW236,IF(AY$231=0,INDEX($E164:$M164,0,AY$229),(INDEX($E164:$M164,0,AY$231+1)-INDEX($E164:$M164,0,AY$231))/(INDEX($E$160:$M$160,0,AY$231+1)-INDEX($E$160:$M$160,0,AY$231))+AW236)))</f>
        <v>19.893433415537555</v>
      </c>
      <c r="AZ236" s="186"/>
      <c r="BA236" s="186"/>
      <c r="BB236" s="186"/>
      <c r="BC236" s="186"/>
      <c r="BD236" s="186"/>
      <c r="BE236" s="186"/>
    </row>
    <row r="237" spans="1:58">
      <c r="A237" s="185" t="s">
        <v>16</v>
      </c>
      <c r="B237" s="22" t="str">
        <f t="shared" si="611"/>
        <v/>
      </c>
      <c r="C237" s="23" t="str">
        <f t="shared" si="612"/>
        <v/>
      </c>
      <c r="E237" s="23" t="str">
        <f t="shared" si="613"/>
        <v/>
      </c>
      <c r="F237" s="23"/>
      <c r="G237" s="23" t="str">
        <f t="shared" si="613"/>
        <v/>
      </c>
      <c r="H237" s="23" t="str">
        <f t="shared" si="613"/>
        <v/>
      </c>
      <c r="I237" s="57" t="str">
        <f t="shared" si="614"/>
        <v>TPPUMBT</v>
      </c>
      <c r="J237" s="186">
        <f t="shared" si="615"/>
        <v>82.177558676317133</v>
      </c>
      <c r="K237" s="186" cm="1">
        <f t="array" ref="K237">IF(L$231=-1,L237,IF(L$231=99,J237,IF(L$231=0,INDEX($E165:$M165,0,L$229),(INDEX($E165:$M165,0,L$231+1)-INDEX($E165:$M165,0,L$231))/(INDEX($E$160:$M$160,0,L$231+1)-INDEX($E$160:$M$160,0,L$231))+J237)))</f>
        <v>86.400989978231578</v>
      </c>
      <c r="L237" s="186" cm="1">
        <f t="array" ref="L237">IF(M$231=-1,M237,IF(M$231=99,K237,IF(M$231=0,INDEX($E165:$M165,0,M$229),(INDEX($E165:$M165,0,M$231+1)-INDEX($E165:$M165,0,M$231))/(INDEX($E$160:$M$160,0,M$231+1)-INDEX($E$160:$M$160,0,M$231))+K237)))</f>
        <v>90.624421280146024</v>
      </c>
      <c r="M237" s="186" cm="1">
        <f t="array" ref="M237">IF(N$231=-1,N237,IF(N$231=99,L237,IF(N$231=0,INDEX($E165:$M165,0,N$229),(INDEX($E165:$M165,0,N$231+1)-INDEX($E165:$M165,0,N$231))/(INDEX($E$160:$M$160,0,N$231+1)-INDEX($E$160:$M$160,0,N$231))+L237)))</f>
        <v>94.847852582060455</v>
      </c>
      <c r="N237" s="186" cm="1">
        <f t="array" ref="N237">IF(O$231=-1,O237,IF(O$231=99,M237,IF(O$231=0,INDEX($E165:$M165,0,O$229),(INDEX($E165:$M165,0,O$231+1)-INDEX($E165:$M165,0,O$231))/(INDEX($E$160:$M$160,0,O$231+1)-INDEX($E$160:$M$160,0,O$231))+M237)))</f>
        <v>96.367419670266528</v>
      </c>
      <c r="O237" s="186" cm="1">
        <f t="array" ref="O237">IF(P$231=-1,P237,IF(P$231=99,N237,IF(P$231=0,INDEX($E165:$M165,0,P$229),(INDEX($E165:$M165,0,P$231+1)-INDEX($E165:$M165,0,P$231))/(INDEX($E$160:$M$160,0,P$231+1)-INDEX($E$160:$M$160,0,P$231))+N237)))</f>
        <v>97.886986758472602</v>
      </c>
      <c r="P237" s="186" cm="1">
        <f t="array" ref="P237">IF(Q$231=-1,Q237,IF(Q$231=99,O237,IF(Q$231=0,INDEX($E165:$M165,0,Q$229),(INDEX($E165:$M165,0,Q$231+1)-INDEX($E165:$M165,0,Q$231))/(INDEX($E$160:$M$160,0,Q$231+1)-INDEX($E$160:$M$160,0,Q$231))+O237)))</f>
        <v>99.007795314775564</v>
      </c>
      <c r="Q237" s="186" cm="1">
        <f t="array" ref="Q237">IF(R$231=-1,R237,IF(R$231=99,P237,IF(R$231=0,INDEX($E165:$M165,0,R$229),(INDEX($E165:$M165,0,R$231+1)-INDEX($E165:$M165,0,R$231))/(INDEX($E$160:$M$160,0,R$231+1)-INDEX($E$160:$M$160,0,R$231))+P237)))</f>
        <v>100.12860387107852</v>
      </c>
      <c r="R237" s="186" cm="1">
        <f t="array" ref="R237">IF(S$231=-1,S237,IF(S$231=99,Q237,IF(S$231=0,INDEX($E165:$M165,0,S$229),(INDEX($E165:$M165,0,S$231+1)-INDEX($E165:$M165,0,S$231))/(INDEX($E$160:$M$160,0,S$231+1)-INDEX($E$160:$M$160,0,S$231))+Q237)))</f>
        <v>100.12860387107854</v>
      </c>
      <c r="S237" s="186" cm="1">
        <f t="array" ref="S237">IF(T$231=-1,T237,IF(T$231=99,R237,IF(T$231=0,INDEX($E165:$M165,0,T$229),(INDEX($E165:$M165,0,T$231+1)-INDEX($E165:$M165,0,T$231))/(INDEX($E$160:$M$160,0,T$231+1)-INDEX($E$160:$M$160,0,T$231))+R237)))</f>
        <v>101.92442611213934</v>
      </c>
      <c r="T237" s="186" cm="1">
        <f t="array" ref="T237">IF(U$231=-1,U237,IF(U$231=99,S237,IF(U$231=0,INDEX($E165:$M165,0,U$229),(INDEX($E165:$M165,0,U$231+1)-INDEX($E165:$M165,0,U$231))/(INDEX($E$160:$M$160,0,U$231+1)-INDEX($E$160:$M$160,0,U$231))+S237)))</f>
        <v>103.72024835320015</v>
      </c>
      <c r="U237" s="186" cm="1">
        <f t="array" ref="U237">IF(V$231=-1,V237,IF(V$231=99,T237,IF(V$231=0,INDEX($E165:$M165,0,V$229),(INDEX($E165:$M165,0,V$231+1)-INDEX($E165:$M165,0,V$231))/(INDEX($E$160:$M$160,0,V$231+1)-INDEX($E$160:$M$160,0,V$231))+T237)))</f>
        <v>105.51607059426095</v>
      </c>
      <c r="V237" s="186" cm="1">
        <f t="array" ref="V237">IF(W$231=-1,W237,IF(W$231=99,U237,IF(W$231=0,INDEX($E165:$M165,0,W$229),(INDEX($E165:$M165,0,W$231+1)-INDEX($E165:$M165,0,W$231))/(INDEX($E$160:$M$160,0,W$231+1)-INDEX($E$160:$M$160,0,W$231))+U237)))</f>
        <v>107.31189283532176</v>
      </c>
      <c r="W237" s="186" cm="1">
        <f t="array" ref="W237">IF(X$231=-1,X237,IF(X$231=99,V237,IF(X$231=0,INDEX($E165:$M165,0,X$229),(INDEX($E165:$M165,0,X$231+1)-INDEX($E165:$M165,0,X$231))/(INDEX($E$160:$M$160,0,X$231+1)-INDEX($E$160:$M$160,0,X$231))+V237)))</f>
        <v>109.10771507638256</v>
      </c>
      <c r="X237" s="186" cm="1">
        <f t="array" ref="X237">IF(Y$231=-1,Y237,IF(Y$231=99,W237,IF(Y$231=0,INDEX($E165:$M165,0,Y$229),(INDEX($E165:$M165,0,Y$231+1)-INDEX($E165:$M165,0,Y$231))/(INDEX($E$160:$M$160,0,Y$231+1)-INDEX($E$160:$M$160,0,Y$231))+W237)))</f>
        <v>110.90353731744337</v>
      </c>
      <c r="Y237" s="186" cm="1">
        <f t="array" ref="Y237">IF(Z$231=-1,Z237,IF(Z$231=99,X237,IF(Z$231=0,INDEX($E165:$M165,0,Z$229),(INDEX($E165:$M165,0,Z$231+1)-INDEX($E165:$M165,0,Z$231))/(INDEX($E$160:$M$160,0,Z$231+1)-INDEX($E$160:$M$160,0,Z$231))+X237)))</f>
        <v>112.69935955850417</v>
      </c>
      <c r="Z237" s="186" cm="1">
        <f t="array" ref="Z237">IF(AA$231=-1,AA237,IF(AA$231=99,Y237,IF(AA$231=0,INDEX($E165:$M165,0,AA$229),(INDEX($E165:$M165,0,AA$231+1)-INDEX($E165:$M165,0,AA$231))/(INDEX($E$160:$M$160,0,AA$231+1)-INDEX($E$160:$M$160,0,AA$231))+Y237)))</f>
        <v>114.49518179956497</v>
      </c>
      <c r="AA237" s="186" cm="1">
        <f t="array" ref="AA237">IF(AB$231=-1,AB237,IF(AB$231=99,Z237,IF(AB$231=0,INDEX($E165:$M165,0,AB$229),(INDEX($E165:$M165,0,AB$231+1)-INDEX($E165:$M165,0,AB$231))/(INDEX($E$160:$M$160,0,AB$231+1)-INDEX($E$160:$M$160,0,AB$231))+Z237)))</f>
        <v>116.29100404062578</v>
      </c>
      <c r="AB237" s="186" cm="1">
        <f t="array" ref="AB237">IF(AC$231=-1,AC237,IF(AC$231=99,AA237,IF(AC$231=0,INDEX($E165:$M165,0,AC$229),(INDEX($E165:$M165,0,AC$231+1)-INDEX($E165:$M165,0,AC$231))/(INDEX($E$160:$M$160,0,AC$231+1)-INDEX($E$160:$M$160,0,AC$231))+AA237)))</f>
        <v>101.92442611213934</v>
      </c>
      <c r="AC237" s="186" cm="1">
        <f t="array" ref="AC237">IF(AD$231=-1,AD237,IF(AD$231=99,AB237,IF(AD$231=0,INDEX($E165:$M165,0,AD$229),(INDEX($E165:$M165,0,AD$231+1)-INDEX($E165:$M165,0,AD$231))/(INDEX($E$160:$M$160,0,AD$231+1)-INDEX($E$160:$M$160,0,AD$231))+AB237)))</f>
        <v>103.37341025132164</v>
      </c>
      <c r="AD237" s="186" cm="1">
        <f t="array" ref="AD237">IF(AE$231=-1,AE237,IF(AE$231=99,AC237,IF(AE$231=0,INDEX($E165:$M165,0,AE$229),(INDEX($E165:$M165,0,AE$231+1)-INDEX($E165:$M165,0,AE$231))/(INDEX($E$160:$M$160,0,AE$231+1)-INDEX($E$160:$M$160,0,AE$231))+AC237)))</f>
        <v>104.82239439050394</v>
      </c>
      <c r="AE237" s="186" cm="1">
        <f t="array" ref="AE237">IF(AF$231=-1,AF237,IF(AF$231=99,AD237,IF(AF$231=0,INDEX($E165:$M165,0,AF$229),(INDEX($E165:$M165,0,AF$231+1)-INDEX($E165:$M165,0,AF$231))/(INDEX($E$160:$M$160,0,AF$231+1)-INDEX($E$160:$M$160,0,AF$231))+AD237)))</f>
        <v>106.27137852968625</v>
      </c>
      <c r="AF237" s="186" cm="1">
        <f t="array" ref="AF237">IF(AG$231=-1,AG237,IF(AG$231=99,AE237,IF(AG$231=0,INDEX($E165:$M165,0,AG$229),(INDEX($E165:$M165,0,AG$231+1)-INDEX($E165:$M165,0,AG$231))/(INDEX($E$160:$M$160,0,AG$231+1)-INDEX($E$160:$M$160,0,AG$231))+AE237)))</f>
        <v>107.72036266886855</v>
      </c>
      <c r="AG237" s="186" cm="1">
        <f t="array" ref="AG237">IF(AH$231=-1,AH237,IF(AH$231=99,AF237,IF(AH$231=0,INDEX($E165:$M165,0,AH$229),(INDEX($E165:$M165,0,AH$231+1)-INDEX($E165:$M165,0,AH$231))/(INDEX($E$160:$M$160,0,AH$231+1)-INDEX($E$160:$M$160,0,AH$231))+AF237)))</f>
        <v>109.16934680805085</v>
      </c>
      <c r="AH237" s="186" cm="1">
        <f t="array" ref="AH237">IF(AI$231=-1,AI237,IF(AI$231=99,AG237,IF(AI$231=0,INDEX($E165:$M165,0,AI$229),(INDEX($E165:$M165,0,AI$231+1)-INDEX($E165:$M165,0,AI$231))/(INDEX($E$160:$M$160,0,AI$231+1)-INDEX($E$160:$M$160,0,AI$231))+AG237)))</f>
        <v>110.61833094723315</v>
      </c>
      <c r="AI237" s="186" cm="1">
        <f t="array" ref="AI237">IF(AJ$231=-1,AJ237,IF(AJ$231=99,AH237,IF(AJ$231=0,INDEX($E165:$M165,0,AJ$229),(INDEX($E165:$M165,0,AJ$231+1)-INDEX($E165:$M165,0,AJ$231))/(INDEX($E$160:$M$160,0,AJ$231+1)-INDEX($E$160:$M$160,0,AJ$231))+AH237)))</f>
        <v>112.06731508641545</v>
      </c>
      <c r="AJ237" s="186" cm="1">
        <f t="array" ref="AJ237">IF(AK$231=-1,AK237,IF(AK$231=99,AI237,IF(AK$231=0,INDEX($E165:$M165,0,AK$229),(INDEX($E165:$M165,0,AK$231+1)-INDEX($E165:$M165,0,AK$231))/(INDEX($E$160:$M$160,0,AK$231+1)-INDEX($E$160:$M$160,0,AK$231))+AI237)))</f>
        <v>113.51629922559775</v>
      </c>
      <c r="AK237" s="186" cm="1">
        <f t="array" ref="AK237">IF(AL$231=-1,AL237,IF(AL$231=99,AJ237,IF(AL$231=0,INDEX($E165:$M165,0,AL$229),(INDEX($E165:$M165,0,AL$231+1)-INDEX($E165:$M165,0,AL$231))/(INDEX($E$160:$M$160,0,AL$231+1)-INDEX($E$160:$M$160,0,AL$231))+AJ237)))</f>
        <v>114.96528336478005</v>
      </c>
      <c r="AL237" s="186" cm="1">
        <f t="array" ref="AL237">IF(AM$231=-1,AM237,IF(AM$231=99,AK237,IF(AM$231=0,INDEX($E165:$M165,0,AM$229),(INDEX($E165:$M165,0,AM$231+1)-INDEX($E165:$M165,0,AM$231))/(INDEX($E$160:$M$160,0,AM$231+1)-INDEX($E$160:$M$160,0,AM$231))+AK237)))</f>
        <v>103.37341025132164</v>
      </c>
      <c r="AM237" s="186" cm="1">
        <f t="array" ref="AM237">IF(AN$231=-1,AN237,IF(AN$231=99,AL237,IF(AN$231=0,INDEX($E165:$M165,0,AN$229),(INDEX($E165:$M165,0,AN$231+1)-INDEX($E165:$M165,0,AN$231))/(INDEX($E$160:$M$160,0,AN$231+1)-INDEX($E$160:$M$160,0,AN$231))+AL237)))</f>
        <v>103.58158866511316</v>
      </c>
      <c r="AN237" s="186" cm="1">
        <f t="array" ref="AN237">IF(AO$231=-1,AO237,IF(AO$231=99,AM237,IF(AO$231=0,INDEX($E165:$M165,0,AO$229),(INDEX($E165:$M165,0,AO$231+1)-INDEX($E165:$M165,0,AO$231))/(INDEX($E$160:$M$160,0,AO$231+1)-INDEX($E$160:$M$160,0,AO$231))+AM237)))</f>
        <v>103.78976707890467</v>
      </c>
      <c r="AO237" s="186" cm="1">
        <f t="array" ref="AO237">IF(AP$231=-1,AP237,IF(AP$231=99,AN237,IF(AP$231=0,INDEX($E165:$M165,0,AP$229),(INDEX($E165:$M165,0,AP$231+1)-INDEX($E165:$M165,0,AP$231))/(INDEX($E$160:$M$160,0,AP$231+1)-INDEX($E$160:$M$160,0,AP$231))+AN237)))</f>
        <v>103.99794549269619</v>
      </c>
      <c r="AP237" s="186" cm="1">
        <f t="array" ref="AP237">IF(AQ$231=-1,AQ237,IF(AQ$231=99,AO237,IF(AQ$231=0,INDEX($E165:$M165,0,AQ$229),(INDEX($E165:$M165,0,AQ$231+1)-INDEX($E165:$M165,0,AQ$231))/(INDEX($E$160:$M$160,0,AQ$231+1)-INDEX($E$160:$M$160,0,AQ$231))+AO237)))</f>
        <v>104.2061239064877</v>
      </c>
      <c r="AQ237" s="186" cm="1">
        <f t="array" ref="AQ237">IF(AR$231=-1,AR237,IF(AR$231=99,AP237,IF(AR$231=0,INDEX($E165:$M165,0,AR$229),(INDEX($E165:$M165,0,AR$231+1)-INDEX($E165:$M165,0,AR$231))/(INDEX($E$160:$M$160,0,AR$231+1)-INDEX($E$160:$M$160,0,AR$231))+AP237)))</f>
        <v>104.41430232027922</v>
      </c>
      <c r="AR237" s="186" cm="1">
        <f t="array" ref="AR237">IF(AS$231=-1,AS237,IF(AS$231=99,AQ237,IF(AS$231=0,INDEX($E165:$M165,0,AS$229),(INDEX($E165:$M165,0,AS$231+1)-INDEX($E165:$M165,0,AS$231))/(INDEX($E$160:$M$160,0,AS$231+1)-INDEX($E$160:$M$160,0,AS$231))+AQ237)))</f>
        <v>104.62248073407073</v>
      </c>
      <c r="AS237" s="186" cm="1">
        <f t="array" ref="AS237">IF(AT$231=-1,AT237,IF(AT$231=99,AR237,IF(AT$231=0,INDEX($E165:$M165,0,AT$229),(INDEX($E165:$M165,0,AT$231+1)-INDEX($E165:$M165,0,AT$231))/(INDEX($E$160:$M$160,0,AT$231+1)-INDEX($E$160:$M$160,0,AT$231))+AR237)))</f>
        <v>104.83065914786225</v>
      </c>
      <c r="AT237" s="186" cm="1">
        <f t="array" ref="AT237">IF(AU$231=-1,AU237,IF(AU$231=99,AS237,IF(AU$231=0,INDEX($E165:$M165,0,AU$229),(INDEX($E165:$M165,0,AU$231+1)-INDEX($E165:$M165,0,AU$231))/(INDEX($E$160:$M$160,0,AU$231+1)-INDEX($E$160:$M$160,0,AU$231))+AS237)))</f>
        <v>105.03883756165376</v>
      </c>
      <c r="AU237" s="186" cm="1">
        <f t="array" ref="AU237">IF(AV$231=-1,AV237,IF(AV$231=99,AT237,IF(AV$231=0,INDEX($E165:$M165,0,AV$229),(INDEX($E165:$M165,0,AV$231+1)-INDEX($E165:$M165,0,AV$231))/(INDEX($E$160:$M$160,0,AV$231+1)-INDEX($E$160:$M$160,0,AV$231))+AT237)))</f>
        <v>105.24701597544528</v>
      </c>
      <c r="AV237" s="186" cm="1">
        <f t="array" ref="AV237">IF(AW$231=-1,AW237,IF(AW$231=99,AU237,IF(AW$231=0,INDEX($E165:$M165,0,AW$229),(INDEX($E165:$M165,0,AW$231+1)-INDEX($E165:$M165,0,AW$231))/(INDEX($E$160:$M$160,0,AW$231+1)-INDEX($E$160:$M$160,0,AW$231))+AU237)))</f>
        <v>105.24701597544529</v>
      </c>
      <c r="AW237" s="186" cm="1">
        <f t="array" ref="AW237">IF(AX$231=-1,AX237,IF(AX$231=99,AV237,IF(AX$231=0,INDEX($E165:$M165,0,AX$229),(INDEX($E165:$M165,0,AX$231+1)-INDEX($E165:$M165,0,AX$231))/(INDEX($E$160:$M$160,0,AX$231+1)-INDEX($E$160:$M$160,0,AX$231))+AV237)))</f>
        <v>105.24701597544529</v>
      </c>
      <c r="AX237" s="186" cm="1">
        <f t="array" ref="AX237">IF(AY$231=-1,AZ237,IF(AY$231=99,AW237,IF(AY$231=0,INDEX($E165:$M165,0,AY$229),(INDEX($E165:$M165,0,AY$231+1)-INDEX($E165:$M165,0,AY$231))/(INDEX($E$160:$M$160,0,AY$231+1)-INDEX($E$160:$M$160,0,AY$231))+AW237)))</f>
        <v>105.24701597544529</v>
      </c>
      <c r="AZ237" s="186"/>
      <c r="BA237" s="186"/>
      <c r="BB237" s="186"/>
      <c r="BC237" s="186"/>
      <c r="BD237" s="186"/>
      <c r="BE237" s="186"/>
    </row>
    <row r="238" spans="1:58">
      <c r="A238" s="185" t="s">
        <v>16</v>
      </c>
      <c r="B238" s="22" t="str">
        <f t="shared" si="611"/>
        <v/>
      </c>
      <c r="C238" s="23" t="str">
        <f t="shared" si="612"/>
        <v/>
      </c>
      <c r="E238" s="23" t="str">
        <f t="shared" si="613"/>
        <v/>
      </c>
      <c r="F238" s="23"/>
      <c r="G238" s="23" t="str">
        <f t="shared" si="613"/>
        <v/>
      </c>
      <c r="H238" s="23" t="str">
        <f t="shared" si="613"/>
        <v/>
      </c>
      <c r="I238" s="57" t="str">
        <f t="shared" si="614"/>
        <v>TPPUBRT</v>
      </c>
      <c r="J238" s="186">
        <f t="shared" si="615"/>
        <v>0.52719357125417843</v>
      </c>
      <c r="K238" s="186" cm="1">
        <f t="array" ref="K238">IF(L$231=-1,L238,IF(L$231=99,J238,IF(L$231=0,INDEX($E166:$M166,0,L$229),(INDEX($E166:$M166,0,L$231+1)-INDEX($E166:$M166,0,L$231))/(INDEX($E$160:$M$160,0,L$231+1)-INDEX($E$160:$M$160,0,L$231))+J238)))</f>
        <v>0.61859155098152763</v>
      </c>
      <c r="L238" s="186" cm="1">
        <f t="array" ref="L238">IF(M$231=-1,M238,IF(M$231=99,K238,IF(M$231=0,INDEX($E166:$M166,0,M$229),(INDEX($E166:$M166,0,M$231+1)-INDEX($E166:$M166,0,M$231))/(INDEX($E$160:$M$160,0,M$231+1)-INDEX($E$160:$M$160,0,M$231))+K238)))</f>
        <v>0.70998953070887683</v>
      </c>
      <c r="M238" s="186" cm="1">
        <f t="array" ref="M238">IF(N$231=-1,N238,IF(N$231=99,L238,IF(N$231=0,INDEX($E166:$M166,0,N$229),(INDEX($E166:$M166,0,N$231+1)-INDEX($E166:$M166,0,N$231))/(INDEX($E$160:$M$160,0,N$231+1)-INDEX($E$160:$M$160,0,N$231))+L238)))</f>
        <v>0.80138751043622602</v>
      </c>
      <c r="N238" s="186" cm="1">
        <f t="array" ref="N238">IF(O$231=-1,O238,IF(O$231=99,M238,IF(O$231=0,INDEX($E166:$M166,0,O$229),(INDEX($E166:$M166,0,O$231+1)-INDEX($E166:$M166,0,O$231))/(INDEX($E$160:$M$160,0,O$231+1)-INDEX($E$160:$M$160,0,O$231))+M238)))</f>
        <v>1.1879780473754518</v>
      </c>
      <c r="O238" s="186" cm="1">
        <f t="array" ref="O238">IF(P$231=-1,P238,IF(P$231=99,N238,IF(P$231=0,INDEX($E166:$M166,0,P$229),(INDEX($E166:$M166,0,P$231+1)-INDEX($E166:$M166,0,P$231))/(INDEX($E$160:$M$160,0,P$231+1)-INDEX($E$160:$M$160,0,P$231))+N238)))</f>
        <v>1.5745685843146777</v>
      </c>
      <c r="P238" s="186" cm="1">
        <f t="array" ref="P238">IF(Q$231=-1,Q238,IF(Q$231=99,O238,IF(Q$231=0,INDEX($E166:$M166,0,Q$229),(INDEX($E166:$M166,0,Q$231+1)-INDEX($E166:$M166,0,Q$231))/(INDEX($E$160:$M$160,0,Q$231+1)-INDEX($E$160:$M$160,0,Q$231))+O238)))</f>
        <v>2.0495198984839198</v>
      </c>
      <c r="Q238" s="186" cm="1">
        <f t="array" ref="Q238">IF(R$231=-1,R238,IF(R$231=99,P238,IF(R$231=0,INDEX($E166:$M166,0,R$229),(INDEX($E166:$M166,0,R$231+1)-INDEX($E166:$M166,0,R$231))/(INDEX($E$160:$M$160,0,R$231+1)-INDEX($E$160:$M$160,0,R$231))+P238)))</f>
        <v>2.5244712126531619</v>
      </c>
      <c r="R238" s="186" cm="1">
        <f t="array" ref="R238">IF(S$231=-1,S238,IF(S$231=99,Q238,IF(S$231=0,INDEX($E166:$M166,0,S$229),(INDEX($E166:$M166,0,S$231+1)-INDEX($E166:$M166,0,S$231))/(INDEX($E$160:$M$160,0,S$231+1)-INDEX($E$160:$M$160,0,S$231))+Q238)))</f>
        <v>2.5244712126531619</v>
      </c>
      <c r="S238" s="186" cm="1">
        <f t="array" ref="S238">IF(T$231=-1,T238,IF(T$231=99,R238,IF(T$231=0,INDEX($E166:$M166,0,T$229),(INDEX($E166:$M166,0,T$231+1)-INDEX($E166:$M166,0,T$231))/(INDEX($E$160:$M$160,0,T$231+1)-INDEX($E$160:$M$160,0,T$231))+R238)))</f>
        <v>2.5595026073043621</v>
      </c>
      <c r="T238" s="186" cm="1">
        <f t="array" ref="T238">IF(U$231=-1,U238,IF(U$231=99,S238,IF(U$231=0,INDEX($E166:$M166,0,U$229),(INDEX($E166:$M166,0,U$231+1)-INDEX($E166:$M166,0,U$231))/(INDEX($E$160:$M$160,0,U$231+1)-INDEX($E$160:$M$160,0,U$231))+S238)))</f>
        <v>2.5945340019555623</v>
      </c>
      <c r="U238" s="186" cm="1">
        <f t="array" ref="U238">IF(V$231=-1,V238,IF(V$231=99,T238,IF(V$231=0,INDEX($E166:$M166,0,V$229),(INDEX($E166:$M166,0,V$231+1)-INDEX($E166:$M166,0,V$231))/(INDEX($E$160:$M$160,0,V$231+1)-INDEX($E$160:$M$160,0,V$231))+T238)))</f>
        <v>2.6295653966067625</v>
      </c>
      <c r="V238" s="186" cm="1">
        <f t="array" ref="V238">IF(W$231=-1,W238,IF(W$231=99,U238,IF(W$231=0,INDEX($E166:$M166,0,W$229),(INDEX($E166:$M166,0,W$231+1)-INDEX($E166:$M166,0,W$231))/(INDEX($E$160:$M$160,0,W$231+1)-INDEX($E$160:$M$160,0,W$231))+U238)))</f>
        <v>2.6645967912579627</v>
      </c>
      <c r="W238" s="186" cm="1">
        <f t="array" ref="W238">IF(X$231=-1,X238,IF(X$231=99,V238,IF(X$231=0,INDEX($E166:$M166,0,X$229),(INDEX($E166:$M166,0,X$231+1)-INDEX($E166:$M166,0,X$231))/(INDEX($E$160:$M$160,0,X$231+1)-INDEX($E$160:$M$160,0,X$231))+V238)))</f>
        <v>2.6996281859091629</v>
      </c>
      <c r="X238" s="186" cm="1">
        <f t="array" ref="X238">IF(Y$231=-1,Y238,IF(Y$231=99,W238,IF(Y$231=0,INDEX($E166:$M166,0,Y$229),(INDEX($E166:$M166,0,Y$231+1)-INDEX($E166:$M166,0,Y$231))/(INDEX($E$160:$M$160,0,Y$231+1)-INDEX($E$160:$M$160,0,Y$231))+W238)))</f>
        <v>2.7346595805603631</v>
      </c>
      <c r="Y238" s="186" cm="1">
        <f t="array" ref="Y238">IF(Z$231=-1,Z238,IF(Z$231=99,X238,IF(Z$231=0,INDEX($E166:$M166,0,Z$229),(INDEX($E166:$M166,0,Z$231+1)-INDEX($E166:$M166,0,Z$231))/(INDEX($E$160:$M$160,0,Z$231+1)-INDEX($E$160:$M$160,0,Z$231))+X238)))</f>
        <v>2.7696909752115633</v>
      </c>
      <c r="Z238" s="186" cm="1">
        <f t="array" ref="Z238">IF(AA$231=-1,AA238,IF(AA$231=99,Y238,IF(AA$231=0,INDEX($E166:$M166,0,AA$229),(INDEX($E166:$M166,0,AA$231+1)-INDEX($E166:$M166,0,AA$231))/(INDEX($E$160:$M$160,0,AA$231+1)-INDEX($E$160:$M$160,0,AA$231))+Y238)))</f>
        <v>2.8047223698627635</v>
      </c>
      <c r="AA238" s="186" cm="1">
        <f t="array" ref="AA238">IF(AB$231=-1,AB238,IF(AB$231=99,Z238,IF(AB$231=0,INDEX($E166:$M166,0,AB$229),(INDEX($E166:$M166,0,AB$231+1)-INDEX($E166:$M166,0,AB$231))/(INDEX($E$160:$M$160,0,AB$231+1)-INDEX($E$160:$M$160,0,AB$231))+Z238)))</f>
        <v>2.8397537645139637</v>
      </c>
      <c r="AB238" s="186" cm="1">
        <f t="array" ref="AB238">IF(AC$231=-1,AC238,IF(AC$231=99,AA238,IF(AC$231=0,INDEX($E166:$M166,0,AC$229),(INDEX($E166:$M166,0,AC$231+1)-INDEX($E166:$M166,0,AC$231))/(INDEX($E$160:$M$160,0,AC$231+1)-INDEX($E$160:$M$160,0,AC$231))+AA238)))</f>
        <v>2.5595026073043621</v>
      </c>
      <c r="AC238" s="186" cm="1">
        <f t="array" ref="AC238">IF(AD$231=-1,AD238,IF(AD$231=99,AB238,IF(AD$231=0,INDEX($E166:$M166,0,AD$229),(INDEX($E166:$M166,0,AD$231+1)-INDEX($E166:$M166,0,AD$231))/(INDEX($E$160:$M$160,0,AD$231+1)-INDEX($E$160:$M$160,0,AD$231))+AB238)))</f>
        <v>7.3559814110032153</v>
      </c>
      <c r="AD238" s="186" cm="1">
        <f t="array" ref="AD238">IF(AE$231=-1,AE238,IF(AE$231=99,AC238,IF(AE$231=0,INDEX($E166:$M166,0,AE$229),(INDEX($E166:$M166,0,AE$231+1)-INDEX($E166:$M166,0,AE$231))/(INDEX($E$160:$M$160,0,AE$231+1)-INDEX($E$160:$M$160,0,AE$231))+AC238)))</f>
        <v>12.152460214702069</v>
      </c>
      <c r="AE238" s="186" cm="1">
        <f t="array" ref="AE238">IF(AF$231=-1,AF238,IF(AF$231=99,AD238,IF(AF$231=0,INDEX($E166:$M166,0,AF$229),(INDEX($E166:$M166,0,AF$231+1)-INDEX($E166:$M166,0,AF$231))/(INDEX($E$160:$M$160,0,AF$231+1)-INDEX($E$160:$M$160,0,AF$231))+AD238)))</f>
        <v>16.948939018400921</v>
      </c>
      <c r="AF238" s="186" cm="1">
        <f t="array" ref="AF238">IF(AG$231=-1,AG238,IF(AG$231=99,AE238,IF(AG$231=0,INDEX($E166:$M166,0,AG$229),(INDEX($E166:$M166,0,AG$231+1)-INDEX($E166:$M166,0,AG$231))/(INDEX($E$160:$M$160,0,AG$231+1)-INDEX($E$160:$M$160,0,AG$231))+AE238)))</f>
        <v>21.745417822099775</v>
      </c>
      <c r="AG238" s="186" cm="1">
        <f t="array" ref="AG238">IF(AH$231=-1,AH238,IF(AH$231=99,AF238,IF(AH$231=0,INDEX($E166:$M166,0,AH$229),(INDEX($E166:$M166,0,AH$231+1)-INDEX($E166:$M166,0,AH$231))/(INDEX($E$160:$M$160,0,AH$231+1)-INDEX($E$160:$M$160,0,AH$231))+AF238)))</f>
        <v>26.541896625798628</v>
      </c>
      <c r="AH238" s="186" cm="1">
        <f t="array" ref="AH238">IF(AI$231=-1,AI238,IF(AI$231=99,AG238,IF(AI$231=0,INDEX($E166:$M166,0,AI$229),(INDEX($E166:$M166,0,AI$231+1)-INDEX($E166:$M166,0,AI$231))/(INDEX($E$160:$M$160,0,AI$231+1)-INDEX($E$160:$M$160,0,AI$231))+AG238)))</f>
        <v>31.338375429497482</v>
      </c>
      <c r="AI238" s="186" cm="1">
        <f t="array" ref="AI238">IF(AJ$231=-1,AJ238,IF(AJ$231=99,AH238,IF(AJ$231=0,INDEX($E166:$M166,0,AJ$229),(INDEX($E166:$M166,0,AJ$231+1)-INDEX($E166:$M166,0,AJ$231))/(INDEX($E$160:$M$160,0,AJ$231+1)-INDEX($E$160:$M$160,0,AJ$231))+AH238)))</f>
        <v>36.134854233196336</v>
      </c>
      <c r="AJ238" s="186" cm="1">
        <f t="array" ref="AJ238">IF(AK$231=-1,AK238,IF(AK$231=99,AI238,IF(AK$231=0,INDEX($E166:$M166,0,AK$229),(INDEX($E166:$M166,0,AK$231+1)-INDEX($E166:$M166,0,AK$231))/(INDEX($E$160:$M$160,0,AK$231+1)-INDEX($E$160:$M$160,0,AK$231))+AI238)))</f>
        <v>40.93133303689519</v>
      </c>
      <c r="AK238" s="186" cm="1">
        <f t="array" ref="AK238">IF(AL$231=-1,AL238,IF(AL$231=99,AJ238,IF(AL$231=0,INDEX($E166:$M166,0,AL$229),(INDEX($E166:$M166,0,AL$231+1)-INDEX($E166:$M166,0,AL$231))/(INDEX($E$160:$M$160,0,AL$231+1)-INDEX($E$160:$M$160,0,AL$231))+AJ238)))</f>
        <v>45.727811840594043</v>
      </c>
      <c r="AL238" s="186" cm="1">
        <f t="array" ref="AL238">IF(AM$231=-1,AM238,IF(AM$231=99,AK238,IF(AM$231=0,INDEX($E166:$M166,0,AM$229),(INDEX($E166:$M166,0,AM$231+1)-INDEX($E166:$M166,0,AM$231))/(INDEX($E$160:$M$160,0,AM$231+1)-INDEX($E$160:$M$160,0,AM$231))+AK238)))</f>
        <v>7.3559814110032153</v>
      </c>
      <c r="AM238" s="186" cm="1">
        <f t="array" ref="AM238">IF(AN$231=-1,AN238,IF(AN$231=99,AL238,IF(AN$231=0,INDEX($E166:$M166,0,AN$229),(INDEX($E166:$M166,0,AN$231+1)-INDEX($E166:$M166,0,AN$231))/(INDEX($E$160:$M$160,0,AN$231+1)-INDEX($E$160:$M$160,0,AN$231))+AL238)))</f>
        <v>8.113071553471439</v>
      </c>
      <c r="AN238" s="186" cm="1">
        <f t="array" ref="AN238">IF(AO$231=-1,AO238,IF(AO$231=99,AM238,IF(AO$231=0,INDEX($E166:$M166,0,AO$229),(INDEX($E166:$M166,0,AO$231+1)-INDEX($E166:$M166,0,AO$231))/(INDEX($E$160:$M$160,0,AO$231+1)-INDEX($E$160:$M$160,0,AO$231))+AM238)))</f>
        <v>8.8701616959396627</v>
      </c>
      <c r="AO238" s="186" cm="1">
        <f t="array" ref="AO238">IF(AP$231=-1,AP238,IF(AP$231=99,AN238,IF(AP$231=0,INDEX($E166:$M166,0,AP$229),(INDEX($E166:$M166,0,AP$231+1)-INDEX($E166:$M166,0,AP$231))/(INDEX($E$160:$M$160,0,AP$231+1)-INDEX($E$160:$M$160,0,AP$231))+AN238)))</f>
        <v>9.6272518384078865</v>
      </c>
      <c r="AP238" s="186" cm="1">
        <f t="array" ref="AP238">IF(AQ$231=-1,AQ238,IF(AQ$231=99,AO238,IF(AQ$231=0,INDEX($E166:$M166,0,AQ$229),(INDEX($E166:$M166,0,AQ$231+1)-INDEX($E166:$M166,0,AQ$231))/(INDEX($E$160:$M$160,0,AQ$231+1)-INDEX($E$160:$M$160,0,AQ$231))+AO238)))</f>
        <v>10.38434198087611</v>
      </c>
      <c r="AQ238" s="186" cm="1">
        <f t="array" ref="AQ238">IF(AR$231=-1,AR238,IF(AR$231=99,AP238,IF(AR$231=0,INDEX($E166:$M166,0,AR$229),(INDEX($E166:$M166,0,AR$231+1)-INDEX($E166:$M166,0,AR$231))/(INDEX($E$160:$M$160,0,AR$231+1)-INDEX($E$160:$M$160,0,AR$231))+AP238)))</f>
        <v>11.141432123344334</v>
      </c>
      <c r="AR238" s="186" cm="1">
        <f t="array" ref="AR238">IF(AS$231=-1,AS238,IF(AS$231=99,AQ238,IF(AS$231=0,INDEX($E166:$M166,0,AS$229),(INDEX($E166:$M166,0,AS$231+1)-INDEX($E166:$M166,0,AS$231))/(INDEX($E$160:$M$160,0,AS$231+1)-INDEX($E$160:$M$160,0,AS$231))+AQ238)))</f>
        <v>11.898522265812558</v>
      </c>
      <c r="AS238" s="186" cm="1">
        <f t="array" ref="AS238">IF(AT$231=-1,AT238,IF(AT$231=99,AR238,IF(AT$231=0,INDEX($E166:$M166,0,AT$229),(INDEX($E166:$M166,0,AT$231+1)-INDEX($E166:$M166,0,AT$231))/(INDEX($E$160:$M$160,0,AT$231+1)-INDEX($E$160:$M$160,0,AT$231))+AR238)))</f>
        <v>12.655612408280781</v>
      </c>
      <c r="AT238" s="186" cm="1">
        <f t="array" ref="AT238">IF(AU$231=-1,AU238,IF(AU$231=99,AS238,IF(AU$231=0,INDEX($E166:$M166,0,AU$229),(INDEX($E166:$M166,0,AU$231+1)-INDEX($E166:$M166,0,AU$231))/(INDEX($E$160:$M$160,0,AU$231+1)-INDEX($E$160:$M$160,0,AU$231))+AS238)))</f>
        <v>13.412702550749005</v>
      </c>
      <c r="AU238" s="186" cm="1">
        <f t="array" ref="AU238">IF(AV$231=-1,AV238,IF(AV$231=99,AT238,IF(AV$231=0,INDEX($E166:$M166,0,AV$229),(INDEX($E166:$M166,0,AV$231+1)-INDEX($E166:$M166,0,AV$231))/(INDEX($E$160:$M$160,0,AV$231+1)-INDEX($E$160:$M$160,0,AV$231))+AT238)))</f>
        <v>14.169792693217229</v>
      </c>
      <c r="AV238" s="186" cm="1">
        <f t="array" ref="AV238">IF(AW$231=-1,AW238,IF(AW$231=99,AU238,IF(AW$231=0,INDEX($E166:$M166,0,AW$229),(INDEX($E166:$M166,0,AW$231+1)-INDEX($E166:$M166,0,AW$231))/(INDEX($E$160:$M$160,0,AW$231+1)-INDEX($E$160:$M$160,0,AW$231))+AU238)))</f>
        <v>14.169792693217225</v>
      </c>
      <c r="AW238" s="186" cm="1">
        <f t="array" ref="AW238">IF(AX$231=-1,AX238,IF(AX$231=99,AV238,IF(AX$231=0,INDEX($E166:$M166,0,AX$229),(INDEX($E166:$M166,0,AX$231+1)-INDEX($E166:$M166,0,AX$231))/(INDEX($E$160:$M$160,0,AX$231+1)-INDEX($E$160:$M$160,0,AX$231))+AV238)))</f>
        <v>14.169792693217225</v>
      </c>
      <c r="AX238" s="186" cm="1">
        <f t="array" ref="AX238">IF(AY$231=-1,AZ238,IF(AY$231=99,AW238,IF(AY$231=0,INDEX($E166:$M166,0,AY$229),(INDEX($E166:$M166,0,AY$231+1)-INDEX($E166:$M166,0,AY$231))/(INDEX($E$160:$M$160,0,AY$231+1)-INDEX($E$160:$M$160,0,AY$231))+AW238)))</f>
        <v>14.169792693217225</v>
      </c>
      <c r="AZ238" s="186"/>
      <c r="BA238" s="186"/>
      <c r="BB238" s="186"/>
      <c r="BC238" s="186"/>
      <c r="BD238" s="186"/>
      <c r="BE238" s="186"/>
    </row>
    <row r="239" spans="1:58">
      <c r="A239" s="185" t="s">
        <v>16</v>
      </c>
      <c r="B239" s="22"/>
      <c r="C239" s="23"/>
      <c r="E239" s="23"/>
      <c r="F239" s="23"/>
      <c r="G239" s="23"/>
      <c r="H239" s="23"/>
      <c r="I239" s="57" t="str">
        <f t="shared" si="614"/>
        <v>TPPUMER</v>
      </c>
      <c r="J239" s="186">
        <f t="shared" si="615"/>
        <v>15.023482841814213</v>
      </c>
      <c r="K239" s="186" cm="1">
        <f t="array" ref="K239">IF(L$231=-1,L239,IF(L$231=99,J239,IF(L$231=0,INDEX($E167:$M167,0,L$229),(INDEX($E167:$M167,0,L$231+1)-INDEX($E167:$M167,0,L$231))/(INDEX($E$160:$M$160,0,L$231+1)-INDEX($E$160:$M$160,0,L$231))+J239)))</f>
        <v>14.123137325530998</v>
      </c>
      <c r="L239" s="186" cm="1">
        <f t="array" ref="L239">IF(M$231=-1,M239,IF(M$231=99,K239,IF(M$231=0,INDEX($E167:$M167,0,M$229),(INDEX($E167:$M167,0,M$231+1)-INDEX($E167:$M167,0,M$231))/(INDEX($E$160:$M$160,0,M$231+1)-INDEX($E$160:$M$160,0,M$231))+K239)))</f>
        <v>13.222791809247783</v>
      </c>
      <c r="M239" s="186" cm="1">
        <f t="array" ref="M239">IF(N$231=-1,N239,IF(N$231=99,L239,IF(N$231=0,INDEX($E167:$M167,0,N$229),(INDEX($E167:$M167,0,N$231+1)-INDEX($E167:$M167,0,N$231))/(INDEX($E$160:$M$160,0,N$231+1)-INDEX($E$160:$M$160,0,N$231))+L239)))</f>
        <v>12.322446292964566</v>
      </c>
      <c r="N239" s="186" cm="1">
        <f t="array" ref="N239">IF(O$231=-1,O239,IF(O$231=99,M239,IF(O$231=0,INDEX($E167:$M167,0,O$229),(INDEX($E167:$M167,0,O$231+1)-INDEX($E167:$M167,0,O$231))/(INDEX($E$160:$M$160,0,O$231+1)-INDEX($E$160:$M$160,0,O$231))+M239)))</f>
        <v>10.474251298675517</v>
      </c>
      <c r="O239" s="186" cm="1">
        <f t="array" ref="O239">IF(P$231=-1,P239,IF(P$231=99,N239,IF(P$231=0,INDEX($E167:$M167,0,P$229),(INDEX($E167:$M167,0,P$231+1)-INDEX($E167:$M167,0,P$231))/(INDEX($E$160:$M$160,0,P$231+1)-INDEX($E$160:$M$160,0,P$231))+N239)))</f>
        <v>8.6260563043864682</v>
      </c>
      <c r="P239" s="186" cm="1">
        <f t="array" ref="P239">IF(Q$231=-1,Q239,IF(Q$231=99,O239,IF(Q$231=0,INDEX($E167:$M167,0,Q$229),(INDEX($E167:$M167,0,Q$231+1)-INDEX($E167:$M167,0,Q$231))/(INDEX($E$160:$M$160,0,Q$231+1)-INDEX($E$160:$M$160,0,Q$231))+O239)))</f>
        <v>8.7248248744821311</v>
      </c>
      <c r="Q239" s="186" cm="1">
        <f t="array" ref="Q239">IF(R$231=-1,R239,IF(R$231=99,P239,IF(R$231=0,INDEX($E167:$M167,0,R$229),(INDEX($E167:$M167,0,R$231+1)-INDEX($E167:$M167,0,R$231))/(INDEX($E$160:$M$160,0,R$231+1)-INDEX($E$160:$M$160,0,R$231))+P239)))</f>
        <v>8.8235934445777957</v>
      </c>
      <c r="R239" s="186" cm="1">
        <f t="array" ref="R239">IF(S$231=-1,S239,IF(S$231=99,Q239,IF(S$231=0,INDEX($E167:$M167,0,S$229),(INDEX($E167:$M167,0,S$231+1)-INDEX($E167:$M167,0,S$231))/(INDEX($E$160:$M$160,0,S$231+1)-INDEX($E$160:$M$160,0,S$231))+Q239)))</f>
        <v>8.8235934445777957</v>
      </c>
      <c r="S239" s="186" cm="1">
        <f t="array" ref="S239">IF(T$231=-1,T239,IF(T$231=99,R239,IF(T$231=0,INDEX($E167:$M167,0,T$229),(INDEX($E167:$M167,0,T$231+1)-INDEX($E167:$M167,0,T$231))/(INDEX($E$160:$M$160,0,T$231+1)-INDEX($E$160:$M$160,0,T$231))+R239)))</f>
        <v>8.9818459792306626</v>
      </c>
      <c r="T239" s="186" cm="1">
        <f t="array" ref="T239">IF(U$231=-1,U239,IF(U$231=99,S239,IF(U$231=0,INDEX($E167:$M167,0,U$229),(INDEX($E167:$M167,0,U$231+1)-INDEX($E167:$M167,0,U$231))/(INDEX($E$160:$M$160,0,U$231+1)-INDEX($E$160:$M$160,0,U$231))+S239)))</f>
        <v>9.1400985138835296</v>
      </c>
      <c r="U239" s="186" cm="1">
        <f t="array" ref="U239">IF(V$231=-1,V239,IF(V$231=99,T239,IF(V$231=0,INDEX($E167:$M167,0,V$229),(INDEX($E167:$M167,0,V$231+1)-INDEX($E167:$M167,0,V$231))/(INDEX($E$160:$M$160,0,V$231+1)-INDEX($E$160:$M$160,0,V$231))+T239)))</f>
        <v>9.2983510485363965</v>
      </c>
      <c r="V239" s="186" cm="1">
        <f t="array" ref="V239">IF(W$231=-1,W239,IF(W$231=99,U239,IF(W$231=0,INDEX($E167:$M167,0,W$229),(INDEX($E167:$M167,0,W$231+1)-INDEX($E167:$M167,0,W$231))/(INDEX($E$160:$M$160,0,W$231+1)-INDEX($E$160:$M$160,0,W$231))+U239)))</f>
        <v>9.4566035831892634</v>
      </c>
      <c r="W239" s="186" cm="1">
        <f t="array" ref="W239">IF(X$231=-1,X239,IF(X$231=99,V239,IF(X$231=0,INDEX($E167:$M167,0,X$229),(INDEX($E167:$M167,0,X$231+1)-INDEX($E167:$M167,0,X$231))/(INDEX($E$160:$M$160,0,X$231+1)-INDEX($E$160:$M$160,0,X$231))+V239)))</f>
        <v>9.6148561178421303</v>
      </c>
      <c r="X239" s="186" cm="1">
        <f t="array" ref="X239">IF(Y$231=-1,Y239,IF(Y$231=99,W239,IF(Y$231=0,INDEX($E167:$M167,0,Y$229),(INDEX($E167:$M167,0,Y$231+1)-INDEX($E167:$M167,0,Y$231))/(INDEX($E$160:$M$160,0,Y$231+1)-INDEX($E$160:$M$160,0,Y$231))+W239)))</f>
        <v>9.7731086524949973</v>
      </c>
      <c r="Y239" s="186" cm="1">
        <f t="array" ref="Y239">IF(Z$231=-1,Z239,IF(Z$231=99,X239,IF(Z$231=0,INDEX($E167:$M167,0,Z$229),(INDEX($E167:$M167,0,Z$231+1)-INDEX($E167:$M167,0,Z$231))/(INDEX($E$160:$M$160,0,Z$231+1)-INDEX($E$160:$M$160,0,Z$231))+X239)))</f>
        <v>9.9313611871478642</v>
      </c>
      <c r="Z239" s="186" cm="1">
        <f t="array" ref="Z239">IF(AA$231=-1,AA239,IF(AA$231=99,Y239,IF(AA$231=0,INDEX($E167:$M167,0,AA$229),(INDEX($E167:$M167,0,AA$231+1)-INDEX($E167:$M167,0,AA$231))/(INDEX($E$160:$M$160,0,AA$231+1)-INDEX($E$160:$M$160,0,AA$231))+Y239)))</f>
        <v>10.089613721800731</v>
      </c>
      <c r="AA239" s="186" cm="1">
        <f t="array" ref="AA239">IF(AB$231=-1,AB239,IF(AB$231=99,Z239,IF(AB$231=0,INDEX($E167:$M167,0,AB$229),(INDEX($E167:$M167,0,AB$231+1)-INDEX($E167:$M167,0,AB$231))/(INDEX($E$160:$M$160,0,AB$231+1)-INDEX($E$160:$M$160,0,AB$231))+Z239)))</f>
        <v>10.247866256453598</v>
      </c>
      <c r="AB239" s="186" cm="1">
        <f t="array" ref="AB239">IF(AC$231=-1,AC239,IF(AC$231=99,AA239,IF(AC$231=0,INDEX($E167:$M167,0,AC$229),(INDEX($E167:$M167,0,AC$231+1)-INDEX($E167:$M167,0,AC$231))/(INDEX($E$160:$M$160,0,AC$231+1)-INDEX($E$160:$M$160,0,AC$231))+AA239)))</f>
        <v>8.9818459792306626</v>
      </c>
      <c r="AC239" s="186" cm="1">
        <f t="array" ref="AC239">IF(AD$231=-1,AD239,IF(AD$231=99,AB239,IF(AD$231=0,INDEX($E167:$M167,0,AD$229),(INDEX($E167:$M167,0,AD$231+1)-INDEX($E167:$M167,0,AD$231))/(INDEX($E$160:$M$160,0,AD$231+1)-INDEX($E$160:$M$160,0,AD$231))+AB239)))</f>
        <v>9.109534236706498</v>
      </c>
      <c r="AD239" s="186" cm="1">
        <f t="array" ref="AD239">IF(AE$231=-1,AE239,IF(AE$231=99,AC239,IF(AE$231=0,INDEX($E167:$M167,0,AE$229),(INDEX($E167:$M167,0,AE$231+1)-INDEX($E167:$M167,0,AE$231))/(INDEX($E$160:$M$160,0,AE$231+1)-INDEX($E$160:$M$160,0,AE$231))+AC239)))</f>
        <v>9.2372224941823333</v>
      </c>
      <c r="AE239" s="186" cm="1">
        <f t="array" ref="AE239">IF(AF$231=-1,AF239,IF(AF$231=99,AD239,IF(AF$231=0,INDEX($E167:$M167,0,AF$229),(INDEX($E167:$M167,0,AF$231+1)-INDEX($E167:$M167,0,AF$231))/(INDEX($E$160:$M$160,0,AF$231+1)-INDEX($E$160:$M$160,0,AF$231))+AD239)))</f>
        <v>9.3649107516581687</v>
      </c>
      <c r="AF239" s="186" cm="1">
        <f t="array" ref="AF239">IF(AG$231=-1,AG239,IF(AG$231=99,AE239,IF(AG$231=0,INDEX($E167:$M167,0,AG$229),(INDEX($E167:$M167,0,AG$231+1)-INDEX($E167:$M167,0,AG$231))/(INDEX($E$160:$M$160,0,AG$231+1)-INDEX($E$160:$M$160,0,AG$231))+AE239)))</f>
        <v>9.492599009134004</v>
      </c>
      <c r="AG239" s="186" cm="1">
        <f t="array" ref="AG239">IF(AH$231=-1,AH239,IF(AH$231=99,AF239,IF(AH$231=0,INDEX($E167:$M167,0,AH$229),(INDEX($E167:$M167,0,AH$231+1)-INDEX($E167:$M167,0,AH$231))/(INDEX($E$160:$M$160,0,AH$231+1)-INDEX($E$160:$M$160,0,AH$231))+AF239)))</f>
        <v>9.6202872666098393</v>
      </c>
      <c r="AH239" s="186" cm="1">
        <f t="array" ref="AH239">IF(AI$231=-1,AI239,IF(AI$231=99,AG239,IF(AI$231=0,INDEX($E167:$M167,0,AI$229),(INDEX($E167:$M167,0,AI$231+1)-INDEX($E167:$M167,0,AI$231))/(INDEX($E$160:$M$160,0,AI$231+1)-INDEX($E$160:$M$160,0,AI$231))+AG239)))</f>
        <v>9.7479755240856747</v>
      </c>
      <c r="AI239" s="186" cm="1">
        <f t="array" ref="AI239">IF(AJ$231=-1,AJ239,IF(AJ$231=99,AH239,IF(AJ$231=0,INDEX($E167:$M167,0,AJ$229),(INDEX($E167:$M167,0,AJ$231+1)-INDEX($E167:$M167,0,AJ$231))/(INDEX($E$160:$M$160,0,AJ$231+1)-INDEX($E$160:$M$160,0,AJ$231))+AH239)))</f>
        <v>9.87566378156151</v>
      </c>
      <c r="AJ239" s="186" cm="1">
        <f t="array" ref="AJ239">IF(AK$231=-1,AK239,IF(AK$231=99,AI239,IF(AK$231=0,INDEX($E167:$M167,0,AK$229),(INDEX($E167:$M167,0,AK$231+1)-INDEX($E167:$M167,0,AK$231))/(INDEX($E$160:$M$160,0,AK$231+1)-INDEX($E$160:$M$160,0,AK$231))+AI239)))</f>
        <v>10.003352039037345</v>
      </c>
      <c r="AK239" s="186" cm="1">
        <f t="array" ref="AK239">IF(AL$231=-1,AL239,IF(AL$231=99,AJ239,IF(AL$231=0,INDEX($E167:$M167,0,AL$229),(INDEX($E167:$M167,0,AL$231+1)-INDEX($E167:$M167,0,AL$231))/(INDEX($E$160:$M$160,0,AL$231+1)-INDEX($E$160:$M$160,0,AL$231))+AJ239)))</f>
        <v>10.131040296513181</v>
      </c>
      <c r="AL239" s="186" cm="1">
        <f t="array" ref="AL239">IF(AM$231=-1,AM239,IF(AM$231=99,AK239,IF(AM$231=0,INDEX($E167:$M167,0,AM$229),(INDEX($E167:$M167,0,AM$231+1)-INDEX($E167:$M167,0,AM$231))/(INDEX($E$160:$M$160,0,AM$231+1)-INDEX($E$160:$M$160,0,AM$231))+AK239)))</f>
        <v>9.109534236706498</v>
      </c>
      <c r="AM239" s="186" cm="1">
        <f t="array" ref="AM239">IF(AN$231=-1,AN239,IF(AN$231=99,AL239,IF(AN$231=0,INDEX($E167:$M167,0,AN$229),(INDEX($E167:$M167,0,AN$231+1)-INDEX($E167:$M167,0,AN$231))/(INDEX($E$160:$M$160,0,AN$231+1)-INDEX($E$160:$M$160,0,AN$231))+AL239)))</f>
        <v>9.1278794609103482</v>
      </c>
      <c r="AN239" s="186" cm="1">
        <f t="array" ref="AN239">IF(AO$231=-1,AO239,IF(AO$231=99,AM239,IF(AO$231=0,INDEX($E167:$M167,0,AO$229),(INDEX($E167:$M167,0,AO$231+1)-INDEX($E167:$M167,0,AO$231))/(INDEX($E$160:$M$160,0,AO$231+1)-INDEX($E$160:$M$160,0,AO$231))+AM239)))</f>
        <v>9.1462246851141984</v>
      </c>
      <c r="AO239" s="186" cm="1">
        <f t="array" ref="AO239">IF(AP$231=-1,AP239,IF(AP$231=99,AN239,IF(AP$231=0,INDEX($E167:$M167,0,AP$229),(INDEX($E167:$M167,0,AP$231+1)-INDEX($E167:$M167,0,AP$231))/(INDEX($E$160:$M$160,0,AP$231+1)-INDEX($E$160:$M$160,0,AP$231))+AN239)))</f>
        <v>9.1645699093180486</v>
      </c>
      <c r="AP239" s="186" cm="1">
        <f t="array" ref="AP239">IF(AQ$231=-1,AQ239,IF(AQ$231=99,AO239,IF(AQ$231=0,INDEX($E167:$M167,0,AQ$229),(INDEX($E167:$M167,0,AQ$231+1)-INDEX($E167:$M167,0,AQ$231))/(INDEX($E$160:$M$160,0,AQ$231+1)-INDEX($E$160:$M$160,0,AQ$231))+AO239)))</f>
        <v>9.1829151335218988</v>
      </c>
      <c r="AQ239" s="186" cm="1">
        <f t="array" ref="AQ239">IF(AR$231=-1,AR239,IF(AR$231=99,AP239,IF(AR$231=0,INDEX($E167:$M167,0,AR$229),(INDEX($E167:$M167,0,AR$231+1)-INDEX($E167:$M167,0,AR$231))/(INDEX($E$160:$M$160,0,AR$231+1)-INDEX($E$160:$M$160,0,AR$231))+AP239)))</f>
        <v>9.201260357725749</v>
      </c>
      <c r="AR239" s="186" cm="1">
        <f t="array" ref="AR239">IF(AS$231=-1,AS239,IF(AS$231=99,AQ239,IF(AS$231=0,INDEX($E167:$M167,0,AS$229),(INDEX($E167:$M167,0,AS$231+1)-INDEX($E167:$M167,0,AS$231))/(INDEX($E$160:$M$160,0,AS$231+1)-INDEX($E$160:$M$160,0,AS$231))+AQ239)))</f>
        <v>9.2196055819295992</v>
      </c>
      <c r="AS239" s="186" cm="1">
        <f t="array" ref="AS239">IF(AT$231=-1,AT239,IF(AT$231=99,AR239,IF(AT$231=0,INDEX($E167:$M167,0,AT$229),(INDEX($E167:$M167,0,AT$231+1)-INDEX($E167:$M167,0,AT$231))/(INDEX($E$160:$M$160,0,AT$231+1)-INDEX($E$160:$M$160,0,AT$231))+AR239)))</f>
        <v>9.2379508061334494</v>
      </c>
      <c r="AT239" s="186" cm="1">
        <f t="array" ref="AT239">IF(AU$231=-1,AU239,IF(AU$231=99,AS239,IF(AU$231=0,INDEX($E167:$M167,0,AU$229),(INDEX($E167:$M167,0,AU$231+1)-INDEX($E167:$M167,0,AU$231))/(INDEX($E$160:$M$160,0,AU$231+1)-INDEX($E$160:$M$160,0,AU$231))+AS239)))</f>
        <v>9.2562960303372996</v>
      </c>
      <c r="AU239" s="186" cm="1">
        <f t="array" ref="AU239">IF(AV$231=-1,AV239,IF(AV$231=99,AT239,IF(AV$231=0,INDEX($E167:$M167,0,AV$229),(INDEX($E167:$M167,0,AV$231+1)-INDEX($E167:$M167,0,AV$231))/(INDEX($E$160:$M$160,0,AV$231+1)-INDEX($E$160:$M$160,0,AV$231))+AT239)))</f>
        <v>9.2746412545411498</v>
      </c>
      <c r="AV239" s="186" cm="1">
        <f t="array" ref="AV239">IF(AW$231=-1,AW239,IF(AW$231=99,AU239,IF(AW$231=0,INDEX($E167:$M167,0,AW$229),(INDEX($E167:$M167,0,AW$231+1)-INDEX($E167:$M167,0,AW$231))/(INDEX($E$160:$M$160,0,AW$231+1)-INDEX($E$160:$M$160,0,AW$231))+AU239)))</f>
        <v>9.2746412545411498</v>
      </c>
      <c r="AW239" s="186" cm="1">
        <f t="array" ref="AW239">IF(AX$231=-1,AX239,IF(AX$231=99,AV239,IF(AX$231=0,INDEX($E167:$M167,0,AX$229),(INDEX($E167:$M167,0,AX$231+1)-INDEX($E167:$M167,0,AX$231))/(INDEX($E$160:$M$160,0,AX$231+1)-INDEX($E$160:$M$160,0,AX$231))+AV239)))</f>
        <v>9.2746412545411498</v>
      </c>
      <c r="AX239" s="186" cm="1">
        <f t="array" ref="AX239">IF(AY$231=-1,AZ239,IF(AY$231=99,AW239,IF(AY$231=0,INDEX($E167:$M167,0,AY$229),(INDEX($E167:$M167,0,AY$231+1)-INDEX($E167:$M167,0,AY$231))/(INDEX($E$160:$M$160,0,AY$231+1)-INDEX($E$160:$M$160,0,AY$231))+AW239)))</f>
        <v>9.2746412545411498</v>
      </c>
      <c r="AZ239" s="186"/>
      <c r="BA239" s="186"/>
      <c r="BB239" s="186"/>
      <c r="BC239" s="186"/>
      <c r="BD239" s="186"/>
      <c r="BE239" s="186"/>
    </row>
    <row r="240" spans="1:58">
      <c r="A240" s="185" t="s">
        <v>16</v>
      </c>
      <c r="B240" s="22"/>
      <c r="C240" s="23"/>
      <c r="E240" s="23"/>
      <c r="F240" s="23"/>
      <c r="G240" s="23"/>
      <c r="H240" s="23"/>
      <c r="I240" s="57" t="str">
        <f t="shared" si="614"/>
        <v>TPPUGAT</v>
      </c>
      <c r="J240" s="186">
        <f t="shared" si="615"/>
        <v>0.53459848266953358</v>
      </c>
      <c r="K240" s="186" cm="1">
        <f t="array" ref="K240">IF(L$231=-1,L240,IF(L$231=99,J240,IF(L$231=0,INDEX($E168:$M168,0,L$229),(INDEX($E168:$M168,0,L$231+1)-INDEX($E168:$M168,0,L$231))/(INDEX($E$160:$M$160,0,L$231+1)-INDEX($E$160:$M$160,0,L$231))+J240)))</f>
        <v>0.55947822475115061</v>
      </c>
      <c r="L240" s="186" cm="1">
        <f t="array" ref="L240">IF(M$231=-1,M240,IF(M$231=99,K240,IF(M$231=0,INDEX($E168:$M168,0,M$229),(INDEX($E168:$M168,0,M$231+1)-INDEX($E168:$M168,0,M$231))/(INDEX($E$160:$M$160,0,M$231+1)-INDEX($E$160:$M$160,0,M$231))+K240)))</f>
        <v>0.58435796683276764</v>
      </c>
      <c r="M240" s="186" cm="1">
        <f t="array" ref="M240">IF(N$231=-1,N240,IF(N$231=99,L240,IF(N$231=0,INDEX($E168:$M168,0,N$229),(INDEX($E168:$M168,0,N$231+1)-INDEX($E168:$M168,0,N$231))/(INDEX($E$160:$M$160,0,N$231+1)-INDEX($E$160:$M$160,0,N$231))+L240)))</f>
        <v>0.60923770891438467</v>
      </c>
      <c r="N240" s="186" cm="1">
        <f t="array" ref="N240">IF(O$231=-1,O240,IF(O$231=99,M240,IF(O$231=0,INDEX($E168:$M168,0,O$229),(INDEX($E168:$M168,0,O$231+1)-INDEX($E168:$M168,0,O$231))/(INDEX($E$160:$M$160,0,O$231+1)-INDEX($E$160:$M$160,0,O$231))+M240)))</f>
        <v>0.62888953865325536</v>
      </c>
      <c r="O240" s="186" cm="1">
        <f t="array" ref="O240">IF(P$231=-1,P240,IF(P$231=99,N240,IF(P$231=0,INDEX($E168:$M168,0,P$229),(INDEX($E168:$M168,0,P$231+1)-INDEX($E168:$M168,0,P$231))/(INDEX($E$160:$M$160,0,P$231+1)-INDEX($E$160:$M$160,0,P$231))+N240)))</f>
        <v>0.64854136839212595</v>
      </c>
      <c r="P240" s="186" cm="1">
        <f t="array" ref="P240">IF(Q$231=-1,Q240,IF(Q$231=99,O240,IF(Q$231=0,INDEX($E168:$M168,0,Q$229),(INDEX($E168:$M168,0,Q$231+1)-INDEX($E168:$M168,0,Q$231))/(INDEX($E$160:$M$160,0,Q$231+1)-INDEX($E$160:$M$160,0,Q$231))+O240)))</f>
        <v>0.67405613843991108</v>
      </c>
      <c r="Q240" s="186" cm="1">
        <f t="array" ref="Q240">IF(R$231=-1,R240,IF(R$231=99,P240,IF(R$231=0,INDEX($E168:$M168,0,R$229),(INDEX($E168:$M168,0,R$231+1)-INDEX($E168:$M168,0,R$231))/(INDEX($E$160:$M$160,0,R$231+1)-INDEX($E$160:$M$160,0,R$231))+P240)))</f>
        <v>0.69957090848769621</v>
      </c>
      <c r="R240" s="186" cm="1">
        <f t="array" ref="R240">IF(S$231=-1,S240,IF(S$231=99,Q240,IF(S$231=0,INDEX($E168:$M168,0,S$229),(INDEX($E168:$M168,0,S$231+1)-INDEX($E168:$M168,0,S$231))/(INDEX($E$160:$M$160,0,S$231+1)-INDEX($E$160:$M$160,0,S$231))+Q240)))</f>
        <v>0.6995709084876961</v>
      </c>
      <c r="S240" s="186" cm="1">
        <f t="array" ref="S240">IF(T$231=-1,T240,IF(T$231=99,R240,IF(T$231=0,INDEX($E168:$M168,0,T$229),(INDEX($E168:$M168,0,T$231+1)-INDEX($E168:$M168,0,T$231))/(INDEX($E$160:$M$160,0,T$231+1)-INDEX($E$160:$M$160,0,T$231))+R240)))</f>
        <v>0.6476760572601008</v>
      </c>
      <c r="T240" s="186" cm="1">
        <f t="array" ref="T240">IF(U$231=-1,U240,IF(U$231=99,S240,IF(U$231=0,INDEX($E168:$M168,0,U$229),(INDEX($E168:$M168,0,U$231+1)-INDEX($E168:$M168,0,U$231))/(INDEX($E$160:$M$160,0,U$231+1)-INDEX($E$160:$M$160,0,U$231))+S240)))</f>
        <v>0.59578120603250551</v>
      </c>
      <c r="U240" s="186" cm="1">
        <f t="array" ref="U240">IF(V$231=-1,V240,IF(V$231=99,T240,IF(V$231=0,INDEX($E168:$M168,0,V$229),(INDEX($E168:$M168,0,V$231+1)-INDEX($E168:$M168,0,V$231))/(INDEX($E$160:$M$160,0,V$231+1)-INDEX($E$160:$M$160,0,V$231))+T240)))</f>
        <v>0.54388635480491021</v>
      </c>
      <c r="V240" s="186" cm="1">
        <f t="array" ref="V240">IF(W$231=-1,W240,IF(W$231=99,U240,IF(W$231=0,INDEX($E168:$M168,0,W$229),(INDEX($E168:$M168,0,W$231+1)-INDEX($E168:$M168,0,W$231))/(INDEX($E$160:$M$160,0,W$231+1)-INDEX($E$160:$M$160,0,W$231))+U240)))</f>
        <v>0.49199150357731491</v>
      </c>
      <c r="W240" s="186" cm="1">
        <f t="array" ref="W240">IF(X$231=-1,X240,IF(X$231=99,V240,IF(X$231=0,INDEX($E168:$M168,0,X$229),(INDEX($E168:$M168,0,X$231+1)-INDEX($E168:$M168,0,X$231))/(INDEX($E$160:$M$160,0,X$231+1)-INDEX($E$160:$M$160,0,X$231))+V240)))</f>
        <v>0.44009665234971962</v>
      </c>
      <c r="X240" s="186" cm="1">
        <f t="array" ref="X240">IF(Y$231=-1,Y240,IF(Y$231=99,W240,IF(Y$231=0,INDEX($E168:$M168,0,Y$229),(INDEX($E168:$M168,0,Y$231+1)-INDEX($E168:$M168,0,Y$231))/(INDEX($E$160:$M$160,0,Y$231+1)-INDEX($E$160:$M$160,0,Y$231))+W240)))</f>
        <v>0.38820180112212432</v>
      </c>
      <c r="Y240" s="186" cm="1">
        <f t="array" ref="Y240">IF(Z$231=-1,Z240,IF(Z$231=99,X240,IF(Z$231=0,INDEX($E168:$M168,0,Z$229),(INDEX($E168:$M168,0,Z$231+1)-INDEX($E168:$M168,0,Z$231))/(INDEX($E$160:$M$160,0,Z$231+1)-INDEX($E$160:$M$160,0,Z$231))+X240)))</f>
        <v>0.33630694989452903</v>
      </c>
      <c r="Z240" s="186" cm="1">
        <f t="array" ref="Z240">IF(AA$231=-1,AA240,IF(AA$231=99,Y240,IF(AA$231=0,INDEX($E168:$M168,0,AA$229),(INDEX($E168:$M168,0,AA$231+1)-INDEX($E168:$M168,0,AA$231))/(INDEX($E$160:$M$160,0,AA$231+1)-INDEX($E$160:$M$160,0,AA$231))+Y240)))</f>
        <v>0.28441209866693373</v>
      </c>
      <c r="AA240" s="186" cm="1">
        <f t="array" ref="AA240">IF(AB$231=-1,AB240,IF(AB$231=99,Z240,IF(AB$231=0,INDEX($E168:$M168,0,AB$229),(INDEX($E168:$M168,0,AB$231+1)-INDEX($E168:$M168,0,AB$231))/(INDEX($E$160:$M$160,0,AB$231+1)-INDEX($E$160:$M$160,0,AB$231))+Z240)))</f>
        <v>0.23251724743933844</v>
      </c>
      <c r="AB240" s="186" cm="1">
        <f t="array" ref="AB240">IF(AC$231=-1,AC240,IF(AC$231=99,AA240,IF(AC$231=0,INDEX($E168:$M168,0,AC$229),(INDEX($E168:$M168,0,AC$231+1)-INDEX($E168:$M168,0,AC$231))/(INDEX($E$160:$M$160,0,AC$231+1)-INDEX($E$160:$M$160,0,AC$231))+AA240)))</f>
        <v>0.6476760572601008</v>
      </c>
      <c r="AC240" s="186" cm="1">
        <f t="array" ref="AC240">IF(AD$231=-1,AD240,IF(AD$231=99,AB240,IF(AD$231=0,INDEX($E168:$M168,0,AD$229),(INDEX($E168:$M168,0,AD$231+1)-INDEX($E168:$M168,0,AD$231))/(INDEX($E$160:$M$160,0,AD$231+1)-INDEX($E$160:$M$160,0,AD$231))+AB240)))</f>
        <v>0.64850440608752602</v>
      </c>
      <c r="AD240" s="186" cm="1">
        <f t="array" ref="AD240">IF(AE$231=-1,AE240,IF(AE$231=99,AC240,IF(AE$231=0,INDEX($E168:$M168,0,AE$229),(INDEX($E168:$M168,0,AE$231+1)-INDEX($E168:$M168,0,AE$231))/(INDEX($E$160:$M$160,0,AE$231+1)-INDEX($E$160:$M$160,0,AE$231))+AC240)))</f>
        <v>0.64933275491495124</v>
      </c>
      <c r="AE240" s="186" cm="1">
        <f t="array" ref="AE240">IF(AF$231=-1,AF240,IF(AF$231=99,AD240,IF(AF$231=0,INDEX($E168:$M168,0,AF$229),(INDEX($E168:$M168,0,AF$231+1)-INDEX($E168:$M168,0,AF$231))/(INDEX($E$160:$M$160,0,AF$231+1)-INDEX($E$160:$M$160,0,AF$231))+AD240)))</f>
        <v>0.65016110374237646</v>
      </c>
      <c r="AF240" s="186" cm="1">
        <f t="array" ref="AF240">IF(AG$231=-1,AG240,IF(AG$231=99,AE240,IF(AG$231=0,INDEX($E168:$M168,0,AG$229),(INDEX($E168:$M168,0,AG$231+1)-INDEX($E168:$M168,0,AG$231))/(INDEX($E$160:$M$160,0,AG$231+1)-INDEX($E$160:$M$160,0,AG$231))+AE240)))</f>
        <v>0.65098945256980167</v>
      </c>
      <c r="AG240" s="186" cm="1">
        <f t="array" ref="AG240">IF(AH$231=-1,AH240,IF(AH$231=99,AF240,IF(AH$231=0,INDEX($E168:$M168,0,AH$229),(INDEX($E168:$M168,0,AH$231+1)-INDEX($E168:$M168,0,AH$231))/(INDEX($E$160:$M$160,0,AH$231+1)-INDEX($E$160:$M$160,0,AH$231))+AF240)))</f>
        <v>0.65181780139722689</v>
      </c>
      <c r="AH240" s="186" cm="1">
        <f t="array" ref="AH240">IF(AI$231=-1,AI240,IF(AI$231=99,AG240,IF(AI$231=0,INDEX($E168:$M168,0,AI$229),(INDEX($E168:$M168,0,AI$231+1)-INDEX($E168:$M168,0,AI$231))/(INDEX($E$160:$M$160,0,AI$231+1)-INDEX($E$160:$M$160,0,AI$231))+AG240)))</f>
        <v>0.65264615022465211</v>
      </c>
      <c r="AI240" s="186" cm="1">
        <f t="array" ref="AI240">IF(AJ$231=-1,AJ240,IF(AJ$231=99,AH240,IF(AJ$231=0,INDEX($E168:$M168,0,AJ$229),(INDEX($E168:$M168,0,AJ$231+1)-INDEX($E168:$M168,0,AJ$231))/(INDEX($E$160:$M$160,0,AJ$231+1)-INDEX($E$160:$M$160,0,AJ$231))+AH240)))</f>
        <v>0.65347449905207733</v>
      </c>
      <c r="AJ240" s="186" cm="1">
        <f t="array" ref="AJ240">IF(AK$231=-1,AK240,IF(AK$231=99,AI240,IF(AK$231=0,INDEX($E168:$M168,0,AK$229),(INDEX($E168:$M168,0,AK$231+1)-INDEX($E168:$M168,0,AK$231))/(INDEX($E$160:$M$160,0,AK$231+1)-INDEX($E$160:$M$160,0,AK$231))+AI240)))</f>
        <v>0.65430284787950255</v>
      </c>
      <c r="AK240" s="186" cm="1">
        <f t="array" ref="AK240">IF(AL$231=-1,AL240,IF(AL$231=99,AJ240,IF(AL$231=0,INDEX($E168:$M168,0,AL$229),(INDEX($E168:$M168,0,AL$231+1)-INDEX($E168:$M168,0,AL$231))/(INDEX($E$160:$M$160,0,AL$231+1)-INDEX($E$160:$M$160,0,AL$231))+AJ240)))</f>
        <v>0.65513119670692777</v>
      </c>
      <c r="AL240" s="186" cm="1">
        <f t="array" ref="AL240">IF(AM$231=-1,AM240,IF(AM$231=99,AK240,IF(AM$231=0,INDEX($E168:$M168,0,AM$229),(INDEX($E168:$M168,0,AM$231+1)-INDEX($E168:$M168,0,AM$231))/(INDEX($E$160:$M$160,0,AM$231+1)-INDEX($E$160:$M$160,0,AM$231))+AK240)))</f>
        <v>0.64850440608752602</v>
      </c>
      <c r="AM240" s="186" cm="1">
        <f t="array" ref="AM240">IF(AN$231=-1,AN240,IF(AN$231=99,AL240,IF(AN$231=0,INDEX($E168:$M168,0,AN$229),(INDEX($E168:$M168,0,AN$231+1)-INDEX($E168:$M168,0,AN$231))/(INDEX($E$160:$M$160,0,AN$231+1)-INDEX($E$160:$M$160,0,AN$231))+AL240)))</f>
        <v>0.66993665073337072</v>
      </c>
      <c r="AN240" s="186" cm="1">
        <f t="array" ref="AN240">IF(AO$231=-1,AO240,IF(AO$231=99,AM240,IF(AO$231=0,INDEX($E168:$M168,0,AO$229),(INDEX($E168:$M168,0,AO$231+1)-INDEX($E168:$M168,0,AO$231))/(INDEX($E$160:$M$160,0,AO$231+1)-INDEX($E$160:$M$160,0,AO$231))+AM240)))</f>
        <v>0.69136889537921542</v>
      </c>
      <c r="AO240" s="186" cm="1">
        <f t="array" ref="AO240">IF(AP$231=-1,AP240,IF(AP$231=99,AN240,IF(AP$231=0,INDEX($E168:$M168,0,AP$229),(INDEX($E168:$M168,0,AP$231+1)-INDEX($E168:$M168,0,AP$231))/(INDEX($E$160:$M$160,0,AP$231+1)-INDEX($E$160:$M$160,0,AP$231))+AN240)))</f>
        <v>0.71280114002506012</v>
      </c>
      <c r="AP240" s="186" cm="1">
        <f t="array" ref="AP240">IF(AQ$231=-1,AQ240,IF(AQ$231=99,AO240,IF(AQ$231=0,INDEX($E168:$M168,0,AQ$229),(INDEX($E168:$M168,0,AQ$231+1)-INDEX($E168:$M168,0,AQ$231))/(INDEX($E$160:$M$160,0,AQ$231+1)-INDEX($E$160:$M$160,0,AQ$231))+AO240)))</f>
        <v>0.73423338467090482</v>
      </c>
      <c r="AQ240" s="186" cm="1">
        <f t="array" ref="AQ240">IF(AR$231=-1,AR240,IF(AR$231=99,AP240,IF(AR$231=0,INDEX($E168:$M168,0,AR$229),(INDEX($E168:$M168,0,AR$231+1)-INDEX($E168:$M168,0,AR$231))/(INDEX($E$160:$M$160,0,AR$231+1)-INDEX($E$160:$M$160,0,AR$231))+AP240)))</f>
        <v>0.75566562931674952</v>
      </c>
      <c r="AR240" s="186" cm="1">
        <f t="array" ref="AR240">IF(AS$231=-1,AS240,IF(AS$231=99,AQ240,IF(AS$231=0,INDEX($E168:$M168,0,AS$229),(INDEX($E168:$M168,0,AS$231+1)-INDEX($E168:$M168,0,AS$231))/(INDEX($E$160:$M$160,0,AS$231+1)-INDEX($E$160:$M$160,0,AS$231))+AQ240)))</f>
        <v>0.77709787396259422</v>
      </c>
      <c r="AS240" s="186" cm="1">
        <f t="array" ref="AS240">IF(AT$231=-1,AT240,IF(AT$231=99,AR240,IF(AT$231=0,INDEX($E168:$M168,0,AT$229),(INDEX($E168:$M168,0,AT$231+1)-INDEX($E168:$M168,0,AT$231))/(INDEX($E$160:$M$160,0,AT$231+1)-INDEX($E$160:$M$160,0,AT$231))+AR240)))</f>
        <v>0.79853011860843892</v>
      </c>
      <c r="AT240" s="186" cm="1">
        <f t="array" ref="AT240">IF(AU$231=-1,AU240,IF(AU$231=99,AS240,IF(AU$231=0,INDEX($E168:$M168,0,AU$229),(INDEX($E168:$M168,0,AU$231+1)-INDEX($E168:$M168,0,AU$231))/(INDEX($E$160:$M$160,0,AU$231+1)-INDEX($E$160:$M$160,0,AU$231))+AS240)))</f>
        <v>0.81996236325428362</v>
      </c>
      <c r="AU240" s="186" cm="1">
        <f t="array" ref="AU240">IF(AV$231=-1,AV240,IF(AV$231=99,AT240,IF(AV$231=0,INDEX($E168:$M168,0,AV$229),(INDEX($E168:$M168,0,AV$231+1)-INDEX($E168:$M168,0,AV$231))/(INDEX($E$160:$M$160,0,AV$231+1)-INDEX($E$160:$M$160,0,AV$231))+AT240)))</f>
        <v>0.84139460790012832</v>
      </c>
      <c r="AV240" s="186" cm="1">
        <f t="array" ref="AV240">IF(AW$231=-1,AW240,IF(AW$231=99,AU240,IF(AW$231=0,INDEX($E168:$M168,0,AW$229),(INDEX($E168:$M168,0,AW$231+1)-INDEX($E168:$M168,0,AW$231))/(INDEX($E$160:$M$160,0,AW$231+1)-INDEX($E$160:$M$160,0,AW$231))+AU240)))</f>
        <v>0.84139460790012854</v>
      </c>
      <c r="AW240" s="186" cm="1">
        <f t="array" ref="AW240">IF(AX$231=-1,AX240,IF(AX$231=99,AV240,IF(AX$231=0,INDEX($E168:$M168,0,AX$229),(INDEX($E168:$M168,0,AX$231+1)-INDEX($E168:$M168,0,AX$231))/(INDEX($E$160:$M$160,0,AX$231+1)-INDEX($E$160:$M$160,0,AX$231))+AV240)))</f>
        <v>0.84139460790012854</v>
      </c>
      <c r="AX240" s="186" cm="1">
        <f t="array" ref="AX240">IF(AY$231=-1,AZ240,IF(AY$231=99,AW240,IF(AY$231=0,INDEX($E168:$M168,0,AY$229),(INDEX($E168:$M168,0,AY$231+1)-INDEX($E168:$M168,0,AY$231))/(INDEX($E$160:$M$160,0,AY$231+1)-INDEX($E$160:$M$160,0,AY$231))+AW240)))</f>
        <v>0.84139460790012854</v>
      </c>
      <c r="AZ240" s="186"/>
      <c r="BA240" s="186"/>
      <c r="BB240" s="186"/>
      <c r="BC240" s="186"/>
      <c r="BD240" s="186"/>
      <c r="BE240" s="186"/>
    </row>
    <row r="241" spans="1:58">
      <c r="B241" s="22"/>
      <c r="C241" s="23"/>
      <c r="E241" s="23"/>
      <c r="F241" s="23"/>
      <c r="G241" s="23"/>
      <c r="H241" s="23"/>
      <c r="I241" s="23"/>
      <c r="J241" s="23"/>
      <c r="K241" s="57"/>
      <c r="L241" s="186"/>
      <c r="M241" s="186"/>
      <c r="N241" s="186"/>
      <c r="O241" s="186"/>
      <c r="P241" s="186"/>
      <c r="Q241" s="186"/>
      <c r="R241" s="186"/>
      <c r="S241" s="186"/>
      <c r="T241" s="186"/>
      <c r="U241" s="186"/>
      <c r="V241" s="186"/>
      <c r="W241" s="186"/>
      <c r="X241" s="186"/>
      <c r="Y241" s="186"/>
      <c r="Z241" s="186"/>
      <c r="AA241" s="186"/>
      <c r="AB241" s="186"/>
      <c r="AC241" s="186"/>
      <c r="AD241" s="186"/>
      <c r="AE241" s="186"/>
      <c r="AF241" s="186"/>
      <c r="AG241" s="186"/>
      <c r="AH241" s="186"/>
      <c r="AI241" s="186"/>
      <c r="AJ241" s="186"/>
      <c r="AK241" s="186"/>
      <c r="AL241" s="186"/>
      <c r="AM241" s="186"/>
      <c r="AN241" s="186"/>
      <c r="AO241" s="186"/>
      <c r="AP241" s="186"/>
      <c r="AQ241" s="186"/>
      <c r="AR241" s="186"/>
      <c r="AS241" s="186"/>
      <c r="AT241" s="186"/>
      <c r="AU241" s="186"/>
      <c r="AV241" s="186"/>
      <c r="AW241" s="186"/>
      <c r="AX241" s="186"/>
    </row>
    <row r="242" spans="1:58">
      <c r="B242" s="22"/>
      <c r="C242" s="23"/>
      <c r="E242" s="23"/>
      <c r="F242" s="23"/>
      <c r="G242" s="23"/>
      <c r="H242" s="23"/>
      <c r="I242" s="23"/>
      <c r="J242" s="23"/>
      <c r="K242" s="57"/>
      <c r="L242" s="186"/>
      <c r="M242" s="186"/>
      <c r="N242" s="186"/>
      <c r="O242" s="186"/>
      <c r="P242" s="186"/>
      <c r="Q242" s="186"/>
      <c r="R242" s="186"/>
      <c r="S242" s="186"/>
      <c r="T242" s="186"/>
      <c r="U242" s="186"/>
      <c r="V242" s="186"/>
      <c r="W242" s="186"/>
      <c r="X242" s="186"/>
      <c r="Y242" s="186"/>
      <c r="Z242" s="186"/>
      <c r="AA242" s="186"/>
      <c r="AB242" s="186"/>
      <c r="AC242" s="186"/>
      <c r="AD242" s="186"/>
      <c r="AE242" s="186"/>
      <c r="AF242" s="186"/>
      <c r="AG242" s="186"/>
      <c r="AH242" s="186"/>
      <c r="AI242" s="186"/>
      <c r="AJ242" s="186"/>
      <c r="AK242" s="186"/>
      <c r="AL242" s="186"/>
      <c r="AM242" s="186"/>
      <c r="AN242" s="186"/>
      <c r="AO242" s="186"/>
      <c r="AP242" s="186"/>
      <c r="AQ242" s="186"/>
      <c r="AR242" s="186"/>
      <c r="AS242" s="186"/>
      <c r="AT242" s="186"/>
      <c r="AU242" s="186"/>
      <c r="AV242" s="186"/>
      <c r="AW242" s="186"/>
      <c r="AX242" s="186"/>
    </row>
    <row r="243" spans="1:58">
      <c r="B243" s="22"/>
      <c r="C243" s="23"/>
      <c r="E243" s="23"/>
      <c r="F243" s="23"/>
      <c r="G243" s="23"/>
      <c r="H243" s="23"/>
      <c r="I243" s="23"/>
      <c r="J243" s="23"/>
      <c r="K243" s="57"/>
      <c r="L243" s="186"/>
      <c r="M243" s="186"/>
      <c r="N243" s="186"/>
      <c r="O243" s="186"/>
      <c r="P243" s="186"/>
      <c r="Q243" s="186"/>
      <c r="R243" s="186"/>
      <c r="S243" s="186"/>
      <c r="T243" s="186"/>
      <c r="U243" s="186"/>
      <c r="V243" s="186"/>
      <c r="W243" s="186"/>
      <c r="X243" s="186"/>
      <c r="Y243" s="186"/>
      <c r="Z243" s="186"/>
      <c r="AA243" s="186"/>
      <c r="AB243" s="186"/>
      <c r="AC243" s="186"/>
      <c r="AD243" s="186"/>
      <c r="AE243" s="186"/>
      <c r="AF243" s="186"/>
      <c r="AG243" s="186"/>
      <c r="AH243" s="186"/>
      <c r="AI243" s="186"/>
      <c r="AJ243" s="186"/>
      <c r="AK243" s="186"/>
      <c r="AL243" s="186"/>
      <c r="AM243" s="186"/>
      <c r="AN243" s="186"/>
      <c r="AO243" s="186"/>
      <c r="AP243" s="186"/>
      <c r="AQ243" s="186"/>
      <c r="AR243" s="186"/>
      <c r="AS243" s="186"/>
      <c r="AT243" s="186"/>
      <c r="AU243" s="186"/>
      <c r="AV243" s="186"/>
      <c r="AW243" s="186"/>
      <c r="AX243" s="186"/>
    </row>
    <row r="244" spans="1:58">
      <c r="B244" s="22"/>
      <c r="C244" s="23"/>
      <c r="E244" s="23"/>
      <c r="F244" s="23"/>
      <c r="G244" s="23"/>
      <c r="H244" s="23"/>
      <c r="I244" s="23"/>
      <c r="J244" s="23"/>
      <c r="K244" s="57"/>
      <c r="L244" s="186"/>
      <c r="M244" s="186"/>
      <c r="N244" s="186"/>
      <c r="O244" s="186"/>
      <c r="P244" s="186"/>
      <c r="Q244" s="186"/>
      <c r="R244" s="186"/>
      <c r="S244" s="186"/>
      <c r="T244" s="186"/>
      <c r="U244" s="186"/>
      <c r="V244" s="186"/>
      <c r="W244" s="186"/>
      <c r="X244" s="186"/>
      <c r="Y244" s="186"/>
      <c r="Z244" s="186"/>
      <c r="AA244" s="186"/>
      <c r="AB244" s="186"/>
      <c r="AC244" s="186"/>
      <c r="AD244" s="186"/>
      <c r="AE244" s="186"/>
      <c r="AF244" s="186"/>
      <c r="AG244" s="186"/>
      <c r="AH244" s="186"/>
      <c r="AI244" s="186"/>
      <c r="AJ244" s="186"/>
      <c r="AK244" s="186"/>
      <c r="AL244" s="186"/>
      <c r="AM244" s="186"/>
      <c r="AN244" s="186"/>
      <c r="AO244" s="186"/>
      <c r="AP244" s="186"/>
      <c r="AQ244" s="186"/>
      <c r="AR244" s="186"/>
      <c r="AS244" s="186"/>
      <c r="AT244" s="186"/>
      <c r="AU244" s="186"/>
      <c r="AV244" s="186"/>
      <c r="AW244" s="186"/>
      <c r="AX244" s="186"/>
    </row>
    <row r="245" spans="1:58">
      <c r="B245" s="22"/>
      <c r="C245" s="23"/>
      <c r="E245" s="23"/>
      <c r="F245" s="23"/>
      <c r="G245" s="23"/>
      <c r="H245" s="23"/>
      <c r="I245" s="23"/>
      <c r="J245" s="23"/>
      <c r="K245" s="57"/>
      <c r="L245" s="186"/>
      <c r="M245" s="186"/>
      <c r="N245" s="186"/>
      <c r="O245" s="186"/>
      <c r="P245" s="186"/>
      <c r="Q245" s="186"/>
      <c r="R245" s="186"/>
      <c r="S245" s="186"/>
      <c r="T245" s="186"/>
      <c r="U245" s="186"/>
      <c r="V245" s="186"/>
      <c r="W245" s="186"/>
      <c r="X245" s="186"/>
      <c r="Y245" s="186"/>
      <c r="Z245" s="186"/>
      <c r="AA245" s="186"/>
      <c r="AB245" s="186"/>
      <c r="AC245" s="186"/>
      <c r="AD245" s="186"/>
      <c r="AE245" s="186"/>
      <c r="AF245" s="186"/>
      <c r="AG245" s="186"/>
      <c r="AH245" s="186"/>
      <c r="AI245" s="186"/>
      <c r="AJ245" s="186"/>
      <c r="AK245" s="186"/>
      <c r="AL245" s="186"/>
      <c r="AM245" s="186"/>
      <c r="AN245" s="186"/>
      <c r="AO245" s="186"/>
      <c r="AP245" s="186"/>
      <c r="AQ245" s="186"/>
      <c r="AR245" s="186"/>
      <c r="AS245" s="186"/>
      <c r="AT245" s="186"/>
      <c r="AU245" s="186"/>
      <c r="AV245" s="186"/>
      <c r="AW245" s="186"/>
      <c r="AX245" s="186"/>
    </row>
    <row r="246" spans="1:58">
      <c r="B246" s="22"/>
      <c r="C246" s="23"/>
      <c r="E246" s="23"/>
      <c r="F246" s="23"/>
      <c r="G246" s="23"/>
      <c r="H246" s="23"/>
      <c r="I246" s="23"/>
      <c r="J246" s="23"/>
      <c r="K246" s="57"/>
      <c r="L246" s="186"/>
      <c r="M246" s="186"/>
      <c r="N246" s="186"/>
      <c r="O246" s="186"/>
      <c r="P246" s="186"/>
      <c r="Q246" s="186"/>
      <c r="R246" s="186"/>
      <c r="S246" s="186"/>
      <c r="T246" s="186"/>
      <c r="U246" s="186"/>
      <c r="V246" s="186"/>
      <c r="W246" s="186"/>
      <c r="X246" s="186"/>
      <c r="Y246" s="186"/>
      <c r="Z246" s="186"/>
      <c r="AA246" s="186"/>
      <c r="AB246" s="186"/>
      <c r="AC246" s="186"/>
      <c r="AD246" s="186"/>
      <c r="AE246" s="186"/>
      <c r="AF246" s="186"/>
      <c r="AG246" s="186"/>
      <c r="AH246" s="186"/>
      <c r="AI246" s="186"/>
      <c r="AJ246" s="186"/>
      <c r="AK246" s="186"/>
      <c r="AL246" s="186"/>
      <c r="AM246" s="186"/>
      <c r="AN246" s="186"/>
      <c r="AO246" s="186"/>
      <c r="AP246" s="186"/>
      <c r="AQ246" s="186"/>
      <c r="AR246" s="186"/>
      <c r="AS246" s="186"/>
      <c r="AT246" s="186"/>
      <c r="AU246" s="186"/>
      <c r="AV246" s="186"/>
      <c r="AW246" s="186"/>
      <c r="AX246" s="186"/>
    </row>
    <row r="247" spans="1:58">
      <c r="B247" s="22"/>
      <c r="C247" s="23"/>
      <c r="E247" s="23"/>
      <c r="F247" s="23"/>
      <c r="G247" s="23"/>
      <c r="H247" s="23"/>
      <c r="I247" s="23"/>
      <c r="J247" s="23"/>
      <c r="K247" s="57"/>
      <c r="L247" s="186"/>
      <c r="M247" s="186"/>
      <c r="N247" s="186"/>
      <c r="O247" s="186"/>
      <c r="P247" s="186"/>
      <c r="Q247" s="186"/>
      <c r="R247" s="186"/>
      <c r="S247" s="186"/>
      <c r="T247" s="186"/>
      <c r="U247" s="186"/>
      <c r="V247" s="186"/>
      <c r="W247" s="186"/>
      <c r="X247" s="186"/>
      <c r="Y247" s="186"/>
      <c r="Z247" s="186"/>
      <c r="AA247" s="186"/>
      <c r="AB247" s="186"/>
      <c r="AC247" s="186"/>
      <c r="AD247" s="186"/>
      <c r="AE247" s="186"/>
      <c r="AF247" s="186"/>
      <c r="AG247" s="186"/>
      <c r="AH247" s="186"/>
      <c r="AI247" s="186"/>
      <c r="AJ247" s="186"/>
      <c r="AK247" s="186"/>
      <c r="AL247" s="186"/>
      <c r="AM247" s="186"/>
      <c r="AN247" s="186"/>
      <c r="AO247" s="186"/>
      <c r="AP247" s="186"/>
      <c r="AQ247" s="186"/>
      <c r="AR247" s="186"/>
      <c r="AS247" s="186"/>
      <c r="AT247" s="186"/>
      <c r="AU247" s="186"/>
      <c r="AV247" s="186"/>
      <c r="AW247" s="186"/>
      <c r="AX247" s="186"/>
    </row>
    <row r="248" spans="1:58">
      <c r="A248" s="185" t="s">
        <v>16</v>
      </c>
      <c r="L248" s="185"/>
      <c r="M248" s="40"/>
    </row>
    <row r="249" spans="1:58">
      <c r="A249" s="185" t="s">
        <v>16</v>
      </c>
      <c r="C249" s="185">
        <f>C228</f>
        <v>1</v>
      </c>
      <c r="D249" s="185">
        <v>2012</v>
      </c>
      <c r="E249" s="185">
        <f>E228</f>
        <v>2015</v>
      </c>
      <c r="F249" s="185">
        <v>2017</v>
      </c>
      <c r="G249" s="185">
        <f>G228</f>
        <v>2020</v>
      </c>
      <c r="H249" s="185">
        <f>H228</f>
        <v>2030</v>
      </c>
      <c r="I249" s="185">
        <f t="shared" ref="I249:J249" si="616">I228</f>
        <v>2040</v>
      </c>
      <c r="J249" s="185">
        <f t="shared" si="616"/>
        <v>2050</v>
      </c>
      <c r="K249" s="185">
        <f>J228</f>
        <v>2050</v>
      </c>
      <c r="L249" s="114">
        <f>MATCH(J$259,$D$249:$K$249,$C249)</f>
        <v>1</v>
      </c>
      <c r="M249" s="191">
        <f t="shared" ref="M249:V250" si="617">MATCH(K$232,$D$228:$J$228,$C249)</f>
        <v>1</v>
      </c>
      <c r="N249" s="191">
        <f t="shared" si="617"/>
        <v>1</v>
      </c>
      <c r="O249" s="191">
        <f t="shared" si="617"/>
        <v>2</v>
      </c>
      <c r="P249" s="191">
        <f t="shared" si="617"/>
        <v>2</v>
      </c>
      <c r="Q249" s="191">
        <f t="shared" si="617"/>
        <v>3</v>
      </c>
      <c r="R249" s="191">
        <f t="shared" si="617"/>
        <v>3</v>
      </c>
      <c r="S249" s="191">
        <f t="shared" si="617"/>
        <v>3</v>
      </c>
      <c r="T249" s="191">
        <f t="shared" si="617"/>
        <v>4</v>
      </c>
      <c r="U249" s="191">
        <f t="shared" si="617"/>
        <v>4</v>
      </c>
      <c r="V249" s="191">
        <f t="shared" si="617"/>
        <v>4</v>
      </c>
      <c r="W249" s="191">
        <f t="shared" ref="W249:AF250" si="618">MATCH(U$232,$D$228:$J$228,$C249)</f>
        <v>4</v>
      </c>
      <c r="X249" s="191">
        <f t="shared" si="618"/>
        <v>4</v>
      </c>
      <c r="Y249" s="191">
        <f t="shared" si="618"/>
        <v>4</v>
      </c>
      <c r="Z249" s="191">
        <f t="shared" si="618"/>
        <v>4</v>
      </c>
      <c r="AA249" s="191">
        <f t="shared" si="618"/>
        <v>4</v>
      </c>
      <c r="AB249" s="191">
        <f t="shared" si="618"/>
        <v>4</v>
      </c>
      <c r="AC249" s="191">
        <f t="shared" si="618"/>
        <v>4</v>
      </c>
      <c r="AD249" s="191">
        <f t="shared" si="618"/>
        <v>5</v>
      </c>
      <c r="AE249" s="191">
        <f t="shared" si="618"/>
        <v>5</v>
      </c>
      <c r="AF249" s="191">
        <f t="shared" si="618"/>
        <v>5</v>
      </c>
      <c r="AG249" s="191">
        <f t="shared" ref="AG249:AP250" si="619">MATCH(AE$232,$D$228:$J$228,$C249)</f>
        <v>5</v>
      </c>
      <c r="AH249" s="191">
        <f t="shared" si="619"/>
        <v>5</v>
      </c>
      <c r="AI249" s="191">
        <f t="shared" si="619"/>
        <v>5</v>
      </c>
      <c r="AJ249" s="191">
        <f t="shared" si="619"/>
        <v>5</v>
      </c>
      <c r="AK249" s="191">
        <f t="shared" si="619"/>
        <v>5</v>
      </c>
      <c r="AL249" s="191">
        <f t="shared" si="619"/>
        <v>5</v>
      </c>
      <c r="AM249" s="191">
        <f t="shared" si="619"/>
        <v>5</v>
      </c>
      <c r="AN249" s="191">
        <f t="shared" si="619"/>
        <v>6</v>
      </c>
      <c r="AO249" s="191">
        <f t="shared" si="619"/>
        <v>6</v>
      </c>
      <c r="AP249" s="191">
        <f t="shared" si="619"/>
        <v>6</v>
      </c>
      <c r="AQ249" s="191">
        <f t="shared" ref="AQ249:AR250" si="620">MATCH(AO$232,$D$228:$J$228,$C249)</f>
        <v>6</v>
      </c>
      <c r="AR249" s="191">
        <f t="shared" si="620"/>
        <v>6</v>
      </c>
      <c r="AS249" s="191">
        <f t="shared" ref="AS249:BF250" si="621">MATCH(AQ$259,$D$228:$J$228,$C249)</f>
        <v>6</v>
      </c>
      <c r="AT249" s="191">
        <f t="shared" si="621"/>
        <v>6</v>
      </c>
      <c r="AU249" s="191">
        <f t="shared" si="621"/>
        <v>6</v>
      </c>
      <c r="AV249" s="191">
        <f t="shared" si="621"/>
        <v>6</v>
      </c>
      <c r="AW249" s="191">
        <f t="shared" si="621"/>
        <v>6</v>
      </c>
      <c r="AX249" s="191">
        <f t="shared" si="621"/>
        <v>7</v>
      </c>
      <c r="AY249" s="191">
        <f t="shared" si="621"/>
        <v>7</v>
      </c>
      <c r="AZ249" s="191">
        <f t="shared" si="621"/>
        <v>7</v>
      </c>
      <c r="BA249" s="191">
        <f t="shared" si="621"/>
        <v>7</v>
      </c>
      <c r="BB249" s="191">
        <f t="shared" si="621"/>
        <v>7</v>
      </c>
      <c r="BC249" s="191">
        <f t="shared" si="621"/>
        <v>7</v>
      </c>
      <c r="BD249" s="191">
        <f t="shared" si="621"/>
        <v>7</v>
      </c>
      <c r="BE249" s="191">
        <f t="shared" si="621"/>
        <v>7</v>
      </c>
      <c r="BF249" s="191">
        <f t="shared" si="621"/>
        <v>7</v>
      </c>
    </row>
    <row r="250" spans="1:58">
      <c r="A250" s="185" t="s">
        <v>16</v>
      </c>
      <c r="C250" s="185">
        <f>C229</f>
        <v>0</v>
      </c>
      <c r="D250" s="185">
        <f t="shared" ref="D250:J251" si="622">D229</f>
        <v>2050</v>
      </c>
      <c r="E250" s="185">
        <f t="shared" si="622"/>
        <v>2040</v>
      </c>
      <c r="F250" s="185">
        <f t="shared" si="622"/>
        <v>2030</v>
      </c>
      <c r="G250" s="185">
        <f t="shared" si="622"/>
        <v>2020</v>
      </c>
      <c r="H250" s="185">
        <f t="shared" si="622"/>
        <v>2017</v>
      </c>
      <c r="I250" s="185">
        <f t="shared" si="622"/>
        <v>2015</v>
      </c>
      <c r="J250" s="185">
        <f t="shared" si="622"/>
        <v>2006</v>
      </c>
      <c r="K250" s="185">
        <v>2012</v>
      </c>
      <c r="L250" s="40">
        <f>MATCH(J$259,$D$249:$K$249,$C250)</f>
        <v>1</v>
      </c>
      <c r="M250" s="185" t="e">
        <f t="shared" si="617"/>
        <v>#N/A</v>
      </c>
      <c r="N250" s="185" t="e">
        <f t="shared" si="617"/>
        <v>#N/A</v>
      </c>
      <c r="O250" s="185">
        <f t="shared" si="617"/>
        <v>2</v>
      </c>
      <c r="P250" s="185" t="e">
        <f t="shared" si="617"/>
        <v>#N/A</v>
      </c>
      <c r="Q250" s="185">
        <f t="shared" si="617"/>
        <v>3</v>
      </c>
      <c r="R250" s="185" t="e">
        <f t="shared" si="617"/>
        <v>#N/A</v>
      </c>
      <c r="S250" s="185" t="e">
        <f t="shared" si="617"/>
        <v>#N/A</v>
      </c>
      <c r="T250" s="185">
        <f t="shared" si="617"/>
        <v>4</v>
      </c>
      <c r="U250" s="185" t="e">
        <f t="shared" si="617"/>
        <v>#N/A</v>
      </c>
      <c r="V250" s="185" t="e">
        <f t="shared" si="617"/>
        <v>#N/A</v>
      </c>
      <c r="W250" s="185" t="e">
        <f t="shared" si="618"/>
        <v>#N/A</v>
      </c>
      <c r="X250" s="185" t="e">
        <f t="shared" si="618"/>
        <v>#N/A</v>
      </c>
      <c r="Y250" s="185" t="e">
        <f t="shared" si="618"/>
        <v>#N/A</v>
      </c>
      <c r="Z250" s="185" t="e">
        <f t="shared" si="618"/>
        <v>#N/A</v>
      </c>
      <c r="AA250" s="185" t="e">
        <f t="shared" si="618"/>
        <v>#N/A</v>
      </c>
      <c r="AB250" s="185" t="e">
        <f t="shared" si="618"/>
        <v>#N/A</v>
      </c>
      <c r="AC250" s="185" t="e">
        <f t="shared" si="618"/>
        <v>#N/A</v>
      </c>
      <c r="AD250" s="185">
        <f t="shared" si="618"/>
        <v>5</v>
      </c>
      <c r="AE250" s="185" t="e">
        <f t="shared" si="618"/>
        <v>#N/A</v>
      </c>
      <c r="AF250" s="185" t="e">
        <f t="shared" si="618"/>
        <v>#N/A</v>
      </c>
      <c r="AG250" s="185" t="e">
        <f t="shared" si="619"/>
        <v>#N/A</v>
      </c>
      <c r="AH250" s="185" t="e">
        <f t="shared" si="619"/>
        <v>#N/A</v>
      </c>
      <c r="AI250" s="185" t="e">
        <f t="shared" si="619"/>
        <v>#N/A</v>
      </c>
      <c r="AJ250" s="185" t="e">
        <f t="shared" si="619"/>
        <v>#N/A</v>
      </c>
      <c r="AK250" s="185" t="e">
        <f t="shared" si="619"/>
        <v>#N/A</v>
      </c>
      <c r="AL250" s="185" t="e">
        <f t="shared" si="619"/>
        <v>#N/A</v>
      </c>
      <c r="AM250" s="185" t="e">
        <f t="shared" si="619"/>
        <v>#N/A</v>
      </c>
      <c r="AN250" s="185">
        <f t="shared" si="619"/>
        <v>6</v>
      </c>
      <c r="AO250" s="185" t="e">
        <f t="shared" si="619"/>
        <v>#N/A</v>
      </c>
      <c r="AP250" s="185" t="e">
        <f t="shared" si="619"/>
        <v>#N/A</v>
      </c>
      <c r="AQ250" s="185" t="e">
        <f t="shared" si="620"/>
        <v>#N/A</v>
      </c>
      <c r="AR250" s="185" t="e">
        <f t="shared" si="620"/>
        <v>#N/A</v>
      </c>
      <c r="AS250" s="185" t="e">
        <f t="shared" si="621"/>
        <v>#N/A</v>
      </c>
      <c r="AT250" s="185" t="e">
        <f t="shared" si="621"/>
        <v>#N/A</v>
      </c>
      <c r="AU250" s="185" t="e">
        <f t="shared" si="621"/>
        <v>#N/A</v>
      </c>
      <c r="AV250" s="185" t="e">
        <f t="shared" si="621"/>
        <v>#N/A</v>
      </c>
      <c r="AW250" s="185" t="e">
        <f t="shared" si="621"/>
        <v>#N/A</v>
      </c>
      <c r="AX250" s="185">
        <f t="shared" si="621"/>
        <v>7</v>
      </c>
      <c r="AY250" s="185" t="e">
        <f t="shared" si="621"/>
        <v>#N/A</v>
      </c>
      <c r="AZ250" s="185" t="e">
        <f t="shared" si="621"/>
        <v>#N/A</v>
      </c>
      <c r="BA250" s="185" t="e">
        <f t="shared" si="621"/>
        <v>#N/A</v>
      </c>
      <c r="BB250" s="185" t="e">
        <f t="shared" si="621"/>
        <v>#N/A</v>
      </c>
      <c r="BC250" s="185" t="e">
        <f t="shared" si="621"/>
        <v>#N/A</v>
      </c>
      <c r="BD250" s="185" t="e">
        <f t="shared" si="621"/>
        <v>#N/A</v>
      </c>
      <c r="BE250" s="185" t="e">
        <f t="shared" si="621"/>
        <v>#N/A</v>
      </c>
      <c r="BF250" s="185" t="e">
        <f t="shared" si="621"/>
        <v>#N/A</v>
      </c>
    </row>
    <row r="251" spans="1:58">
      <c r="A251" s="185" t="s">
        <v>16</v>
      </c>
      <c r="C251" s="185">
        <f>C230</f>
        <v>-1</v>
      </c>
      <c r="D251" s="185">
        <f t="shared" si="622"/>
        <v>0</v>
      </c>
      <c r="E251" s="185">
        <f t="shared" si="622"/>
        <v>1</v>
      </c>
      <c r="F251" s="185">
        <v>2</v>
      </c>
      <c r="G251" s="185">
        <v>3</v>
      </c>
      <c r="H251" s="185">
        <v>4</v>
      </c>
      <c r="I251" s="185">
        <v>5</v>
      </c>
      <c r="J251" s="185">
        <v>6</v>
      </c>
      <c r="K251" s="185">
        <v>7</v>
      </c>
      <c r="L251" s="185">
        <f>MATCH(J$259,$D$250:$K$250,$C251)</f>
        <v>6</v>
      </c>
      <c r="M251" s="185">
        <f t="shared" ref="M251:AR251" si="623">MATCH(K$232,$D$229:$J$229,$C251)</f>
        <v>6</v>
      </c>
      <c r="N251" s="185">
        <f t="shared" si="623"/>
        <v>6</v>
      </c>
      <c r="O251" s="185">
        <f t="shared" si="623"/>
        <v>6</v>
      </c>
      <c r="P251" s="185">
        <f t="shared" si="623"/>
        <v>5</v>
      </c>
      <c r="Q251" s="185">
        <f t="shared" si="623"/>
        <v>5</v>
      </c>
      <c r="R251" s="185">
        <f t="shared" si="623"/>
        <v>4</v>
      </c>
      <c r="S251" s="185">
        <f t="shared" si="623"/>
        <v>4</v>
      </c>
      <c r="T251" s="185">
        <f t="shared" si="623"/>
        <v>4</v>
      </c>
      <c r="U251" s="185">
        <f t="shared" si="623"/>
        <v>3</v>
      </c>
      <c r="V251" s="185">
        <f t="shared" si="623"/>
        <v>3</v>
      </c>
      <c r="W251" s="185">
        <f t="shared" si="623"/>
        <v>3</v>
      </c>
      <c r="X251" s="185">
        <f t="shared" si="623"/>
        <v>3</v>
      </c>
      <c r="Y251" s="185">
        <f t="shared" si="623"/>
        <v>3</v>
      </c>
      <c r="Z251" s="185">
        <f t="shared" si="623"/>
        <v>3</v>
      </c>
      <c r="AA251" s="185">
        <f t="shared" si="623"/>
        <v>3</v>
      </c>
      <c r="AB251" s="185">
        <f t="shared" si="623"/>
        <v>3</v>
      </c>
      <c r="AC251" s="185">
        <f t="shared" si="623"/>
        <v>3</v>
      </c>
      <c r="AD251" s="185">
        <f t="shared" si="623"/>
        <v>3</v>
      </c>
      <c r="AE251" s="185">
        <f t="shared" si="623"/>
        <v>2</v>
      </c>
      <c r="AF251" s="185">
        <f t="shared" si="623"/>
        <v>2</v>
      </c>
      <c r="AG251" s="185">
        <f t="shared" si="623"/>
        <v>2</v>
      </c>
      <c r="AH251" s="185">
        <f t="shared" si="623"/>
        <v>2</v>
      </c>
      <c r="AI251" s="185">
        <f t="shared" si="623"/>
        <v>2</v>
      </c>
      <c r="AJ251" s="185">
        <f t="shared" si="623"/>
        <v>2</v>
      </c>
      <c r="AK251" s="185">
        <f t="shared" si="623"/>
        <v>2</v>
      </c>
      <c r="AL251" s="185">
        <f t="shared" si="623"/>
        <v>2</v>
      </c>
      <c r="AM251" s="185">
        <f t="shared" si="623"/>
        <v>2</v>
      </c>
      <c r="AN251" s="185">
        <f t="shared" si="623"/>
        <v>2</v>
      </c>
      <c r="AO251" s="185">
        <f t="shared" si="623"/>
        <v>1</v>
      </c>
      <c r="AP251" s="185">
        <f t="shared" si="623"/>
        <v>1</v>
      </c>
      <c r="AQ251" s="185">
        <f t="shared" si="623"/>
        <v>1</v>
      </c>
      <c r="AR251" s="185">
        <f t="shared" si="623"/>
        <v>1</v>
      </c>
      <c r="AS251" s="185">
        <f t="shared" ref="AS251:BF251" si="624">MATCH(AQ$259,$D$229:$J$229,$C251)</f>
        <v>1</v>
      </c>
      <c r="AT251" s="185">
        <f t="shared" si="624"/>
        <v>1</v>
      </c>
      <c r="AU251" s="185">
        <f t="shared" si="624"/>
        <v>1</v>
      </c>
      <c r="AV251" s="185">
        <f t="shared" si="624"/>
        <v>1</v>
      </c>
      <c r="AW251" s="185">
        <f t="shared" si="624"/>
        <v>1</v>
      </c>
      <c r="AX251" s="185">
        <f t="shared" si="624"/>
        <v>1</v>
      </c>
      <c r="AY251" s="185" t="e">
        <f t="shared" si="624"/>
        <v>#N/A</v>
      </c>
      <c r="AZ251" s="185" t="e">
        <f t="shared" si="624"/>
        <v>#N/A</v>
      </c>
      <c r="BA251" s="185" t="e">
        <f t="shared" si="624"/>
        <v>#N/A</v>
      </c>
      <c r="BB251" s="185" t="e">
        <f t="shared" si="624"/>
        <v>#N/A</v>
      </c>
      <c r="BC251" s="185" t="e">
        <f t="shared" si="624"/>
        <v>#N/A</v>
      </c>
      <c r="BD251" s="185" t="e">
        <f t="shared" si="624"/>
        <v>#N/A</v>
      </c>
      <c r="BE251" s="185" t="e">
        <f t="shared" si="624"/>
        <v>#N/A</v>
      </c>
      <c r="BF251" s="185" t="e">
        <f t="shared" si="624"/>
        <v>#N/A</v>
      </c>
    </row>
    <row r="252" spans="1:58">
      <c r="A252" s="185" t="s">
        <v>16</v>
      </c>
      <c r="L252" s="189">
        <f>IF(ISNA(L249),-1,IF(ISNA(L251),99,IF(ISNA(L250),L249,0)))</f>
        <v>0</v>
      </c>
      <c r="M252" s="189">
        <f>IF(ISNA(M249),-1,IF(ISNA(M251),99,IF(ISNA(M250),M249,0)))</f>
        <v>1</v>
      </c>
      <c r="N252" s="189">
        <f t="shared" ref="N252:BF252" si="625">IF(ISNA(N249),-1,IF(ISNA(N251),99,IF(ISNA(N250),N249,0)))</f>
        <v>1</v>
      </c>
      <c r="O252" s="189">
        <f t="shared" si="625"/>
        <v>0</v>
      </c>
      <c r="P252" s="189">
        <f t="shared" si="625"/>
        <v>2</v>
      </c>
      <c r="Q252" s="189">
        <f t="shared" si="625"/>
        <v>0</v>
      </c>
      <c r="R252" s="189">
        <f t="shared" si="625"/>
        <v>3</v>
      </c>
      <c r="S252" s="189">
        <f t="shared" si="625"/>
        <v>3</v>
      </c>
      <c r="T252" s="189">
        <f t="shared" si="625"/>
        <v>0</v>
      </c>
      <c r="U252" s="189">
        <f t="shared" si="625"/>
        <v>4</v>
      </c>
      <c r="V252" s="189">
        <f t="shared" si="625"/>
        <v>4</v>
      </c>
      <c r="W252" s="189">
        <f t="shared" si="625"/>
        <v>4</v>
      </c>
      <c r="X252" s="189">
        <f t="shared" si="625"/>
        <v>4</v>
      </c>
      <c r="Y252" s="189">
        <f t="shared" si="625"/>
        <v>4</v>
      </c>
      <c r="Z252" s="189">
        <f t="shared" si="625"/>
        <v>4</v>
      </c>
      <c r="AA252" s="189">
        <f t="shared" si="625"/>
        <v>4</v>
      </c>
      <c r="AB252" s="189">
        <f t="shared" si="625"/>
        <v>4</v>
      </c>
      <c r="AC252" s="189">
        <f t="shared" si="625"/>
        <v>4</v>
      </c>
      <c r="AD252" s="189">
        <f t="shared" si="625"/>
        <v>0</v>
      </c>
      <c r="AE252" s="189">
        <f t="shared" si="625"/>
        <v>5</v>
      </c>
      <c r="AF252" s="189">
        <f t="shared" si="625"/>
        <v>5</v>
      </c>
      <c r="AG252" s="189">
        <f t="shared" si="625"/>
        <v>5</v>
      </c>
      <c r="AH252" s="189">
        <f t="shared" si="625"/>
        <v>5</v>
      </c>
      <c r="AI252" s="189">
        <f t="shared" si="625"/>
        <v>5</v>
      </c>
      <c r="AJ252" s="189">
        <f t="shared" si="625"/>
        <v>5</v>
      </c>
      <c r="AK252" s="189">
        <f t="shared" si="625"/>
        <v>5</v>
      </c>
      <c r="AL252" s="189">
        <f t="shared" si="625"/>
        <v>5</v>
      </c>
      <c r="AM252" s="189">
        <f t="shared" si="625"/>
        <v>5</v>
      </c>
      <c r="AN252" s="189">
        <f t="shared" si="625"/>
        <v>0</v>
      </c>
      <c r="AO252" s="189">
        <f t="shared" si="625"/>
        <v>6</v>
      </c>
      <c r="AP252" s="189">
        <f t="shared" si="625"/>
        <v>6</v>
      </c>
      <c r="AQ252" s="189">
        <f t="shared" si="625"/>
        <v>6</v>
      </c>
      <c r="AR252" s="189">
        <f t="shared" si="625"/>
        <v>6</v>
      </c>
      <c r="AS252" s="189">
        <f t="shared" si="625"/>
        <v>6</v>
      </c>
      <c r="AT252" s="189">
        <f t="shared" si="625"/>
        <v>6</v>
      </c>
      <c r="AU252" s="189">
        <f t="shared" si="625"/>
        <v>6</v>
      </c>
      <c r="AV252" s="189">
        <f t="shared" si="625"/>
        <v>6</v>
      </c>
      <c r="AW252" s="189">
        <f t="shared" si="625"/>
        <v>6</v>
      </c>
      <c r="AX252" s="189">
        <f t="shared" si="625"/>
        <v>0</v>
      </c>
      <c r="AY252" s="189">
        <f t="shared" si="625"/>
        <v>99</v>
      </c>
      <c r="AZ252" s="189">
        <f t="shared" si="625"/>
        <v>99</v>
      </c>
      <c r="BA252" s="189">
        <f t="shared" si="625"/>
        <v>99</v>
      </c>
      <c r="BB252" s="189">
        <f t="shared" si="625"/>
        <v>99</v>
      </c>
      <c r="BC252" s="189">
        <f t="shared" si="625"/>
        <v>99</v>
      </c>
      <c r="BD252" s="189">
        <f t="shared" si="625"/>
        <v>99</v>
      </c>
      <c r="BE252" s="189">
        <f t="shared" si="625"/>
        <v>99</v>
      </c>
      <c r="BF252" s="189">
        <f t="shared" si="625"/>
        <v>99</v>
      </c>
    </row>
    <row r="253" spans="1:58">
      <c r="A253" s="185" t="s">
        <v>16</v>
      </c>
      <c r="B253" s="185" t="s">
        <v>275</v>
      </c>
      <c r="C253" s="186" t="s">
        <v>440</v>
      </c>
      <c r="D253" s="109">
        <f t="shared" ref="D253:E255" si="626">E107/E$111</f>
        <v>1.1549875398385373E-2</v>
      </c>
      <c r="E253" s="109">
        <f t="shared" si="626"/>
        <v>1.0019598628971359E-2</v>
      </c>
      <c r="F253" s="109"/>
      <c r="G253" s="109">
        <f>I107/I$111</f>
        <v>1.0150153757376197E-2</v>
      </c>
      <c r="H253" s="109">
        <f t="shared" ref="H253:J255" si="627">K107/K$111</f>
        <v>7.8197560411360275E-3</v>
      </c>
      <c r="I253" s="109">
        <f t="shared" si="627"/>
        <v>5.4093037621503219E-3</v>
      </c>
      <c r="J253" s="109">
        <f t="shared" si="627"/>
        <v>3.7411959972505834E-3</v>
      </c>
      <c r="K253" s="109">
        <f>M107/M$111</f>
        <v>3.7411959972505834E-3</v>
      </c>
      <c r="L253" s="185"/>
      <c r="M253" s="40"/>
      <c r="N253" s="40"/>
      <c r="O253" s="40"/>
      <c r="P253" s="40"/>
      <c r="Q253" s="40"/>
      <c r="R253" s="40"/>
      <c r="S253" s="40"/>
      <c r="T253" s="40"/>
      <c r="U253" s="40"/>
      <c r="V253" s="40"/>
      <c r="W253" s="40"/>
      <c r="X253" s="40"/>
      <c r="Y253" s="40"/>
      <c r="Z253" s="40"/>
      <c r="AA253" s="40"/>
      <c r="AB253" s="40"/>
      <c r="AC253" s="40"/>
      <c r="AD253" s="40"/>
      <c r="AE253" s="40"/>
      <c r="AF253" s="40"/>
      <c r="AG253" s="40"/>
      <c r="AH253" s="40"/>
      <c r="AI253" s="40"/>
      <c r="AJ253" s="40"/>
      <c r="AK253" s="40"/>
      <c r="AL253" s="40"/>
      <c r="AM253" s="40"/>
      <c r="AN253" s="40"/>
      <c r="AO253" s="40"/>
      <c r="AP253" s="40"/>
      <c r="AQ253" s="40"/>
      <c r="AR253" s="40"/>
      <c r="AS253" s="40"/>
      <c r="AT253" s="40"/>
      <c r="AU253" s="40"/>
      <c r="AV253" s="40"/>
      <c r="AW253" s="40"/>
      <c r="AX253" s="40"/>
    </row>
    <row r="254" spans="1:58">
      <c r="A254" s="185" t="s">
        <v>16</v>
      </c>
      <c r="B254" s="185" t="s">
        <v>276</v>
      </c>
      <c r="C254" s="186" t="s">
        <v>440</v>
      </c>
      <c r="D254" s="109">
        <f t="shared" si="626"/>
        <v>0.3844632221246076</v>
      </c>
      <c r="E254" s="109">
        <f t="shared" si="626"/>
        <v>0.36053450857058728</v>
      </c>
      <c r="F254" s="109"/>
      <c r="G254" s="109">
        <f>I108/I$111</f>
        <v>0.40278529394648133</v>
      </c>
      <c r="H254" s="109">
        <f t="shared" si="627"/>
        <v>0.3437748592625145</v>
      </c>
      <c r="I254" s="109">
        <f t="shared" si="627"/>
        <v>0.30346891165432666</v>
      </c>
      <c r="J254" s="109">
        <f t="shared" si="627"/>
        <v>0.27239606036863995</v>
      </c>
      <c r="K254" s="109">
        <f>M108/M$111</f>
        <v>0.27239606036863995</v>
      </c>
      <c r="L254" s="185"/>
      <c r="M254" s="40"/>
      <c r="N254" s="40"/>
      <c r="O254" s="40"/>
      <c r="P254" s="40"/>
      <c r="Q254" s="40"/>
      <c r="R254" s="40"/>
      <c r="S254" s="40"/>
      <c r="T254" s="40"/>
      <c r="U254" s="40"/>
      <c r="V254" s="40"/>
      <c r="W254" s="40"/>
      <c r="X254" s="40"/>
      <c r="Y254" s="40"/>
      <c r="Z254" s="40"/>
      <c r="AA254" s="40"/>
      <c r="AB254" s="40"/>
      <c r="AC254" s="40"/>
      <c r="AD254" s="40"/>
      <c r="AE254" s="40"/>
      <c r="AF254" s="40"/>
      <c r="AG254" s="40"/>
      <c r="AH254" s="40"/>
      <c r="AI254" s="40"/>
      <c r="AJ254" s="40"/>
      <c r="AK254" s="40"/>
      <c r="AL254" s="40"/>
      <c r="AM254" s="40"/>
      <c r="AN254" s="40"/>
      <c r="AO254" s="40"/>
      <c r="AP254" s="40"/>
      <c r="AQ254" s="40"/>
      <c r="AR254" s="40"/>
      <c r="AS254" s="40"/>
      <c r="AT254" s="40"/>
      <c r="AU254" s="40"/>
      <c r="AV254" s="40"/>
      <c r="AW254" s="40"/>
      <c r="AX254" s="40"/>
    </row>
    <row r="255" spans="1:58">
      <c r="A255" s="185" t="s">
        <v>16</v>
      </c>
      <c r="B255" s="185" t="s">
        <v>277</v>
      </c>
      <c r="C255" s="186" t="s">
        <v>440</v>
      </c>
      <c r="D255" s="109">
        <f t="shared" si="626"/>
        <v>0.5288514326728635</v>
      </c>
      <c r="E255" s="109">
        <f t="shared" si="626"/>
        <v>0.55481814651556505</v>
      </c>
      <c r="F255" s="109"/>
      <c r="G255" s="109">
        <f>I109/I$111</f>
        <v>0.5163927306648054</v>
      </c>
      <c r="H255" s="109">
        <f t="shared" si="627"/>
        <v>0.58732693787233559</v>
      </c>
      <c r="I255" s="109">
        <f t="shared" si="627"/>
        <v>0.63732963486365524</v>
      </c>
      <c r="J255" s="109">
        <f t="shared" si="627"/>
        <v>0.67352526661549317</v>
      </c>
      <c r="K255" s="109">
        <f>M109/M$111</f>
        <v>0.67352526661549317</v>
      </c>
      <c r="L255" s="185"/>
      <c r="M255" s="40"/>
      <c r="N255" s="40"/>
      <c r="O255" s="40"/>
      <c r="P255" s="40"/>
      <c r="Q255" s="40"/>
      <c r="R255" s="40"/>
      <c r="S255" s="40"/>
      <c r="T255" s="40"/>
      <c r="U255" s="40"/>
      <c r="V255" s="40"/>
      <c r="W255" s="40"/>
      <c r="X255" s="40"/>
      <c r="Y255" s="40"/>
      <c r="Z255" s="40"/>
      <c r="AA255" s="40"/>
      <c r="AB255" s="40"/>
      <c r="AC255" s="40"/>
      <c r="AD255" s="40"/>
      <c r="AE255" s="40"/>
      <c r="AF255" s="40"/>
      <c r="AG255" s="40"/>
      <c r="AH255" s="40"/>
      <c r="AI255" s="40"/>
      <c r="AJ255" s="40"/>
      <c r="AK255" s="40"/>
      <c r="AL255" s="40"/>
      <c r="AM255" s="40"/>
      <c r="AN255" s="40"/>
      <c r="AO255" s="40"/>
      <c r="AP255" s="40"/>
      <c r="AQ255" s="40"/>
      <c r="AR255" s="40"/>
      <c r="AS255" s="40"/>
      <c r="AT255" s="40"/>
      <c r="AU255" s="40"/>
      <c r="AV255" s="40"/>
      <c r="AW255" s="40"/>
      <c r="AX255" s="40"/>
    </row>
    <row r="256" spans="1:58">
      <c r="A256" s="185" t="s">
        <v>16</v>
      </c>
      <c r="B256" s="185" t="str">
        <f>B253</f>
        <v>hhd-le</v>
      </c>
      <c r="C256" s="186" t="s">
        <v>439</v>
      </c>
      <c r="D256" s="109">
        <f t="shared" ref="D256:E256" si="628">SUM(E115:E117)/SUM(E$127:E$129)</f>
        <v>0.62362325125617091</v>
      </c>
      <c r="E256" s="109">
        <f t="shared" si="628"/>
        <v>0.58283520392321231</v>
      </c>
      <c r="F256" s="109"/>
      <c r="G256" s="109">
        <f>SUM(I115:I117)/SUM(I$127:I$129)</f>
        <v>0.57246643926951579</v>
      </c>
      <c r="H256" s="109">
        <f>SUM(K115:K117)/SUM(K$127:K$129)</f>
        <v>0.53049425209004064</v>
      </c>
      <c r="I256" s="109">
        <f>SUM(L115:L117)/SUM(L$127:L$129)</f>
        <v>0.46634254074247544</v>
      </c>
      <c r="J256" s="109">
        <f>SUM(M115:M117)/SUM(M$127:M$129)</f>
        <v>0.40030731437943257</v>
      </c>
      <c r="K256" s="109">
        <f>SUM(M115:M117)/SUM(M$127:M$129)</f>
        <v>0.40030731437943257</v>
      </c>
      <c r="L256" s="185"/>
      <c r="M256" s="40"/>
      <c r="N256" s="40"/>
      <c r="O256" s="40"/>
      <c r="P256" s="40"/>
      <c r="Q256" s="40"/>
      <c r="R256" s="40"/>
      <c r="S256" s="40"/>
      <c r="T256" s="40"/>
      <c r="U256" s="40"/>
      <c r="V256" s="40"/>
      <c r="W256" s="40"/>
      <c r="X256" s="40"/>
      <c r="Y256" s="40"/>
      <c r="Z256" s="40"/>
      <c r="AA256" s="40"/>
      <c r="AB256" s="40"/>
      <c r="AC256" s="40"/>
      <c r="AD256" s="40"/>
      <c r="AE256" s="40"/>
      <c r="AF256" s="40"/>
      <c r="AG256" s="40"/>
      <c r="AH256" s="40"/>
      <c r="AI256" s="40"/>
      <c r="AJ256" s="40"/>
      <c r="AK256" s="40"/>
      <c r="AL256" s="40"/>
      <c r="AM256" s="40"/>
      <c r="AN256" s="40"/>
      <c r="AO256" s="40"/>
      <c r="AP256" s="40"/>
      <c r="AQ256" s="40"/>
      <c r="AR256" s="40"/>
      <c r="AS256" s="40"/>
      <c r="AT256" s="40"/>
      <c r="AU256" s="40"/>
      <c r="AV256" s="40"/>
      <c r="AW256" s="40"/>
      <c r="AX256" s="40"/>
    </row>
    <row r="257" spans="1:56">
      <c r="A257" s="185" t="s">
        <v>16</v>
      </c>
      <c r="B257" s="185" t="str">
        <f>B254</f>
        <v>hhd-me</v>
      </c>
      <c r="C257" s="186" t="s">
        <v>439</v>
      </c>
      <c r="D257" s="109">
        <f t="shared" ref="D257:E257" si="629">SUM(E119:E121)/SUM(E$127:E$129)</f>
        <v>0.27049531864175524</v>
      </c>
      <c r="E257" s="109">
        <f t="shared" si="629"/>
        <v>0.28312327008832416</v>
      </c>
      <c r="F257" s="109"/>
      <c r="G257" s="109">
        <f>SUM(I119:I121)/SUM(I$127:I$129)</f>
        <v>0.30640964377189656</v>
      </c>
      <c r="H257" s="109">
        <f>SUM(K119:K121)/SUM(K$127:K$129)</f>
        <v>0.31741019397586784</v>
      </c>
      <c r="I257" s="109">
        <f>SUM(L119:L121)/SUM(L$127:L$129)</f>
        <v>0.35985243578432607</v>
      </c>
      <c r="J257" s="109">
        <f>SUM(M119:M121)/SUM(M$127:M$129)</f>
        <v>0.40484002884788461</v>
      </c>
      <c r="K257" s="109">
        <f>SUM(M119:M121)/SUM(M$127:M$129)</f>
        <v>0.40484002884788461</v>
      </c>
      <c r="L257" s="185"/>
      <c r="M257" s="40"/>
      <c r="N257" s="40"/>
      <c r="O257" s="40"/>
      <c r="P257" s="40"/>
      <c r="Q257" s="40"/>
      <c r="R257" s="40"/>
      <c r="S257" s="40"/>
      <c r="T257" s="40"/>
      <c r="U257" s="40"/>
      <c r="V257" s="40"/>
      <c r="W257" s="40"/>
      <c r="X257" s="40"/>
      <c r="Y257" s="40"/>
      <c r="Z257" s="40"/>
      <c r="AA257" s="40"/>
      <c r="AB257" s="40"/>
      <c r="AC257" s="40"/>
      <c r="AD257" s="40"/>
      <c r="AE257" s="40"/>
      <c r="AF257" s="40"/>
      <c r="AG257" s="40"/>
      <c r="AH257" s="40"/>
      <c r="AI257" s="40"/>
      <c r="AJ257" s="40"/>
      <c r="AK257" s="40"/>
      <c r="AL257" s="40"/>
      <c r="AM257" s="40"/>
      <c r="AN257" s="40"/>
      <c r="AO257" s="40"/>
      <c r="AP257" s="40"/>
      <c r="AQ257" s="40"/>
      <c r="AR257" s="40"/>
      <c r="AS257" s="40"/>
      <c r="AT257" s="40"/>
      <c r="AU257" s="40"/>
      <c r="AV257" s="40"/>
      <c r="AW257" s="40"/>
      <c r="AX257" s="40"/>
    </row>
    <row r="258" spans="1:56">
      <c r="A258" s="185" t="s">
        <v>16</v>
      </c>
      <c r="B258" s="185" t="str">
        <f>B255</f>
        <v>hhd-he</v>
      </c>
      <c r="C258" s="186" t="s">
        <v>439</v>
      </c>
      <c r="D258" s="109">
        <f t="shared" ref="D258:E258" si="630">SUM(E123:E125)/SUM(E$127:E$129)</f>
        <v>0.1058814301020739</v>
      </c>
      <c r="E258" s="109">
        <f t="shared" si="630"/>
        <v>0.13404152598846353</v>
      </c>
      <c r="F258" s="109"/>
      <c r="G258" s="109">
        <f>SUM(I123:I125)/SUM(I$127:I$129)</f>
        <v>0.12112391695858761</v>
      </c>
      <c r="H258" s="109">
        <f>SUM(K123:K125)/SUM(K$127:K$129)</f>
        <v>0.15209555393409141</v>
      </c>
      <c r="I258" s="109">
        <f>SUM(L123:L125)/SUM(L$127:L$129)</f>
        <v>0.17380502347319846</v>
      </c>
      <c r="J258" s="109">
        <f>SUM(M123:M125)/SUM(M$127:M$129)</f>
        <v>0.19485265677268279</v>
      </c>
      <c r="K258" s="109">
        <f>SUM(M123:M125)/SUM(M$127:M$129)</f>
        <v>0.19485265677268279</v>
      </c>
      <c r="L258" s="185"/>
      <c r="M258" s="40"/>
      <c r="N258" s="40"/>
      <c r="O258" s="40"/>
      <c r="P258" s="40"/>
      <c r="Q258" s="40"/>
      <c r="R258" s="40"/>
      <c r="S258" s="40"/>
      <c r="T258" s="40"/>
      <c r="U258" s="40"/>
      <c r="V258" s="40"/>
      <c r="W258" s="40"/>
      <c r="X258" s="40"/>
      <c r="Y258" s="40"/>
      <c r="Z258" s="40"/>
      <c r="AA258" s="40"/>
      <c r="AB258" s="40"/>
      <c r="AC258" s="40"/>
      <c r="AD258" s="40"/>
      <c r="AE258" s="40"/>
      <c r="AF258" s="40"/>
      <c r="AG258" s="40"/>
      <c r="AH258" s="40"/>
      <c r="AI258" s="40"/>
      <c r="AJ258" s="40"/>
      <c r="AK258" s="40"/>
      <c r="AL258" s="40"/>
      <c r="AM258" s="40"/>
      <c r="AN258" s="40"/>
      <c r="AO258" s="40"/>
      <c r="AP258" s="40"/>
      <c r="AQ258" s="40"/>
      <c r="AR258" s="40"/>
      <c r="AS258" s="40"/>
      <c r="AT258" s="40"/>
      <c r="AU258" s="40"/>
      <c r="AV258" s="40"/>
      <c r="AW258" s="40"/>
      <c r="AX258" s="40"/>
    </row>
    <row r="259" spans="1:56">
      <c r="A259" s="185" t="s">
        <v>16</v>
      </c>
      <c r="G259" s="5" t="s">
        <v>438</v>
      </c>
      <c r="J259" s="185">
        <f t="shared" ref="J259:AR259" si="631">J232</f>
        <v>2012</v>
      </c>
      <c r="K259" s="185">
        <f t="shared" si="631"/>
        <v>2013</v>
      </c>
      <c r="L259" s="185">
        <f t="shared" si="631"/>
        <v>2014</v>
      </c>
      <c r="M259" s="185">
        <f t="shared" si="631"/>
        <v>2015</v>
      </c>
      <c r="N259" s="185">
        <f t="shared" si="631"/>
        <v>2016</v>
      </c>
      <c r="O259" s="185">
        <f t="shared" si="631"/>
        <v>2017</v>
      </c>
      <c r="P259" s="185">
        <f t="shared" si="631"/>
        <v>2018</v>
      </c>
      <c r="Q259" s="185">
        <f t="shared" si="631"/>
        <v>2019</v>
      </c>
      <c r="R259" s="185">
        <f t="shared" si="631"/>
        <v>2020</v>
      </c>
      <c r="S259" s="185">
        <f t="shared" si="631"/>
        <v>2021</v>
      </c>
      <c r="T259" s="185">
        <f t="shared" si="631"/>
        <v>2022</v>
      </c>
      <c r="U259" s="185">
        <f t="shared" si="631"/>
        <v>2023</v>
      </c>
      <c r="V259" s="185">
        <f t="shared" si="631"/>
        <v>2024</v>
      </c>
      <c r="W259" s="185">
        <f t="shared" si="631"/>
        <v>2025</v>
      </c>
      <c r="X259" s="185">
        <f t="shared" si="631"/>
        <v>2026</v>
      </c>
      <c r="Y259" s="185">
        <f t="shared" si="631"/>
        <v>2027</v>
      </c>
      <c r="Z259" s="185">
        <f t="shared" si="631"/>
        <v>2028</v>
      </c>
      <c r="AA259" s="185">
        <f t="shared" si="631"/>
        <v>2029</v>
      </c>
      <c r="AB259" s="185">
        <f t="shared" si="631"/>
        <v>2030</v>
      </c>
      <c r="AC259" s="185">
        <f t="shared" si="631"/>
        <v>2031</v>
      </c>
      <c r="AD259" s="185">
        <f t="shared" si="631"/>
        <v>2032</v>
      </c>
      <c r="AE259" s="185">
        <f t="shared" si="631"/>
        <v>2033</v>
      </c>
      <c r="AF259" s="185">
        <f t="shared" si="631"/>
        <v>2034</v>
      </c>
      <c r="AG259" s="185">
        <f t="shared" si="631"/>
        <v>2035</v>
      </c>
      <c r="AH259" s="185">
        <f t="shared" si="631"/>
        <v>2036</v>
      </c>
      <c r="AI259" s="185">
        <f t="shared" si="631"/>
        <v>2037</v>
      </c>
      <c r="AJ259" s="185">
        <f t="shared" si="631"/>
        <v>2038</v>
      </c>
      <c r="AK259" s="185">
        <f t="shared" si="631"/>
        <v>2039</v>
      </c>
      <c r="AL259" s="185">
        <f t="shared" si="631"/>
        <v>2040</v>
      </c>
      <c r="AM259" s="185">
        <f t="shared" si="631"/>
        <v>2041</v>
      </c>
      <c r="AN259" s="185">
        <f t="shared" si="631"/>
        <v>2042</v>
      </c>
      <c r="AO259" s="185">
        <f t="shared" si="631"/>
        <v>2043</v>
      </c>
      <c r="AP259" s="185">
        <f t="shared" si="631"/>
        <v>2044</v>
      </c>
      <c r="AQ259" s="185">
        <f t="shared" si="631"/>
        <v>2045</v>
      </c>
      <c r="AR259" s="185">
        <f t="shared" si="631"/>
        <v>2046</v>
      </c>
      <c r="AS259" s="185">
        <f>AR259+1</f>
        <v>2047</v>
      </c>
      <c r="AT259" s="185">
        <f t="shared" ref="AT259:BB259" si="632">AS259+1</f>
        <v>2048</v>
      </c>
      <c r="AU259" s="185">
        <f t="shared" si="632"/>
        <v>2049</v>
      </c>
      <c r="AV259" s="185">
        <f t="shared" si="632"/>
        <v>2050</v>
      </c>
      <c r="AW259" s="185">
        <f t="shared" si="632"/>
        <v>2051</v>
      </c>
      <c r="AX259" s="185">
        <f t="shared" si="632"/>
        <v>2052</v>
      </c>
      <c r="AY259" s="185">
        <f t="shared" si="632"/>
        <v>2053</v>
      </c>
      <c r="AZ259" s="185">
        <f t="shared" si="632"/>
        <v>2054</v>
      </c>
      <c r="BA259" s="185">
        <f t="shared" si="632"/>
        <v>2055</v>
      </c>
      <c r="BB259" s="185">
        <f t="shared" si="632"/>
        <v>2056</v>
      </c>
      <c r="BC259" s="185">
        <v>2060</v>
      </c>
      <c r="BD259" s="185">
        <v>2070</v>
      </c>
    </row>
    <row r="260" spans="1:56">
      <c r="A260" s="185" t="s">
        <v>16</v>
      </c>
      <c r="E260" s="185" t="s">
        <v>441</v>
      </c>
      <c r="F260" s="185" t="s">
        <v>441</v>
      </c>
      <c r="G260" s="185" t="s">
        <v>435</v>
      </c>
      <c r="H260" s="186" t="s">
        <v>440</v>
      </c>
      <c r="I260" s="185" t="s">
        <v>275</v>
      </c>
      <c r="J260" s="186">
        <f t="shared" ref="J260:J265" si="633">D253</f>
        <v>1.1549875398385373E-2</v>
      </c>
      <c r="K260" s="186" cm="1">
        <f t="array" ref="K260">IF(M$252=-1,L260,IF(M$252=99,J260,IF(M$252=0,INDEX($D253:$K253,0,M$250),(INDEX($D253:$K253,0,M$252+1)-INDEX($D253:$K253,0,M$252))/(INDEX($D$249:$K$249,0,M$252+1)-INDEX($D$249:$K$249,0,M$252))+J260)))</f>
        <v>1.1039783141914035E-2</v>
      </c>
      <c r="L260" s="186" cm="1">
        <f t="array" ref="L260">IF(N$252=-1,M260,IF(N$252=99,K260,IF(N$252=0,INDEX($D253:$K253,0,N$250),(INDEX($D253:$K253,0,N$252+1)-INDEX($D253:$K253,0,N$252))/(INDEX($D$249:$K$249,0,N$252+1)-INDEX($D$249:$K$249,0,N$252))+K260)))</f>
        <v>1.0529690885442698E-2</v>
      </c>
      <c r="M260" s="186" cm="1">
        <f t="array" ref="M260">IF(O$252=-1,N260,IF(O$252=99,L260,IF(O$252=0,INDEX($D253:$K253,0,O$250),(INDEX($D253:$K253,0,O$252+1)-INDEX($D253:$K253,0,O$252))/(INDEX($D$249:$K$249,0,O$252+1)-INDEX($D$249:$K$249,0,O$252))+L260)))</f>
        <v>1.0019598628971359E-2</v>
      </c>
      <c r="N260" s="186" cm="1">
        <f t="array" ref="N260">IF(P$252=-1,O260,IF(P$252=99,M260,IF(P$252=0,INDEX($D253:$K253,0,P$250),(INDEX($D253:$K253,0,P$252+1)-INDEX($D253:$K253,0,P$252))/(INDEX($D$249:$K$249,0,P$252+1)-INDEX($D$249:$K$249,0,P$252))+M260)))</f>
        <v>5.0097993144856794E-3</v>
      </c>
      <c r="O260" s="186" cm="1">
        <f t="array" ref="O260">IF(Q$252=-1,P260,IF(Q$252=99,N260,IF(Q$252=0,INDEX($D253:$K253,0,Q$250),(INDEX($D253:$K253,0,Q$252+1)-INDEX($D253:$K253,0,Q$252))/(INDEX($D$249:$K$249,0,Q$252+1)-INDEX($D$249:$K$249,0,Q$252))+N260)))</f>
        <v>0</v>
      </c>
      <c r="P260" s="186" cm="1">
        <f t="array" ref="P260">IF(R$252=-1,Q260,IF(R$252=99,O260,IF(R$252=0,INDEX($D253:$K253,0,R$250),(INDEX($D253:$K253,0,R$252+1)-INDEX($D253:$K253,0,R$252))/(INDEX($D$249:$K$249,0,R$252+1)-INDEX($D$249:$K$249,0,R$252))+O260)))</f>
        <v>3.3833845857920656E-3</v>
      </c>
      <c r="Q260" s="186" cm="1">
        <f t="array" ref="Q260">IF(S$252=-1,R260,IF(S$252=99,P260,IF(S$252=0,INDEX($D253:$K253,0,S$250),(INDEX($D253:$K253,0,S$252+1)-INDEX($D253:$K253,0,S$252))/(INDEX($D$249:$K$249,0,S$252+1)-INDEX($D$249:$K$249,0,S$252))+P260)))</f>
        <v>6.7667691715841312E-3</v>
      </c>
      <c r="R260" s="186" cm="1">
        <f t="array" ref="R260">IF(T$252=-1,S260,IF(T$252=99,Q260,IF(T$252=0,INDEX($D253:$K253,0,T$250),(INDEX($D253:$K253,0,T$252+1)-INDEX($D253:$K253,0,T$252))/(INDEX($D$249:$K$249,0,T$252+1)-INDEX($D$249:$K$249,0,T$252))+Q260)))</f>
        <v>1.0150153757376197E-2</v>
      </c>
      <c r="S260" s="186" cm="1">
        <f t="array" ref="S260">IF(U$252=-1,T260,IF(U$252=99,R260,IF(U$252=0,INDEX($D253:$K253,0,U$250),(INDEX($D253:$K253,0,U$252+1)-INDEX($D253:$K253,0,U$252))/(INDEX($D$249:$K$249,0,U$252+1)-INDEX($D$249:$K$249,0,U$252))+R260)))</f>
        <v>9.9171139857521795E-3</v>
      </c>
      <c r="T260" s="186" cm="1">
        <f t="array" ref="T260">IF(V$252=-1,U260,IF(V$252=99,S260,IF(V$252=0,INDEX($D253:$K253,0,V$250),(INDEX($D253:$K253,0,V$252+1)-INDEX($D253:$K253,0,V$252))/(INDEX($D$249:$K$249,0,V$252+1)-INDEX($D$249:$K$249,0,V$252))+S260)))</f>
        <v>9.6840742141281622E-3</v>
      </c>
      <c r="U260" s="186" cm="1">
        <f t="array" ref="U260">IF(W$252=-1,V260,IF(W$252=99,T260,IF(W$252=0,INDEX($D253:$K253,0,W$250),(INDEX($D253:$K253,0,W$252+1)-INDEX($D253:$K253,0,W$252))/(INDEX($D$249:$K$249,0,W$252+1)-INDEX($D$249:$K$249,0,W$252))+T260)))</f>
        <v>9.451034442504145E-3</v>
      </c>
      <c r="V260" s="186" cm="1">
        <f t="array" ref="V260">IF(X$252=-1,W260,IF(X$252=99,U260,IF(X$252=0,INDEX($D253:$K253,0,X$250),(INDEX($D253:$K253,0,X$252+1)-INDEX($D253:$K253,0,X$252))/(INDEX($D$249:$K$249,0,X$252+1)-INDEX($D$249:$K$249,0,X$252))+U260)))</f>
        <v>9.2179946708801277E-3</v>
      </c>
      <c r="W260" s="186" cm="1">
        <f t="array" ref="W260">IF(Y$252=-1,X260,IF(Y$252=99,V260,IF(Y$252=0,INDEX($D253:$K253,0,Y$250),(INDEX($D253:$K253,0,Y$252+1)-INDEX($D253:$K253,0,Y$252))/(INDEX($D$249:$K$249,0,Y$252+1)-INDEX($D$249:$K$249,0,Y$252))+V260)))</f>
        <v>8.9849548992561104E-3</v>
      </c>
      <c r="X260" s="186" cm="1">
        <f t="array" ref="X260">IF(Z$252=-1,Y260,IF(Z$252=99,W260,IF(Z$252=0,INDEX($D253:$K253,0,Z$250),(INDEX($D253:$K253,0,Z$252+1)-INDEX($D253:$K253,0,Z$252))/(INDEX($D$249:$K$249,0,Z$252+1)-INDEX($D$249:$K$249,0,Z$252))+W260)))</f>
        <v>8.7519151276320931E-3</v>
      </c>
      <c r="Y260" s="186" cm="1">
        <f t="array" ref="Y260">IF(AA$252=-1,Z260,IF(AA$252=99,X260,IF(AA$252=0,INDEX($D253:$K253,0,AA$250),(INDEX($D253:$K253,0,AA$252+1)-INDEX($D253:$K253,0,AA$252))/(INDEX($D$249:$K$249,0,AA$252+1)-INDEX($D$249:$K$249,0,AA$252))+X260)))</f>
        <v>8.5188753560080759E-3</v>
      </c>
      <c r="Z260" s="186" cm="1">
        <f t="array" ref="Z260">IF(AB$252=-1,AA260,IF(AB$252=99,Y260,IF(AB$252=0,INDEX($D253:$K253,0,AB$250),(INDEX($D253:$K253,0,AB$252+1)-INDEX($D253:$K253,0,AB$252))/(INDEX($D$249:$K$249,0,AB$252+1)-INDEX($D$249:$K$249,0,AB$252))+Y260)))</f>
        <v>8.2858355843840586E-3</v>
      </c>
      <c r="AA260" s="186" cm="1">
        <f t="array" ref="AA260">IF(AC$252=-1,AB260,IF(AC$252=99,Z260,IF(AC$252=0,INDEX($D253:$K253,0,AC$250),(INDEX($D253:$K253,0,AC$252+1)-INDEX($D253:$K253,0,AC$252))/(INDEX($D$249:$K$249,0,AC$252+1)-INDEX($D$249:$K$249,0,AC$252))+Z260)))</f>
        <v>8.0527958127600413E-3</v>
      </c>
      <c r="AB260" s="186" cm="1">
        <f t="array" ref="AB260">IF(AD$252=-1,AC260,IF(AD$252=99,AA260,IF(AD$252=0,INDEX($D253:$K253,0,AD$250),(INDEX($D253:$K253,0,AD$252+1)-INDEX($D253:$K253,0,AD$252))/(INDEX($D$249:$K$249,0,AD$252+1)-INDEX($D$249:$K$249,0,AD$252))+AA260)))</f>
        <v>7.8197560411360275E-3</v>
      </c>
      <c r="AC260" s="186" cm="1">
        <f t="array" ref="AC260">IF(AE$252=-1,AD260,IF(AE$252=99,AB260,IF(AE$252=0,INDEX($D253:$K253,0,AE$250),(INDEX($D253:$K253,0,AE$252+1)-INDEX($D253:$K253,0,AE$252))/(INDEX($D$249:$K$249,0,AE$252+1)-INDEX($D$249:$K$249,0,AE$252))+AB260)))</f>
        <v>7.5787108132374572E-3</v>
      </c>
      <c r="AD260" s="186" cm="1">
        <f t="array" ref="AD260">IF(AF$252=-1,AE260,IF(AF$252=99,AC260,IF(AF$252=0,INDEX($D253:$K253,0,AF$250),(INDEX($D253:$K253,0,AF$252+1)-INDEX($D253:$K253,0,AF$252))/(INDEX($D$249:$K$249,0,AF$252+1)-INDEX($D$249:$K$249,0,AF$252))+AC260)))</f>
        <v>7.3376655853388869E-3</v>
      </c>
      <c r="AE260" s="186" cm="1">
        <f t="array" ref="AE260">IF(AG$252=-1,AF260,IF(AG$252=99,AD260,IF(AG$252=0,INDEX($D253:$K253,0,AG$250),(INDEX($D253:$K253,0,AG$252+1)-INDEX($D253:$K253,0,AG$252))/(INDEX($D$249:$K$249,0,AG$252+1)-INDEX($D$249:$K$249,0,AG$252))+AD260)))</f>
        <v>7.0966203574403166E-3</v>
      </c>
      <c r="AF260" s="186" cm="1">
        <f t="array" ref="AF260">IF(AH$252=-1,AG260,IF(AH$252=99,AE260,IF(AH$252=0,INDEX($D253:$K253,0,AH$250),(INDEX($D253:$K253,0,AH$252+1)-INDEX($D253:$K253,0,AH$252))/(INDEX($D$249:$K$249,0,AH$252+1)-INDEX($D$249:$K$249,0,AH$252))+AE260)))</f>
        <v>6.8555751295417463E-3</v>
      </c>
      <c r="AG260" s="186" cm="1">
        <f t="array" ref="AG260">IF(AI$252=-1,AH260,IF(AI$252=99,AF260,IF(AI$252=0,INDEX($D253:$K253,0,AI$250),(INDEX($D253:$K253,0,AI$252+1)-INDEX($D253:$K253,0,AI$252))/(INDEX($D$249:$K$249,0,AI$252+1)-INDEX($D$249:$K$249,0,AI$252))+AF260)))</f>
        <v>6.614529901643176E-3</v>
      </c>
      <c r="AH260" s="186" cm="1">
        <f t="array" ref="AH260">IF(AJ$252=-1,AI260,IF(AJ$252=99,AG260,IF(AJ$252=0,INDEX($D253:$K253,0,AJ$250),(INDEX($D253:$K253,0,AJ$252+1)-INDEX($D253:$K253,0,AJ$252))/(INDEX($D$249:$K$249,0,AJ$252+1)-INDEX($D$249:$K$249,0,AJ$252))+AG260)))</f>
        <v>6.3734846737446057E-3</v>
      </c>
      <c r="AI260" s="186" cm="1">
        <f t="array" ref="AI260">IF(AK$252=-1,AJ260,IF(AK$252=99,AH260,IF(AK$252=0,INDEX($D253:$K253,0,AK$250),(INDEX($D253:$K253,0,AK$252+1)-INDEX($D253:$K253,0,AK$252))/(INDEX($D$249:$K$249,0,AK$252+1)-INDEX($D$249:$K$249,0,AK$252))+AH260)))</f>
        <v>6.1324394458460354E-3</v>
      </c>
      <c r="AJ260" s="186" cm="1">
        <f t="array" ref="AJ260">IF(AL$252=-1,AK260,IF(AL$252=99,AI260,IF(AL$252=0,INDEX($D253:$K253,0,AL$250),(INDEX($D253:$K253,0,AL$252+1)-INDEX($D253:$K253,0,AL$252))/(INDEX($D$249:$K$249,0,AL$252+1)-INDEX($D$249:$K$249,0,AL$252))+AI260)))</f>
        <v>5.8913942179474651E-3</v>
      </c>
      <c r="AK260" s="186" cm="1">
        <f t="array" ref="AK260">IF(AM$252=-1,AL260,IF(AM$252=99,AJ260,IF(AM$252=0,INDEX($D253:$K253,0,AM$250),(INDEX($D253:$K253,0,AM$252+1)-INDEX($D253:$K253,0,AM$252))/(INDEX($D$249:$K$249,0,AM$252+1)-INDEX($D$249:$K$249,0,AM$252))+AJ260)))</f>
        <v>5.6503489900488948E-3</v>
      </c>
      <c r="AL260" s="186" cm="1">
        <f t="array" ref="AL260">IF(AN$252=-1,AM260,IF(AN$252=99,AK260,IF(AN$252=0,INDEX($D253:$K253,0,AN$250),(INDEX($D253:$K253,0,AN$252+1)-INDEX($D253:$K253,0,AN$252))/(INDEX($D$249:$K$249,0,AN$252+1)-INDEX($D$249:$K$249,0,AN$252))+AK260)))</f>
        <v>5.4093037621503219E-3</v>
      </c>
      <c r="AM260" s="186" cm="1">
        <f t="array" ref="AM260">IF(AO$252=-1,AN260,IF(AO$252=99,AL260,IF(AO$252=0,INDEX($D253:$K253,0,AO$250),(INDEX($D253:$K253,0,AO$252+1)-INDEX($D253:$K253,0,AO$252))/(INDEX($D$249:$K$249,0,AO$252+1)-INDEX($D$249:$K$249,0,AO$252))+AL260)))</f>
        <v>5.2424929856603481E-3</v>
      </c>
      <c r="AN260" s="186" cm="1">
        <f t="array" ref="AN260">IF(AP$252=-1,AO260,IF(AP$252=99,AM260,IF(AP$252=0,INDEX($D253:$K253,0,AP$250),(INDEX($D253:$K253,0,AP$252+1)-INDEX($D253:$K253,0,AP$252))/(INDEX($D$249:$K$249,0,AP$252+1)-INDEX($D$249:$K$249,0,AP$252))+AM260)))</f>
        <v>5.0756822091703744E-3</v>
      </c>
      <c r="AO260" s="186" cm="1">
        <f t="array" ref="AO260">IF(AQ$252=-1,AP260,IF(AQ$252=99,AN260,IF(AQ$252=0,INDEX($D253:$K253,0,AQ$250),(INDEX($D253:$K253,0,AQ$252+1)-INDEX($D253:$K253,0,AQ$252))/(INDEX($D$249:$K$249,0,AQ$252+1)-INDEX($D$249:$K$249,0,AQ$252))+AN260)))</f>
        <v>4.9088714326804006E-3</v>
      </c>
      <c r="AP260" s="186" cm="1">
        <f t="array" ref="AP260">IF(AR$252=-1,AQ260,IF(AR$252=99,AO260,IF(AR$252=0,INDEX($D253:$K253,0,AR$250),(INDEX($D253:$K253,0,AR$252+1)-INDEX($D253:$K253,0,AR$252))/(INDEX($D$249:$K$249,0,AR$252+1)-INDEX($D$249:$K$249,0,AR$252))+AO260)))</f>
        <v>4.7420606561904268E-3</v>
      </c>
      <c r="AQ260" s="186" cm="1">
        <f t="array" ref="AQ260">IF(AS$252=-1,AR260,IF(AS$252=99,AP260,IF(AS$252=0,INDEX($D253:$K253,0,AS$250),(INDEX($D253:$K253,0,AS$252+1)-INDEX($D253:$K253,0,AS$252))/(INDEX($D$249:$K$249,0,AS$252+1)-INDEX($D$249:$K$249,0,AS$252))+AP260)))</f>
        <v>4.5752498797004531E-3</v>
      </c>
      <c r="AR260" s="186" cm="1">
        <f t="array" ref="AR260">IF(AT$252=-1,AW260,IF(AT$252=99,AQ260,IF(AT$252=0,INDEX($D253:$K253,0,AT$250),(INDEX($D253:$K253,0,AT$252+1)-INDEX($D253:$K253,0,AT$252))/(INDEX($D$249:$K$249,0,AT$252+1)-INDEX($D$249:$K$249,0,AT$252))+AQ260)))</f>
        <v>4.4084391032104793E-3</v>
      </c>
      <c r="AS260" s="186" cm="1">
        <f t="array" ref="AS260">IF(AU$252=-1,AX260,IF(AU$252=99,AR260,IF(AU$252=0,INDEX($D253:$K253,0,AU$250),(INDEX($D253:$K253,0,AU$252+1)-INDEX($D253:$K253,0,AU$252))/(INDEX($D$249:$K$249,0,AU$252+1)-INDEX($D$249:$K$249,0,AU$252))+AR260)))</f>
        <v>4.2416283267205056E-3</v>
      </c>
      <c r="AT260" s="186" cm="1">
        <f t="array" ref="AT260">IF(AV$252=-1,AY260,IF(AV$252=99,AS260,IF(AV$252=0,INDEX($D253:$K253,0,AV$250),(INDEX($D253:$K253,0,AV$252+1)-INDEX($D253:$K253,0,AV$252))/(INDEX($D$249:$K$249,0,AV$252+1)-INDEX($D$249:$K$249,0,AV$252))+AS260)))</f>
        <v>4.0748175502305318E-3</v>
      </c>
      <c r="AU260" s="186" cm="1">
        <f t="array" ref="AU260">IF(AW$252=-1,AZ260,IF(AW$252=99,AT260,IF(AW$252=0,INDEX($D253:$K253,0,AW$250),(INDEX($D253:$K253,0,AW$252+1)-INDEX($D253:$K253,0,AW$252))/(INDEX($D$249:$K$249,0,AW$252+1)-INDEX($D$249:$K$249,0,AW$252))+AT260)))</f>
        <v>3.9080067737405581E-3</v>
      </c>
      <c r="AV260" s="186" cm="1">
        <f t="array" ref="AV260">IF(AX$252=-1,BA260,IF(AX$252=99,AU260,IF(AX$252=0,INDEX($D253:$K253,0,AX$250),(INDEX($D253:$K253,0,AX$252+1)-INDEX($D253:$K253,0,AX$252))/(INDEX($D$249:$K$249,0,AX$252+1)-INDEX($D$249:$K$249,0,AX$252))+AU260)))</f>
        <v>3.7411959972505834E-3</v>
      </c>
      <c r="AW260" s="186" cm="1">
        <f t="array" ref="AW260">IF(AY$252=-1,BB260,IF(AY$252=99,AV260,IF(AY$252=0,INDEX($D253:$K253,0,AY$250),(INDEX($D253:$K253,0,AY$252+1)-INDEX($D253:$K253,0,AY$252))/(INDEX($D$249:$K$249,0,AY$252+1)-INDEX($D$249:$K$249,0,AY$252))+AV260)))</f>
        <v>3.7411959972505834E-3</v>
      </c>
      <c r="AX260" s="186" cm="1">
        <f t="array" ref="AX260">IF(AV$252=-1,AZ260,IF(AV$252=99,AW260,IF(AV$252=0,INDEX($D253:$K253,0,AV$250),(INDEX($D253:$K253,0,AV$252+1)-INDEX($D253:$K253,0,AV$252))/(INDEX($D$249:$K$249,0,AV$252+1)-INDEX($D$249:$K$249,0,AV$252))+AW260)))</f>
        <v>3.5743852207606097E-3</v>
      </c>
      <c r="AY260" s="186" cm="1">
        <f t="array" ref="AY260">IF(AW$252=-1,BA260,IF(AW$252=99,AX260,IF(AW$252=0,INDEX($D253:$K253,0,AW$250),(INDEX($D253:$K253,0,AW$252+1)-INDEX($D253:$K253,0,AW$252))/(INDEX($D$249:$K$249,0,AW$252+1)-INDEX($D$249:$K$249,0,AW$252))+AX260)))</f>
        <v>3.4075744442706359E-3</v>
      </c>
      <c r="AZ260" s="186" cm="1">
        <f t="array" ref="AZ260">IF(AX$252=-1,BB260,IF(AX$252=99,AY260,IF(AX$252=0,INDEX($D253:$K253,0,AX$250),(INDEX($D253:$K253,0,AX$252+1)-INDEX($D253:$K253,0,AX$252))/(INDEX($D$249:$K$249,0,AX$252+1)-INDEX($D$249:$K$249,0,AX$252))+AY260)))</f>
        <v>3.7411959972505834E-3</v>
      </c>
      <c r="BA260" s="186" cm="1">
        <f t="array" ref="BA260">IF(AY$252=-1,BC260,IF(AY$252=99,AZ260,IF(AY$252=0,INDEX($D253:$K253,0,AY$250),(INDEX($D253:$K253,0,AY$252+1)-INDEX($D253:$K253,0,AY$252))/(INDEX($D$249:$K$249,0,AY$252+1)-INDEX($D$249:$K$249,0,AY$252))+AZ260)))</f>
        <v>3.7411959972505834E-3</v>
      </c>
      <c r="BB260" s="186" cm="1">
        <f t="array" ref="BB260">IF(AZ$252=-1,BD260,IF(AZ$252=99,BA260,IF(AZ$252=0,INDEX($D253:$K253,0,AZ$250),(INDEX($D253:$K253,0,AZ$252+1)-INDEX($D253:$K253,0,AZ$252))/(INDEX($D$249:$K$249,0,AZ$252+1)-INDEX($D$249:$K$249,0,AZ$252))+BA260)))</f>
        <v>3.7411959972505834E-3</v>
      </c>
      <c r="BC260" s="186" cm="1">
        <f t="array" ref="BC260">IF(BA$252=-1,BE260,IF(BA$252=99,BB260,IF(BA$252=0,INDEX($D253:$K253,0,BA$250),(INDEX($D253:$K253,0,BA$252+1)-INDEX($D253:$K253,0,BA$252))/(INDEX($D$249:$K$249,0,BA$252+1)-INDEX($D$249:$K$249,0,BA$252))+BB260)))</f>
        <v>3.7411959972505834E-3</v>
      </c>
      <c r="BD260" s="186" cm="1">
        <f t="array" ref="BD260">IF(BB$252=-1,BF260,IF(BB$252=99,BC260,IF(BB$252=0,INDEX($D253:$K253,0,BB$250),(INDEX($D253:$K253,0,BB$252+1)-INDEX($D253:$K253,0,BB$252))/(INDEX($D$249:$K$249,0,BB$252+1)-INDEX($D$249:$K$249,0,BB$252))+BC260)))</f>
        <v>3.7411959972505834E-3</v>
      </c>
    </row>
    <row r="261" spans="1:56">
      <c r="A261" s="185" t="s">
        <v>16</v>
      </c>
      <c r="E261" s="185" t="s">
        <v>441</v>
      </c>
      <c r="F261" s="185" t="s">
        <v>441</v>
      </c>
      <c r="G261" s="185" t="s">
        <v>436</v>
      </c>
      <c r="H261" s="186" t="s">
        <v>440</v>
      </c>
      <c r="I261" s="185" t="s">
        <v>276</v>
      </c>
      <c r="J261" s="186">
        <f t="shared" si="633"/>
        <v>0.3844632221246076</v>
      </c>
      <c r="K261" s="186" cm="1">
        <f t="array" ref="K261">IF(M$252=-1,L261,IF(M$252=99,J261,IF(M$252=0,INDEX($D254:$K254,0,M$250),(INDEX($D254:$K254,0,M$252+1)-INDEX($D254:$K254,0,M$252))/(INDEX($D$249:$K$249,0,M$252+1)-INDEX($D$249:$K$249,0,M$252))+J261)))</f>
        <v>0.37648698427326749</v>
      </c>
      <c r="L261" s="186" cm="1">
        <f t="array" ref="L261">IF(N$252=-1,M261,IF(N$252=99,K261,IF(N$252=0,INDEX($D254:$K254,0,N$250),(INDEX($D254:$K254,0,N$252+1)-INDEX($D254:$K254,0,N$252))/(INDEX($D$249:$K$249,0,N$252+1)-INDEX($D$249:$K$249,0,N$252))+K261)))</f>
        <v>0.36851074642192738</v>
      </c>
      <c r="M261" s="186" cm="1">
        <f t="array" ref="M261">IF(O$252=-1,N261,IF(O$252=99,L261,IF(O$252=0,INDEX($D254:$K254,0,O$250),(INDEX($D254:$K254,0,O$252+1)-INDEX($D254:$K254,0,O$252))/(INDEX($D$249:$K$249,0,O$252+1)-INDEX($D$249:$K$249,0,O$252))+L261)))</f>
        <v>0.36053450857058728</v>
      </c>
      <c r="N261" s="186" cm="1">
        <f t="array" ref="N261">IF(P$252=-1,O261,IF(P$252=99,M261,IF(P$252=0,INDEX($D254:$K254,0,P$250),(INDEX($D254:$K254,0,P$252+1)-INDEX($D254:$K254,0,P$252))/(INDEX($D$249:$K$249,0,P$252+1)-INDEX($D$249:$K$249,0,P$252))+M261)))</f>
        <v>0.18026725428529364</v>
      </c>
      <c r="O261" s="186" cm="1">
        <f t="array" ref="O261">IF(Q$252=-1,P261,IF(Q$252=99,N261,IF(Q$252=0,INDEX($D254:$K254,0,Q$250),(INDEX($D254:$K254,0,Q$252+1)-INDEX($D254:$K254,0,Q$252))/(INDEX($D$249:$K$249,0,Q$252+1)-INDEX($D$249:$K$249,0,Q$252))+N261)))</f>
        <v>0</v>
      </c>
      <c r="P261" s="186" cm="1">
        <f t="array" ref="P261">IF(R$252=-1,Q261,IF(R$252=99,O261,IF(R$252=0,INDEX($D254:$K254,0,R$250),(INDEX($D254:$K254,0,R$252+1)-INDEX($D254:$K254,0,R$252))/(INDEX($D$249:$K$249,0,R$252+1)-INDEX($D$249:$K$249,0,R$252))+O261)))</f>
        <v>0.13426176464882711</v>
      </c>
      <c r="Q261" s="186" cm="1">
        <f t="array" ref="Q261">IF(S$252=-1,R261,IF(S$252=99,P261,IF(S$252=0,INDEX($D254:$K254,0,S$250),(INDEX($D254:$K254,0,S$252+1)-INDEX($D254:$K254,0,S$252))/(INDEX($D$249:$K$249,0,S$252+1)-INDEX($D$249:$K$249,0,S$252))+P261)))</f>
        <v>0.26852352929765422</v>
      </c>
      <c r="R261" s="186" cm="1">
        <f t="array" ref="R261">IF(T$252=-1,S261,IF(T$252=99,Q261,IF(T$252=0,INDEX($D254:$K254,0,T$250),(INDEX($D254:$K254,0,T$252+1)-INDEX($D254:$K254,0,T$252))/(INDEX($D$249:$K$249,0,T$252+1)-INDEX($D$249:$K$249,0,T$252))+Q261)))</f>
        <v>0.40278529394648133</v>
      </c>
      <c r="S261" s="186" cm="1">
        <f t="array" ref="S261">IF(U$252=-1,T261,IF(U$252=99,R261,IF(U$252=0,INDEX($D254:$K254,0,U$250),(INDEX($D254:$K254,0,U$252+1)-INDEX($D254:$K254,0,U$252))/(INDEX($D$249:$K$249,0,U$252+1)-INDEX($D$249:$K$249,0,U$252))+R261)))</f>
        <v>0.39688425047808462</v>
      </c>
      <c r="T261" s="186" cm="1">
        <f t="array" ref="T261">IF(V$252=-1,U261,IF(V$252=99,S261,IF(V$252=0,INDEX($D254:$K254,0,V$250),(INDEX($D254:$K254,0,V$252+1)-INDEX($D254:$K254,0,V$252))/(INDEX($D$249:$K$249,0,V$252+1)-INDEX($D$249:$K$249,0,V$252))+S261)))</f>
        <v>0.39098320700968792</v>
      </c>
      <c r="U261" s="186" cm="1">
        <f t="array" ref="U261">IF(W$252=-1,V261,IF(W$252=99,T261,IF(W$252=0,INDEX($D254:$K254,0,W$250),(INDEX($D254:$K254,0,W$252+1)-INDEX($D254:$K254,0,W$252))/(INDEX($D$249:$K$249,0,W$252+1)-INDEX($D$249:$K$249,0,W$252))+T261)))</f>
        <v>0.38508216354129121</v>
      </c>
      <c r="V261" s="186" cm="1">
        <f t="array" ref="V261">IF(X$252=-1,W261,IF(X$252=99,U261,IF(X$252=0,INDEX($D254:$K254,0,X$250),(INDEX($D254:$K254,0,X$252+1)-INDEX($D254:$K254,0,X$252))/(INDEX($D$249:$K$249,0,X$252+1)-INDEX($D$249:$K$249,0,X$252))+U261)))</f>
        <v>0.37918112007289451</v>
      </c>
      <c r="W261" s="186" cm="1">
        <f t="array" ref="W261">IF(Y$252=-1,X261,IF(Y$252=99,V261,IF(Y$252=0,INDEX($D254:$K254,0,Y$250),(INDEX($D254:$K254,0,Y$252+1)-INDEX($D254:$K254,0,Y$252))/(INDEX($D$249:$K$249,0,Y$252+1)-INDEX($D$249:$K$249,0,Y$252))+V261)))</f>
        <v>0.3732800766044978</v>
      </c>
      <c r="X261" s="186" cm="1">
        <f t="array" ref="X261">IF(Z$252=-1,Y261,IF(Z$252=99,W261,IF(Z$252=0,INDEX($D254:$K254,0,Z$250),(INDEX($D254:$K254,0,Z$252+1)-INDEX($D254:$K254,0,Z$252))/(INDEX($D$249:$K$249,0,Z$252+1)-INDEX($D$249:$K$249,0,Z$252))+W261)))</f>
        <v>0.3673790331361011</v>
      </c>
      <c r="Y261" s="186" cm="1">
        <f t="array" ref="Y261">IF(AA$252=-1,Z261,IF(AA$252=99,X261,IF(AA$252=0,INDEX($D254:$K254,0,AA$250),(INDEX($D254:$K254,0,AA$252+1)-INDEX($D254:$K254,0,AA$252))/(INDEX($D$249:$K$249,0,AA$252+1)-INDEX($D$249:$K$249,0,AA$252))+X261)))</f>
        <v>0.36147798966770439</v>
      </c>
      <c r="Z261" s="186" cm="1">
        <f t="array" ref="Z261">IF(AB$252=-1,AA261,IF(AB$252=99,Y261,IF(AB$252=0,INDEX($D254:$K254,0,AB$250),(INDEX($D254:$K254,0,AB$252+1)-INDEX($D254:$K254,0,AB$252))/(INDEX($D$249:$K$249,0,AB$252+1)-INDEX($D$249:$K$249,0,AB$252))+Y261)))</f>
        <v>0.35557694619930769</v>
      </c>
      <c r="AA261" s="186" cm="1">
        <f t="array" ref="AA261">IF(AC$252=-1,AB261,IF(AC$252=99,Z261,IF(AC$252=0,INDEX($D254:$K254,0,AC$250),(INDEX($D254:$K254,0,AC$252+1)-INDEX($D254:$K254,0,AC$252))/(INDEX($D$249:$K$249,0,AC$252+1)-INDEX($D$249:$K$249,0,AC$252))+Z261)))</f>
        <v>0.34967590273091098</v>
      </c>
      <c r="AB261" s="186" cm="1">
        <f t="array" ref="AB261">IF(AD$252=-1,AC261,IF(AD$252=99,AA261,IF(AD$252=0,INDEX($D254:$K254,0,AD$250),(INDEX($D254:$K254,0,AD$252+1)-INDEX($D254:$K254,0,AD$252))/(INDEX($D$249:$K$249,0,AD$252+1)-INDEX($D$249:$K$249,0,AD$252))+AA261)))</f>
        <v>0.3437748592625145</v>
      </c>
      <c r="AC261" s="186" cm="1">
        <f t="array" ref="AC261">IF(AE$252=-1,AD261,IF(AE$252=99,AB261,IF(AE$252=0,INDEX($D254:$K254,0,AE$250),(INDEX($D254:$K254,0,AE$252+1)-INDEX($D254:$K254,0,AE$252))/(INDEX($D$249:$K$249,0,AE$252+1)-INDEX($D$249:$K$249,0,AE$252))+AB261)))</f>
        <v>0.3397442645016957</v>
      </c>
      <c r="AD261" s="186" cm="1">
        <f t="array" ref="AD261">IF(AF$252=-1,AE261,IF(AF$252=99,AC261,IF(AF$252=0,INDEX($D254:$K254,0,AF$250),(INDEX($D254:$K254,0,AF$252+1)-INDEX($D254:$K254,0,AF$252))/(INDEX($D$249:$K$249,0,AF$252+1)-INDEX($D$249:$K$249,0,AF$252))+AC261)))</f>
        <v>0.33571366974087691</v>
      </c>
      <c r="AE261" s="186" cm="1">
        <f t="array" ref="AE261">IF(AG$252=-1,AF261,IF(AG$252=99,AD261,IF(AG$252=0,INDEX($D254:$K254,0,AG$250),(INDEX($D254:$K254,0,AG$252+1)-INDEX($D254:$K254,0,AG$252))/(INDEX($D$249:$K$249,0,AG$252+1)-INDEX($D$249:$K$249,0,AG$252))+AD261)))</f>
        <v>0.33168307498005811</v>
      </c>
      <c r="AF261" s="186" cm="1">
        <f t="array" ref="AF261">IF(AH$252=-1,AG261,IF(AH$252=99,AE261,IF(AH$252=0,INDEX($D254:$K254,0,AH$250),(INDEX($D254:$K254,0,AH$252+1)-INDEX($D254:$K254,0,AH$252))/(INDEX($D$249:$K$249,0,AH$252+1)-INDEX($D$249:$K$249,0,AH$252))+AE261)))</f>
        <v>0.32765248021923932</v>
      </c>
      <c r="AG261" s="186" cm="1">
        <f t="array" ref="AG261">IF(AI$252=-1,AH261,IF(AI$252=99,AF261,IF(AI$252=0,INDEX($D254:$K254,0,AI$250),(INDEX($D254:$K254,0,AI$252+1)-INDEX($D254:$K254,0,AI$252))/(INDEX($D$249:$K$249,0,AI$252+1)-INDEX($D$249:$K$249,0,AI$252))+AF261)))</f>
        <v>0.32362188545842052</v>
      </c>
      <c r="AH261" s="186" cm="1">
        <f t="array" ref="AH261">IF(AJ$252=-1,AI261,IF(AJ$252=99,AG261,IF(AJ$252=0,INDEX($D254:$K254,0,AJ$250),(INDEX($D254:$K254,0,AJ$252+1)-INDEX($D254:$K254,0,AJ$252))/(INDEX($D$249:$K$249,0,AJ$252+1)-INDEX($D$249:$K$249,0,AJ$252))+AG261)))</f>
        <v>0.31959129069760173</v>
      </c>
      <c r="AI261" s="186" cm="1">
        <f t="array" ref="AI261">IF(AK$252=-1,AJ261,IF(AK$252=99,AH261,IF(AK$252=0,INDEX($D254:$K254,0,AK$250),(INDEX($D254:$K254,0,AK$252+1)-INDEX($D254:$K254,0,AK$252))/(INDEX($D$249:$K$249,0,AK$252+1)-INDEX($D$249:$K$249,0,AK$252))+AH261)))</f>
        <v>0.31556069593678293</v>
      </c>
      <c r="AJ261" s="186" cm="1">
        <f t="array" ref="AJ261">IF(AL$252=-1,AK261,IF(AL$252=99,AI261,IF(AL$252=0,INDEX($D254:$K254,0,AL$250),(INDEX($D254:$K254,0,AL$252+1)-INDEX($D254:$K254,0,AL$252))/(INDEX($D$249:$K$249,0,AL$252+1)-INDEX($D$249:$K$249,0,AL$252))+AI261)))</f>
        <v>0.31153010117596414</v>
      </c>
      <c r="AK261" s="186" cm="1">
        <f t="array" ref="AK261">IF(AM$252=-1,AL261,IF(AM$252=99,AJ261,IF(AM$252=0,INDEX($D254:$K254,0,AM$250),(INDEX($D254:$K254,0,AM$252+1)-INDEX($D254:$K254,0,AM$252))/(INDEX($D$249:$K$249,0,AM$252+1)-INDEX($D$249:$K$249,0,AM$252))+AJ261)))</f>
        <v>0.30749950641514534</v>
      </c>
      <c r="AL261" s="186" cm="1">
        <f t="array" ref="AL261">IF(AN$252=-1,AM261,IF(AN$252=99,AK261,IF(AN$252=0,INDEX($D254:$K254,0,AN$250),(INDEX($D254:$K254,0,AN$252+1)-INDEX($D254:$K254,0,AN$252))/(INDEX($D$249:$K$249,0,AN$252+1)-INDEX($D$249:$K$249,0,AN$252))+AK261)))</f>
        <v>0.30346891165432666</v>
      </c>
      <c r="AM261" s="186" cm="1">
        <f t="array" ref="AM261">IF(AO$252=-1,AN261,IF(AO$252=99,AL261,IF(AO$252=0,INDEX($D254:$K254,0,AO$250),(INDEX($D254:$K254,0,AO$252+1)-INDEX($D254:$K254,0,AO$252))/(INDEX($D$249:$K$249,0,AO$252+1)-INDEX($D$249:$K$249,0,AO$252))+AL261)))</f>
        <v>0.30036162652575799</v>
      </c>
      <c r="AN261" s="186" cm="1">
        <f t="array" ref="AN261">IF(AP$252=-1,AO261,IF(AP$252=99,AM261,IF(AP$252=0,INDEX($D254:$K254,0,AP$250),(INDEX($D254:$K254,0,AP$252+1)-INDEX($D254:$K254,0,AP$252))/(INDEX($D$249:$K$249,0,AP$252+1)-INDEX($D$249:$K$249,0,AP$252))+AM261)))</f>
        <v>0.29725434139718931</v>
      </c>
      <c r="AO261" s="186" cm="1">
        <f t="array" ref="AO261">IF(AQ$252=-1,AP261,IF(AQ$252=99,AN261,IF(AQ$252=0,INDEX($D254:$K254,0,AQ$250),(INDEX($D254:$K254,0,AQ$252+1)-INDEX($D254:$K254,0,AQ$252))/(INDEX($D$249:$K$249,0,AQ$252+1)-INDEX($D$249:$K$249,0,AQ$252))+AN261)))</f>
        <v>0.29414705626862064</v>
      </c>
      <c r="AP261" s="186" cm="1">
        <f t="array" ref="AP261">IF(AR$252=-1,AQ261,IF(AR$252=99,AO261,IF(AR$252=0,INDEX($D254:$K254,0,AR$250),(INDEX($D254:$K254,0,AR$252+1)-INDEX($D254:$K254,0,AR$252))/(INDEX($D$249:$K$249,0,AR$252+1)-INDEX($D$249:$K$249,0,AR$252))+AO261)))</f>
        <v>0.29103977114005197</v>
      </c>
      <c r="AQ261" s="186" cm="1">
        <f t="array" ref="AQ261">IF(AS$252=-1,AR261,IF(AS$252=99,AP261,IF(AS$252=0,INDEX($D254:$K254,0,AS$250),(INDEX($D254:$K254,0,AS$252+1)-INDEX($D254:$K254,0,AS$252))/(INDEX($D$249:$K$249,0,AS$252+1)-INDEX($D$249:$K$249,0,AS$252))+AP261)))</f>
        <v>0.2879324860114833</v>
      </c>
      <c r="AR261" s="186" cm="1">
        <f t="array" ref="AR261">IF(AT$252=-1,AW261,IF(AT$252=99,AQ261,IF(AT$252=0,INDEX($D254:$K254,0,AT$250),(INDEX($D254:$K254,0,AT$252+1)-INDEX($D254:$K254,0,AT$252))/(INDEX($D$249:$K$249,0,AT$252+1)-INDEX($D$249:$K$249,0,AT$252))+AQ261)))</f>
        <v>0.28482520088291463</v>
      </c>
      <c r="AS261" s="186" cm="1">
        <f t="array" ref="AS261">IF(AU$252=-1,AX261,IF(AU$252=99,AR261,IF(AU$252=0,INDEX($D254:$K254,0,AU$250),(INDEX($D254:$K254,0,AU$252+1)-INDEX($D254:$K254,0,AU$252))/(INDEX($D$249:$K$249,0,AU$252+1)-INDEX($D$249:$K$249,0,AU$252))+AR261)))</f>
        <v>0.28171791575434596</v>
      </c>
      <c r="AT261" s="186" cm="1">
        <f t="array" ref="AT261">IF(AV$252=-1,AY261,IF(AV$252=99,AS261,IF(AV$252=0,INDEX($D254:$K254,0,AV$250),(INDEX($D254:$K254,0,AV$252+1)-INDEX($D254:$K254,0,AV$252))/(INDEX($D$249:$K$249,0,AV$252+1)-INDEX($D$249:$K$249,0,AV$252))+AS261)))</f>
        <v>0.27861063062577729</v>
      </c>
      <c r="AU261" s="186" cm="1">
        <f t="array" ref="AU261">IF(AW$252=-1,AZ261,IF(AW$252=99,AT261,IF(AW$252=0,INDEX($D254:$K254,0,AW$250),(INDEX($D254:$K254,0,AW$252+1)-INDEX($D254:$K254,0,AW$252))/(INDEX($D$249:$K$249,0,AW$252+1)-INDEX($D$249:$K$249,0,AW$252))+AT261)))</f>
        <v>0.27550334549720862</v>
      </c>
      <c r="AV261" s="186" cm="1">
        <f t="array" ref="AV261">IF(AX$252=-1,BA261,IF(AX$252=99,AU261,IF(AX$252=0,INDEX($D254:$K254,0,AX$250),(INDEX($D254:$K254,0,AX$252+1)-INDEX($D254:$K254,0,AX$252))/(INDEX($D$249:$K$249,0,AX$252+1)-INDEX($D$249:$K$249,0,AX$252))+AU261)))</f>
        <v>0.27239606036863995</v>
      </c>
      <c r="AW261" s="186" cm="1">
        <f t="array" ref="AW261">IF(AY$252=-1,BB261,IF(AY$252=99,AV261,IF(AY$252=0,INDEX($D254:$K254,0,AY$250),(INDEX($D254:$K254,0,AY$252+1)-INDEX($D254:$K254,0,AY$252))/(INDEX($D$249:$K$249,0,AY$252+1)-INDEX($D$249:$K$249,0,AY$252))+AV261)))</f>
        <v>0.27239606036863995</v>
      </c>
      <c r="AX261" s="186" cm="1">
        <f t="array" ref="AX261">IF(AV$252=-1,AZ261,IF(AV$252=99,AW261,IF(AV$252=0,INDEX($D254:$K254,0,AV$250),(INDEX($D254:$K254,0,AV$252+1)-INDEX($D254:$K254,0,AV$252))/(INDEX($D$249:$K$249,0,AV$252+1)-INDEX($D$249:$K$249,0,AV$252))+AW261)))</f>
        <v>0.26928877524007128</v>
      </c>
      <c r="AY261" s="186" cm="1">
        <f t="array" ref="AY261">IF(AW$252=-1,BA261,IF(AW$252=99,AX261,IF(AW$252=0,INDEX($D254:$K254,0,AW$250),(INDEX($D254:$K254,0,AW$252+1)-INDEX($D254:$K254,0,AW$252))/(INDEX($D$249:$K$249,0,AW$252+1)-INDEX($D$249:$K$249,0,AW$252))+AX261)))</f>
        <v>0.26618149011150261</v>
      </c>
      <c r="AZ261" s="186" cm="1">
        <f t="array" ref="AZ261">IF(AX$252=-1,BB261,IF(AX$252=99,AY261,IF(AX$252=0,INDEX($D254:$K254,0,AX$250),(INDEX($D254:$K254,0,AX$252+1)-INDEX($D254:$K254,0,AX$252))/(INDEX($D$249:$K$249,0,AX$252+1)-INDEX($D$249:$K$249,0,AX$252))+AY261)))</f>
        <v>0.27239606036863995</v>
      </c>
      <c r="BA261" s="186" cm="1">
        <f t="array" ref="BA261">IF(AY$252=-1,BC261,IF(AY$252=99,AZ261,IF(AY$252=0,INDEX($D254:$K254,0,AY$250),(INDEX($D254:$K254,0,AY$252+1)-INDEX($D254:$K254,0,AY$252))/(INDEX($D$249:$K$249,0,AY$252+1)-INDEX($D$249:$K$249,0,AY$252))+AZ261)))</f>
        <v>0.27239606036863995</v>
      </c>
      <c r="BB261" s="186" cm="1">
        <f t="array" ref="BB261">IF(AZ$252=-1,BD261,IF(AZ$252=99,BA261,IF(AZ$252=0,INDEX($D254:$K254,0,AZ$250),(INDEX($D254:$K254,0,AZ$252+1)-INDEX($D254:$K254,0,AZ$252))/(INDEX($D$249:$K$249,0,AZ$252+1)-INDEX($D$249:$K$249,0,AZ$252))+BA261)))</f>
        <v>0.27239606036863995</v>
      </c>
      <c r="BC261" s="186" cm="1">
        <f t="array" ref="BC261">IF(BA$252=-1,BE261,IF(BA$252=99,BB261,IF(BA$252=0,INDEX($D254:$K254,0,BA$250),(INDEX($D254:$K254,0,BA$252+1)-INDEX($D254:$K254,0,BA$252))/(INDEX($D$249:$K$249,0,BA$252+1)-INDEX($D$249:$K$249,0,BA$252))+BB261)))</f>
        <v>0.27239606036863995</v>
      </c>
      <c r="BD261" s="186" cm="1">
        <f t="array" ref="BD261">IF(BB$252=-1,BF261,IF(BB$252=99,BC261,IF(BB$252=0,INDEX($D254:$K254,0,BB$250),(INDEX($D254:$K254,0,BB$252+1)-INDEX($D254:$K254,0,BB$252))/(INDEX($D$249:$K$249,0,BB$252+1)-INDEX($D$249:$K$249,0,BB$252))+BC261)))</f>
        <v>0.27239606036863995</v>
      </c>
    </row>
    <row r="262" spans="1:56">
      <c r="A262" s="185" t="s">
        <v>16</v>
      </c>
      <c r="E262" s="185" t="s">
        <v>441</v>
      </c>
      <c r="F262" s="185" t="s">
        <v>441</v>
      </c>
      <c r="G262" s="185" t="s">
        <v>437</v>
      </c>
      <c r="H262" s="186" t="s">
        <v>440</v>
      </c>
      <c r="I262" s="185" t="s">
        <v>277</v>
      </c>
      <c r="J262" s="186">
        <f t="shared" si="633"/>
        <v>0.5288514326728635</v>
      </c>
      <c r="K262" s="186" cm="1">
        <f t="array" ref="K262">IF(M$252=-1,L262,IF(M$252=99,J262,IF(M$252=0,INDEX($D255:$K255,0,M$250),(INDEX($D255:$K255,0,M$252+1)-INDEX($D255:$K255,0,M$252))/(INDEX($D$249:$K$249,0,M$252+1)-INDEX($D$249:$K$249,0,M$252))+J262)))</f>
        <v>0.53750700395376405</v>
      </c>
      <c r="L262" s="186" cm="1">
        <f t="array" ref="L262">IF(N$252=-1,M262,IF(N$252=99,K262,IF(N$252=0,INDEX($D255:$K255,0,N$250),(INDEX($D255:$K255,0,N$252+1)-INDEX($D255:$K255,0,N$252))/(INDEX($D$249:$K$249,0,N$252+1)-INDEX($D$249:$K$249,0,N$252))+K262)))</f>
        <v>0.5461625752346646</v>
      </c>
      <c r="M262" s="186" cm="1">
        <f t="array" ref="M262">IF(O$252=-1,N262,IF(O$252=99,L262,IF(O$252=0,INDEX($D255:$K255,0,O$250),(INDEX($D255:$K255,0,O$252+1)-INDEX($D255:$K255,0,O$252))/(INDEX($D$249:$K$249,0,O$252+1)-INDEX($D$249:$K$249,0,O$252))+L262)))</f>
        <v>0.55481814651556505</v>
      </c>
      <c r="N262" s="186" cm="1">
        <f t="array" ref="N262">IF(P$252=-1,O262,IF(P$252=99,M262,IF(P$252=0,INDEX($D255:$K255,0,P$250),(INDEX($D255:$K255,0,P$252+1)-INDEX($D255:$K255,0,P$252))/(INDEX($D$249:$K$249,0,P$252+1)-INDEX($D$249:$K$249,0,P$252))+M262)))</f>
        <v>0.27740907325778252</v>
      </c>
      <c r="O262" s="186" cm="1">
        <f t="array" ref="O262">IF(Q$252=-1,P262,IF(Q$252=99,N262,IF(Q$252=0,INDEX($D255:$K255,0,Q$250),(INDEX($D255:$K255,0,Q$252+1)-INDEX($D255:$K255,0,Q$252))/(INDEX($D$249:$K$249,0,Q$252+1)-INDEX($D$249:$K$249,0,Q$252))+N262)))</f>
        <v>0</v>
      </c>
      <c r="P262" s="186" cm="1">
        <f t="array" ref="P262">IF(R$252=-1,Q262,IF(R$252=99,O262,IF(R$252=0,INDEX($D255:$K255,0,R$250),(INDEX($D255:$K255,0,R$252+1)-INDEX($D255:$K255,0,R$252))/(INDEX($D$249:$K$249,0,R$252+1)-INDEX($D$249:$K$249,0,R$252))+O262)))</f>
        <v>0.17213091022160179</v>
      </c>
      <c r="Q262" s="186" cm="1">
        <f t="array" ref="Q262">IF(S$252=-1,R262,IF(S$252=99,P262,IF(S$252=0,INDEX($D255:$K255,0,S$250),(INDEX($D255:$K255,0,S$252+1)-INDEX($D255:$K255,0,S$252))/(INDEX($D$249:$K$249,0,S$252+1)-INDEX($D$249:$K$249,0,S$252))+P262)))</f>
        <v>0.34426182044320358</v>
      </c>
      <c r="R262" s="186" cm="1">
        <f t="array" ref="R262">IF(T$252=-1,S262,IF(T$252=99,Q262,IF(T$252=0,INDEX($D255:$K255,0,T$250),(INDEX($D255:$K255,0,T$252+1)-INDEX($D255:$K255,0,T$252))/(INDEX($D$249:$K$249,0,T$252+1)-INDEX($D$249:$K$249,0,T$252))+Q262)))</f>
        <v>0.5163927306648054</v>
      </c>
      <c r="S262" s="186" cm="1">
        <f t="array" ref="S262">IF(U$252=-1,T262,IF(U$252=99,R262,IF(U$252=0,INDEX($D255:$K255,0,U$250),(INDEX($D255:$K255,0,U$252+1)-INDEX($D255:$K255,0,U$252))/(INDEX($D$249:$K$249,0,U$252+1)-INDEX($D$249:$K$249,0,U$252))+R262)))</f>
        <v>0.52348615138555843</v>
      </c>
      <c r="T262" s="186" cm="1">
        <f t="array" ref="T262">IF(V$252=-1,U262,IF(V$252=99,S262,IF(V$252=0,INDEX($D255:$K255,0,V$250),(INDEX($D255:$K255,0,V$252+1)-INDEX($D255:$K255,0,V$252))/(INDEX($D$249:$K$249,0,V$252+1)-INDEX($D$249:$K$249,0,V$252))+S262)))</f>
        <v>0.53057957210631146</v>
      </c>
      <c r="U262" s="186" cm="1">
        <f t="array" ref="U262">IF(W$252=-1,V262,IF(W$252=99,T262,IF(W$252=0,INDEX($D255:$K255,0,W$250),(INDEX($D255:$K255,0,W$252+1)-INDEX($D255:$K255,0,W$252))/(INDEX($D$249:$K$249,0,W$252+1)-INDEX($D$249:$K$249,0,W$252))+T262)))</f>
        <v>0.53767299282706449</v>
      </c>
      <c r="V262" s="186" cm="1">
        <f t="array" ref="V262">IF(X$252=-1,W262,IF(X$252=99,U262,IF(X$252=0,INDEX($D255:$K255,0,X$250),(INDEX($D255:$K255,0,X$252+1)-INDEX($D255:$K255,0,X$252))/(INDEX($D$249:$K$249,0,X$252+1)-INDEX($D$249:$K$249,0,X$252))+U262)))</f>
        <v>0.54476641354781752</v>
      </c>
      <c r="W262" s="186" cm="1">
        <f t="array" ref="W262">IF(Y$252=-1,X262,IF(Y$252=99,V262,IF(Y$252=0,INDEX($D255:$K255,0,Y$250),(INDEX($D255:$K255,0,Y$252+1)-INDEX($D255:$K255,0,Y$252))/(INDEX($D$249:$K$249,0,Y$252+1)-INDEX($D$249:$K$249,0,Y$252))+V262)))</f>
        <v>0.55185983426857055</v>
      </c>
      <c r="X262" s="186" cm="1">
        <f t="array" ref="X262">IF(Z$252=-1,Y262,IF(Z$252=99,W262,IF(Z$252=0,INDEX($D255:$K255,0,Z$250),(INDEX($D255:$K255,0,Z$252+1)-INDEX($D255:$K255,0,Z$252))/(INDEX($D$249:$K$249,0,Z$252+1)-INDEX($D$249:$K$249,0,Z$252))+W262)))</f>
        <v>0.55895325498932358</v>
      </c>
      <c r="Y262" s="186" cm="1">
        <f t="array" ref="Y262">IF(AA$252=-1,Z262,IF(AA$252=99,X262,IF(AA$252=0,INDEX($D255:$K255,0,AA$250),(INDEX($D255:$K255,0,AA$252+1)-INDEX($D255:$K255,0,AA$252))/(INDEX($D$249:$K$249,0,AA$252+1)-INDEX($D$249:$K$249,0,AA$252))+X262)))</f>
        <v>0.56604667571007661</v>
      </c>
      <c r="Z262" s="186" cm="1">
        <f t="array" ref="Z262">IF(AB$252=-1,AA262,IF(AB$252=99,Y262,IF(AB$252=0,INDEX($D255:$K255,0,AB$250),(INDEX($D255:$K255,0,AB$252+1)-INDEX($D255:$K255,0,AB$252))/(INDEX($D$249:$K$249,0,AB$252+1)-INDEX($D$249:$K$249,0,AB$252))+Y262)))</f>
        <v>0.57314009643082964</v>
      </c>
      <c r="AA262" s="186" cm="1">
        <f t="array" ref="AA262">IF(AC$252=-1,AB262,IF(AC$252=99,Z262,IF(AC$252=0,INDEX($D255:$K255,0,AC$250),(INDEX($D255:$K255,0,AC$252+1)-INDEX($D255:$K255,0,AC$252))/(INDEX($D$249:$K$249,0,AC$252+1)-INDEX($D$249:$K$249,0,AC$252))+Z262)))</f>
        <v>0.58023351715158267</v>
      </c>
      <c r="AB262" s="186" cm="1">
        <f t="array" ref="AB262">IF(AD$252=-1,AC262,IF(AD$252=99,AA262,IF(AD$252=0,INDEX($D255:$K255,0,AD$250),(INDEX($D255:$K255,0,AD$252+1)-INDEX($D255:$K255,0,AD$252))/(INDEX($D$249:$K$249,0,AD$252+1)-INDEX($D$249:$K$249,0,AD$252))+AA262)))</f>
        <v>0.58732693787233559</v>
      </c>
      <c r="AC262" s="186" cm="1">
        <f t="array" ref="AC262">IF(AE$252=-1,AD262,IF(AE$252=99,AB262,IF(AE$252=0,INDEX($D255:$K255,0,AE$250),(INDEX($D255:$K255,0,AE$252+1)-INDEX($D255:$K255,0,AE$252))/(INDEX($D$249:$K$249,0,AE$252+1)-INDEX($D$249:$K$249,0,AE$252))+AB262)))</f>
        <v>0.59232720757146751</v>
      </c>
      <c r="AD262" s="186" cm="1">
        <f t="array" ref="AD262">IF(AF$252=-1,AE262,IF(AF$252=99,AC262,IF(AF$252=0,INDEX($D255:$K255,0,AF$250),(INDEX($D255:$K255,0,AF$252+1)-INDEX($D255:$K255,0,AF$252))/(INDEX($D$249:$K$249,0,AF$252+1)-INDEX($D$249:$K$249,0,AF$252))+AC262)))</f>
        <v>0.59732747727059943</v>
      </c>
      <c r="AE262" s="186" cm="1">
        <f t="array" ref="AE262">IF(AG$252=-1,AF262,IF(AG$252=99,AD262,IF(AG$252=0,INDEX($D255:$K255,0,AG$250),(INDEX($D255:$K255,0,AG$252+1)-INDEX($D255:$K255,0,AG$252))/(INDEX($D$249:$K$249,0,AG$252+1)-INDEX($D$249:$K$249,0,AG$252))+AD262)))</f>
        <v>0.60232774696973135</v>
      </c>
      <c r="AF262" s="186" cm="1">
        <f t="array" ref="AF262">IF(AH$252=-1,AG262,IF(AH$252=99,AE262,IF(AH$252=0,INDEX($D255:$K255,0,AH$250),(INDEX($D255:$K255,0,AH$252+1)-INDEX($D255:$K255,0,AH$252))/(INDEX($D$249:$K$249,0,AH$252+1)-INDEX($D$249:$K$249,0,AH$252))+AE262)))</f>
        <v>0.60732801666886327</v>
      </c>
      <c r="AG262" s="186" cm="1">
        <f t="array" ref="AG262">IF(AI$252=-1,AH262,IF(AI$252=99,AF262,IF(AI$252=0,INDEX($D255:$K255,0,AI$250),(INDEX($D255:$K255,0,AI$252+1)-INDEX($D255:$K255,0,AI$252))/(INDEX($D$249:$K$249,0,AI$252+1)-INDEX($D$249:$K$249,0,AI$252))+AF262)))</f>
        <v>0.61232828636799519</v>
      </c>
      <c r="AH262" s="186" cm="1">
        <f t="array" ref="AH262">IF(AJ$252=-1,AI262,IF(AJ$252=99,AG262,IF(AJ$252=0,INDEX($D255:$K255,0,AJ$250),(INDEX($D255:$K255,0,AJ$252+1)-INDEX($D255:$K255,0,AJ$252))/(INDEX($D$249:$K$249,0,AJ$252+1)-INDEX($D$249:$K$249,0,AJ$252))+AG262)))</f>
        <v>0.61732855606712711</v>
      </c>
      <c r="AI262" s="186" cm="1">
        <f t="array" ref="AI262">IF(AK$252=-1,AJ262,IF(AK$252=99,AH262,IF(AK$252=0,INDEX($D255:$K255,0,AK$250),(INDEX($D255:$K255,0,AK$252+1)-INDEX($D255:$K255,0,AK$252))/(INDEX($D$249:$K$249,0,AK$252+1)-INDEX($D$249:$K$249,0,AK$252))+AH262)))</f>
        <v>0.62232882576625903</v>
      </c>
      <c r="AJ262" s="186" cm="1">
        <f t="array" ref="AJ262">IF(AL$252=-1,AK262,IF(AL$252=99,AI262,IF(AL$252=0,INDEX($D255:$K255,0,AL$250),(INDEX($D255:$K255,0,AL$252+1)-INDEX($D255:$K255,0,AL$252))/(INDEX($D$249:$K$249,0,AL$252+1)-INDEX($D$249:$K$249,0,AL$252))+AI262)))</f>
        <v>0.62732909546539095</v>
      </c>
      <c r="AK262" s="186" cm="1">
        <f t="array" ref="AK262">IF(AM$252=-1,AL262,IF(AM$252=99,AJ262,IF(AM$252=0,INDEX($D255:$K255,0,AM$250),(INDEX($D255:$K255,0,AM$252+1)-INDEX($D255:$K255,0,AM$252))/(INDEX($D$249:$K$249,0,AM$252+1)-INDEX($D$249:$K$249,0,AM$252))+AJ262)))</f>
        <v>0.63232936516452287</v>
      </c>
      <c r="AL262" s="186" cm="1">
        <f t="array" ref="AL262">IF(AN$252=-1,AM262,IF(AN$252=99,AK262,IF(AN$252=0,INDEX($D255:$K255,0,AN$250),(INDEX($D255:$K255,0,AN$252+1)-INDEX($D255:$K255,0,AN$252))/(INDEX($D$249:$K$249,0,AN$252+1)-INDEX($D$249:$K$249,0,AN$252))+AK262)))</f>
        <v>0.63732963486365524</v>
      </c>
      <c r="AM262" s="186" cm="1">
        <f t="array" ref="AM262">IF(AO$252=-1,AN262,IF(AO$252=99,AL262,IF(AO$252=0,INDEX($D255:$K255,0,AO$250),(INDEX($D255:$K255,0,AO$252+1)-INDEX($D255:$K255,0,AO$252))/(INDEX($D$249:$K$249,0,AO$252+1)-INDEX($D$249:$K$249,0,AO$252))+AL262)))</f>
        <v>0.64094919803883899</v>
      </c>
      <c r="AN262" s="186" cm="1">
        <f t="array" ref="AN262">IF(AP$252=-1,AO262,IF(AP$252=99,AM262,IF(AP$252=0,INDEX($D255:$K255,0,AP$250),(INDEX($D255:$K255,0,AP$252+1)-INDEX($D255:$K255,0,AP$252))/(INDEX($D$249:$K$249,0,AP$252+1)-INDEX($D$249:$K$249,0,AP$252))+AM262)))</f>
        <v>0.64456876121402273</v>
      </c>
      <c r="AO262" s="186" cm="1">
        <f t="array" ref="AO262">IF(AQ$252=-1,AP262,IF(AQ$252=99,AN262,IF(AQ$252=0,INDEX($D255:$K255,0,AQ$250),(INDEX($D255:$K255,0,AQ$252+1)-INDEX($D255:$K255,0,AQ$252))/(INDEX($D$249:$K$249,0,AQ$252+1)-INDEX($D$249:$K$249,0,AQ$252))+AN262)))</f>
        <v>0.64818832438920648</v>
      </c>
      <c r="AP262" s="186" cm="1">
        <f t="array" ref="AP262">IF(AR$252=-1,AQ262,IF(AR$252=99,AO262,IF(AR$252=0,INDEX($D255:$K255,0,AR$250),(INDEX($D255:$K255,0,AR$252+1)-INDEX($D255:$K255,0,AR$252))/(INDEX($D$249:$K$249,0,AR$252+1)-INDEX($D$249:$K$249,0,AR$252))+AO262)))</f>
        <v>0.65180788756439023</v>
      </c>
      <c r="AQ262" s="186" cm="1">
        <f t="array" ref="AQ262">IF(AS$252=-1,AR262,IF(AS$252=99,AP262,IF(AS$252=0,INDEX($D255:$K255,0,AS$250),(INDEX($D255:$K255,0,AS$252+1)-INDEX($D255:$K255,0,AS$252))/(INDEX($D$249:$K$249,0,AS$252+1)-INDEX($D$249:$K$249,0,AS$252))+AP262)))</f>
        <v>0.65542745073957398</v>
      </c>
      <c r="AR262" s="186" cm="1">
        <f t="array" ref="AR262">IF(AT$252=-1,AW262,IF(AT$252=99,AQ262,IF(AT$252=0,INDEX($D255:$K255,0,AT$250),(INDEX($D255:$K255,0,AT$252+1)-INDEX($D255:$K255,0,AT$252))/(INDEX($D$249:$K$249,0,AT$252+1)-INDEX($D$249:$K$249,0,AT$252))+AQ262)))</f>
        <v>0.65904701391475773</v>
      </c>
      <c r="AS262" s="186" cm="1">
        <f t="array" ref="AS262">IF(AU$252=-1,AX262,IF(AU$252=99,AR262,IF(AU$252=0,INDEX($D255:$K255,0,AU$250),(INDEX($D255:$K255,0,AU$252+1)-INDEX($D255:$K255,0,AU$252))/(INDEX($D$249:$K$249,0,AU$252+1)-INDEX($D$249:$K$249,0,AU$252))+AR262)))</f>
        <v>0.66266657708994148</v>
      </c>
      <c r="AT262" s="186" cm="1">
        <f t="array" ref="AT262">IF(AV$252=-1,AY262,IF(AV$252=99,AS262,IF(AV$252=0,INDEX($D255:$K255,0,AV$250),(INDEX($D255:$K255,0,AV$252+1)-INDEX($D255:$K255,0,AV$252))/(INDEX($D$249:$K$249,0,AV$252+1)-INDEX($D$249:$K$249,0,AV$252))+AS262)))</f>
        <v>0.66628614026512523</v>
      </c>
      <c r="AU262" s="186" cm="1">
        <f t="array" ref="AU262">IF(AW$252=-1,AZ262,IF(AW$252=99,AT262,IF(AW$252=0,INDEX($D255:$K255,0,AW$250),(INDEX($D255:$K255,0,AW$252+1)-INDEX($D255:$K255,0,AW$252))/(INDEX($D$249:$K$249,0,AW$252+1)-INDEX($D$249:$K$249,0,AW$252))+AT262)))</f>
        <v>0.66990570344030897</v>
      </c>
      <c r="AV262" s="186" cm="1">
        <f t="array" ref="AV262">IF(AX$252=-1,BA262,IF(AX$252=99,AU262,IF(AX$252=0,INDEX($D255:$K255,0,AX$250),(INDEX($D255:$K255,0,AX$252+1)-INDEX($D255:$K255,0,AX$252))/(INDEX($D$249:$K$249,0,AX$252+1)-INDEX($D$249:$K$249,0,AX$252))+AU262)))</f>
        <v>0.67352526661549317</v>
      </c>
      <c r="AW262" s="186" cm="1">
        <f t="array" ref="AW262">IF(AY$252=-1,BB262,IF(AY$252=99,AV262,IF(AY$252=0,INDEX($D255:$K255,0,AY$250),(INDEX($D255:$K255,0,AY$252+1)-INDEX($D255:$K255,0,AY$252))/(INDEX($D$249:$K$249,0,AY$252+1)-INDEX($D$249:$K$249,0,AY$252))+AV262)))</f>
        <v>0.67352526661549317</v>
      </c>
      <c r="AX262" s="186" cm="1">
        <f t="array" ref="AX262">IF(AV$252=-1,AZ262,IF(AV$252=99,AW262,IF(AV$252=0,INDEX($D255:$K255,0,AV$250),(INDEX($D255:$K255,0,AV$252+1)-INDEX($D255:$K255,0,AV$252))/(INDEX($D$249:$K$249,0,AV$252+1)-INDEX($D$249:$K$249,0,AV$252))+AW262)))</f>
        <v>0.67714482979067692</v>
      </c>
      <c r="AY262" s="186" cm="1">
        <f t="array" ref="AY262">IF(AW$252=-1,BA262,IF(AW$252=99,AX262,IF(AW$252=0,INDEX($D255:$K255,0,AW$250),(INDEX($D255:$K255,0,AW$252+1)-INDEX($D255:$K255,0,AW$252))/(INDEX($D$249:$K$249,0,AW$252+1)-INDEX($D$249:$K$249,0,AW$252))+AX262)))</f>
        <v>0.68076439296586067</v>
      </c>
      <c r="AZ262" s="186" cm="1">
        <f t="array" ref="AZ262">IF(AX$252=-1,BB262,IF(AX$252=99,AY262,IF(AX$252=0,INDEX($D255:$K255,0,AX$250),(INDEX($D255:$K255,0,AX$252+1)-INDEX($D255:$K255,0,AX$252))/(INDEX($D$249:$K$249,0,AX$252+1)-INDEX($D$249:$K$249,0,AX$252))+AY262)))</f>
        <v>0.67352526661549317</v>
      </c>
      <c r="BA262" s="186" cm="1">
        <f t="array" ref="BA262">IF(AY$252=-1,BC262,IF(AY$252=99,AZ262,IF(AY$252=0,INDEX($D255:$K255,0,AY$250),(INDEX($D255:$K255,0,AY$252+1)-INDEX($D255:$K255,0,AY$252))/(INDEX($D$249:$K$249,0,AY$252+1)-INDEX($D$249:$K$249,0,AY$252))+AZ262)))</f>
        <v>0.67352526661549317</v>
      </c>
      <c r="BB262" s="186" cm="1">
        <f t="array" ref="BB262">IF(AZ$252=-1,BD262,IF(AZ$252=99,BA262,IF(AZ$252=0,INDEX($D255:$K255,0,AZ$250),(INDEX($D255:$K255,0,AZ$252+1)-INDEX($D255:$K255,0,AZ$252))/(INDEX($D$249:$K$249,0,AZ$252+1)-INDEX($D$249:$K$249,0,AZ$252))+BA262)))</f>
        <v>0.67352526661549317</v>
      </c>
      <c r="BC262" s="186" cm="1">
        <f t="array" ref="BC262">IF(BA$252=-1,BE262,IF(BA$252=99,BB262,IF(BA$252=0,INDEX($D255:$K255,0,BA$250),(INDEX($D255:$K255,0,BA$252+1)-INDEX($D255:$K255,0,BA$252))/(INDEX($D$249:$K$249,0,BA$252+1)-INDEX($D$249:$K$249,0,BA$252))+BB262)))</f>
        <v>0.67352526661549317</v>
      </c>
      <c r="BD262" s="186" cm="1">
        <f t="array" ref="BD262">IF(BB$252=-1,BF262,IF(BB$252=99,BC262,IF(BB$252=0,INDEX($D255:$K255,0,BB$250),(INDEX($D255:$K255,0,BB$252+1)-INDEX($D255:$K255,0,BB$252))/(INDEX($D$249:$K$249,0,BB$252+1)-INDEX($D$249:$K$249,0,BB$252))+BC262)))</f>
        <v>0.67352526661549317</v>
      </c>
    </row>
    <row r="263" spans="1:56">
      <c r="A263" s="185" t="s">
        <v>16</v>
      </c>
      <c r="E263" s="185" t="s">
        <v>442</v>
      </c>
      <c r="F263" s="185" t="s">
        <v>442</v>
      </c>
      <c r="G263" s="185" t="str">
        <f>G260</f>
        <v>low income</v>
      </c>
      <c r="H263" s="186" t="s">
        <v>439</v>
      </c>
      <c r="I263" s="185" t="str">
        <f>I260</f>
        <v>hhd-le</v>
      </c>
      <c r="J263" s="186">
        <f t="shared" si="633"/>
        <v>0.62362325125617091</v>
      </c>
      <c r="K263" s="186" cm="1">
        <f t="array" ref="K263">IF(M$252=-1,L263,IF(M$252=99,J263,IF(M$252=0,INDEX($D256:$K256,0,M$250),(INDEX($D256:$K256,0,M$252+1)-INDEX($D256:$K256,0,M$252))/(INDEX($D$249:$K$249,0,M$252+1)-INDEX($D$249:$K$249,0,M$252))+J263)))</f>
        <v>0.610027235478518</v>
      </c>
      <c r="L263" s="186" cm="1">
        <f t="array" ref="L263">IF(N$252=-1,M263,IF(N$252=99,K263,IF(N$252=0,INDEX($D256:$K256,0,N$250),(INDEX($D256:$K256,0,N$252+1)-INDEX($D256:$K256,0,N$252))/(INDEX($D$249:$K$249,0,N$252+1)-INDEX($D$249:$K$249,0,N$252))+K263)))</f>
        <v>0.5964312197008651</v>
      </c>
      <c r="M263" s="186" cm="1">
        <f t="array" ref="M263">IF(O$252=-1,N263,IF(O$252=99,L263,IF(O$252=0,INDEX($D256:$K256,0,O$250),(INDEX($D256:$K256,0,O$252+1)-INDEX($D256:$K256,0,O$252))/(INDEX($D$249:$K$249,0,O$252+1)-INDEX($D$249:$K$249,0,O$252))+L263)))</f>
        <v>0.58283520392321231</v>
      </c>
      <c r="N263" s="186" cm="1">
        <f t="array" ref="N263">IF(P$252=-1,O263,IF(P$252=99,M263,IF(P$252=0,INDEX($D256:$K256,0,P$250),(INDEX($D256:$K256,0,P$252+1)-INDEX($D256:$K256,0,P$252))/(INDEX($D$249:$K$249,0,P$252+1)-INDEX($D$249:$K$249,0,P$252))+M263)))</f>
        <v>0.29141760196160615</v>
      </c>
      <c r="O263" s="186" cm="1">
        <f t="array" ref="O263">IF(Q$252=-1,P263,IF(Q$252=99,N263,IF(Q$252=0,INDEX($D256:$K256,0,Q$250),(INDEX($D256:$K256,0,Q$252+1)-INDEX($D256:$K256,0,Q$252))/(INDEX($D$249:$K$249,0,Q$252+1)-INDEX($D$249:$K$249,0,Q$252))+N263)))</f>
        <v>0</v>
      </c>
      <c r="P263" s="186" cm="1">
        <f t="array" ref="P263">IF(R$252=-1,Q263,IF(R$252=99,O263,IF(R$252=0,INDEX($D256:$K256,0,R$250),(INDEX($D256:$K256,0,R$252+1)-INDEX($D256:$K256,0,R$252))/(INDEX($D$249:$K$249,0,R$252+1)-INDEX($D$249:$K$249,0,R$252))+O263)))</f>
        <v>0.19082214642317194</v>
      </c>
      <c r="Q263" s="186" cm="1">
        <f t="array" ref="Q263">IF(S$252=-1,R263,IF(S$252=99,P263,IF(S$252=0,INDEX($D256:$K256,0,S$250),(INDEX($D256:$K256,0,S$252+1)-INDEX($D256:$K256,0,S$252))/(INDEX($D$249:$K$249,0,S$252+1)-INDEX($D$249:$K$249,0,S$252))+P263)))</f>
        <v>0.38164429284634388</v>
      </c>
      <c r="R263" s="186" cm="1">
        <f t="array" ref="R263">IF(T$252=-1,S263,IF(T$252=99,Q263,IF(T$252=0,INDEX($D256:$K256,0,T$250),(INDEX($D256:$K256,0,T$252+1)-INDEX($D256:$K256,0,T$252))/(INDEX($D$249:$K$249,0,T$252+1)-INDEX($D$249:$K$249,0,T$252))+Q263)))</f>
        <v>0.57246643926951579</v>
      </c>
      <c r="S263" s="186" cm="1">
        <f t="array" ref="S263">IF(U$252=-1,T263,IF(U$252=99,R263,IF(U$252=0,INDEX($D256:$K256,0,U$250),(INDEX($D256:$K256,0,U$252+1)-INDEX($D256:$K256,0,U$252))/(INDEX($D$249:$K$249,0,U$252+1)-INDEX($D$249:$K$249,0,U$252))+R263)))</f>
        <v>0.56826922055156825</v>
      </c>
      <c r="T263" s="186" cm="1">
        <f t="array" ref="T263">IF(V$252=-1,U263,IF(V$252=99,S263,IF(V$252=0,INDEX($D256:$K256,0,V$250),(INDEX($D256:$K256,0,V$252+1)-INDEX($D256:$K256,0,V$252))/(INDEX($D$249:$K$249,0,V$252+1)-INDEX($D$249:$K$249,0,V$252))+S263)))</f>
        <v>0.56407200183362072</v>
      </c>
      <c r="U263" s="186" cm="1">
        <f t="array" ref="U263">IF(W$252=-1,V263,IF(W$252=99,T263,IF(W$252=0,INDEX($D256:$K256,0,W$250),(INDEX($D256:$K256,0,W$252+1)-INDEX($D256:$K256,0,W$252))/(INDEX($D$249:$K$249,0,W$252+1)-INDEX($D$249:$K$249,0,W$252))+T263)))</f>
        <v>0.55987478311567318</v>
      </c>
      <c r="V263" s="186" cm="1">
        <f t="array" ref="V263">IF(X$252=-1,W263,IF(X$252=99,U263,IF(X$252=0,INDEX($D256:$K256,0,X$250),(INDEX($D256:$K256,0,X$252+1)-INDEX($D256:$K256,0,X$252))/(INDEX($D$249:$K$249,0,X$252+1)-INDEX($D$249:$K$249,0,X$252))+U263)))</f>
        <v>0.55567756439772564</v>
      </c>
      <c r="W263" s="186" cm="1">
        <f t="array" ref="W263">IF(Y$252=-1,X263,IF(Y$252=99,V263,IF(Y$252=0,INDEX($D256:$K256,0,Y$250),(INDEX($D256:$K256,0,Y$252+1)-INDEX($D256:$K256,0,Y$252))/(INDEX($D$249:$K$249,0,Y$252+1)-INDEX($D$249:$K$249,0,Y$252))+V263)))</f>
        <v>0.55148034567977811</v>
      </c>
      <c r="X263" s="186" cm="1">
        <f t="array" ref="X263">IF(Z$252=-1,Y263,IF(Z$252=99,W263,IF(Z$252=0,INDEX($D256:$K256,0,Z$250),(INDEX($D256:$K256,0,Z$252+1)-INDEX($D256:$K256,0,Z$252))/(INDEX($D$249:$K$249,0,Z$252+1)-INDEX($D$249:$K$249,0,Z$252))+W263)))</f>
        <v>0.54728312696183057</v>
      </c>
      <c r="Y263" s="186" cm="1">
        <f t="array" ref="Y263">IF(AA$252=-1,Z263,IF(AA$252=99,X263,IF(AA$252=0,INDEX($D256:$K256,0,AA$250),(INDEX($D256:$K256,0,AA$252+1)-INDEX($D256:$K256,0,AA$252))/(INDEX($D$249:$K$249,0,AA$252+1)-INDEX($D$249:$K$249,0,AA$252))+X263)))</f>
        <v>0.54308590824388303</v>
      </c>
      <c r="Z263" s="186" cm="1">
        <f t="array" ref="Z263">IF(AB$252=-1,AA263,IF(AB$252=99,Y263,IF(AB$252=0,INDEX($D256:$K256,0,AB$250),(INDEX($D256:$K256,0,AB$252+1)-INDEX($D256:$K256,0,AB$252))/(INDEX($D$249:$K$249,0,AB$252+1)-INDEX($D$249:$K$249,0,AB$252))+Y263)))</f>
        <v>0.53888868952593549</v>
      </c>
      <c r="AA263" s="186" cm="1">
        <f t="array" ref="AA263">IF(AC$252=-1,AB263,IF(AC$252=99,Z263,IF(AC$252=0,INDEX($D256:$K256,0,AC$250),(INDEX($D256:$K256,0,AC$252+1)-INDEX($D256:$K256,0,AC$252))/(INDEX($D$249:$K$249,0,AC$252+1)-INDEX($D$249:$K$249,0,AC$252))+Z263)))</f>
        <v>0.53469147080798796</v>
      </c>
      <c r="AB263" s="186" cm="1">
        <f t="array" ref="AB263">IF(AD$252=-1,AC263,IF(AD$252=99,AA263,IF(AD$252=0,INDEX($D256:$K256,0,AD$250),(INDEX($D256:$K256,0,AD$252+1)-INDEX($D256:$K256,0,AD$252))/(INDEX($D$249:$K$249,0,AD$252+1)-INDEX($D$249:$K$249,0,AD$252))+AA263)))</f>
        <v>0.53049425209004064</v>
      </c>
      <c r="AC263" s="186" cm="1">
        <f t="array" ref="AC263">IF(AE$252=-1,AD263,IF(AE$252=99,AB263,IF(AE$252=0,INDEX($D256:$K256,0,AE$250),(INDEX($D256:$K256,0,AE$252+1)-INDEX($D256:$K256,0,AE$252))/(INDEX($D$249:$K$249,0,AE$252+1)-INDEX($D$249:$K$249,0,AE$252))+AB263)))</f>
        <v>0.5240790809552841</v>
      </c>
      <c r="AD263" s="186" cm="1">
        <f t="array" ref="AD263">IF(AF$252=-1,AE263,IF(AF$252=99,AC263,IF(AF$252=0,INDEX($D256:$K256,0,AF$250),(INDEX($D256:$K256,0,AF$252+1)-INDEX($D256:$K256,0,AF$252))/(INDEX($D$249:$K$249,0,AF$252+1)-INDEX($D$249:$K$249,0,AF$252))+AC263)))</f>
        <v>0.51766390982052757</v>
      </c>
      <c r="AE263" s="186" cm="1">
        <f t="array" ref="AE263">IF(AG$252=-1,AF263,IF(AG$252=99,AD263,IF(AG$252=0,INDEX($D256:$K256,0,AG$250),(INDEX($D256:$K256,0,AG$252+1)-INDEX($D256:$K256,0,AG$252))/(INDEX($D$249:$K$249,0,AG$252+1)-INDEX($D$249:$K$249,0,AG$252))+AD263)))</f>
        <v>0.51124873868577103</v>
      </c>
      <c r="AF263" s="186" cm="1">
        <f t="array" ref="AF263">IF(AH$252=-1,AG263,IF(AH$252=99,AE263,IF(AH$252=0,INDEX($D256:$K256,0,AH$250),(INDEX($D256:$K256,0,AH$252+1)-INDEX($D256:$K256,0,AH$252))/(INDEX($D$249:$K$249,0,AH$252+1)-INDEX($D$249:$K$249,0,AH$252))+AE263)))</f>
        <v>0.50483356755101449</v>
      </c>
      <c r="AG263" s="186" cm="1">
        <f t="array" ref="AG263">IF(AI$252=-1,AH263,IF(AI$252=99,AF263,IF(AI$252=0,INDEX($D256:$K256,0,AI$250),(INDEX($D256:$K256,0,AI$252+1)-INDEX($D256:$K256,0,AI$252))/(INDEX($D$249:$K$249,0,AI$252+1)-INDEX($D$249:$K$249,0,AI$252))+AF263)))</f>
        <v>0.49841839641625796</v>
      </c>
      <c r="AH263" s="186" cm="1">
        <f t="array" ref="AH263">IF(AJ$252=-1,AI263,IF(AJ$252=99,AG263,IF(AJ$252=0,INDEX($D256:$K256,0,AJ$250),(INDEX($D256:$K256,0,AJ$252+1)-INDEX($D256:$K256,0,AJ$252))/(INDEX($D$249:$K$249,0,AJ$252+1)-INDEX($D$249:$K$249,0,AJ$252))+AG263)))</f>
        <v>0.49200322528150142</v>
      </c>
      <c r="AI263" s="186" cm="1">
        <f t="array" ref="AI263">IF(AK$252=-1,AJ263,IF(AK$252=99,AH263,IF(AK$252=0,INDEX($D256:$K256,0,AK$250),(INDEX($D256:$K256,0,AK$252+1)-INDEX($D256:$K256,0,AK$252))/(INDEX($D$249:$K$249,0,AK$252+1)-INDEX($D$249:$K$249,0,AK$252))+AH263)))</f>
        <v>0.48558805414674489</v>
      </c>
      <c r="AJ263" s="186" cm="1">
        <f t="array" ref="AJ263">IF(AL$252=-1,AK263,IF(AL$252=99,AI263,IF(AL$252=0,INDEX($D256:$K256,0,AL$250),(INDEX($D256:$K256,0,AL$252+1)-INDEX($D256:$K256,0,AL$252))/(INDEX($D$249:$K$249,0,AL$252+1)-INDEX($D$249:$K$249,0,AL$252))+AI263)))</f>
        <v>0.47917288301198835</v>
      </c>
      <c r="AK263" s="186" cm="1">
        <f t="array" ref="AK263">IF(AM$252=-1,AL263,IF(AM$252=99,AJ263,IF(AM$252=0,INDEX($D256:$K256,0,AM$250),(INDEX($D256:$K256,0,AM$252+1)-INDEX($D256:$K256,0,AM$252))/(INDEX($D$249:$K$249,0,AM$252+1)-INDEX($D$249:$K$249,0,AM$252))+AJ263)))</f>
        <v>0.47275771187723181</v>
      </c>
      <c r="AL263" s="186" cm="1">
        <f t="array" ref="AL263">IF(AN$252=-1,AM263,IF(AN$252=99,AK263,IF(AN$252=0,INDEX($D256:$K256,0,AN$250),(INDEX($D256:$K256,0,AN$252+1)-INDEX($D256:$K256,0,AN$252))/(INDEX($D$249:$K$249,0,AN$252+1)-INDEX($D$249:$K$249,0,AN$252))+AK263)))</f>
        <v>0.46634254074247544</v>
      </c>
      <c r="AM263" s="186" cm="1">
        <f t="array" ref="AM263">IF(AO$252=-1,AN263,IF(AO$252=99,AL263,IF(AO$252=0,INDEX($D256:$K256,0,AO$250),(INDEX($D256:$K256,0,AO$252+1)-INDEX($D256:$K256,0,AO$252))/(INDEX($D$249:$K$249,0,AO$252+1)-INDEX($D$249:$K$249,0,AO$252))+AL263)))</f>
        <v>0.45973901810617113</v>
      </c>
      <c r="AN263" s="186" cm="1">
        <f t="array" ref="AN263">IF(AP$252=-1,AO263,IF(AP$252=99,AM263,IF(AP$252=0,INDEX($D256:$K256,0,AP$250),(INDEX($D256:$K256,0,AP$252+1)-INDEX($D256:$K256,0,AP$252))/(INDEX($D$249:$K$249,0,AP$252+1)-INDEX($D$249:$K$249,0,AP$252))+AM263)))</f>
        <v>0.45313549546986687</v>
      </c>
      <c r="AO263" s="186" cm="1">
        <f t="array" ref="AO263">IF(AQ$252=-1,AP263,IF(AQ$252=99,AN263,IF(AQ$252=0,INDEX($D256:$K256,0,AQ$250),(INDEX($D256:$K256,0,AQ$252+1)-INDEX($D256:$K256,0,AQ$252))/(INDEX($D$249:$K$249,0,AQ$252+1)-INDEX($D$249:$K$249,0,AQ$252))+AN263)))</f>
        <v>0.44653197283356261</v>
      </c>
      <c r="AP263" s="186" cm="1">
        <f t="array" ref="AP263">IF(AR$252=-1,AQ263,IF(AR$252=99,AO263,IF(AR$252=0,INDEX($D256:$K256,0,AR$250),(INDEX($D256:$K256,0,AR$252+1)-INDEX($D256:$K256,0,AR$252))/(INDEX($D$249:$K$249,0,AR$252+1)-INDEX($D$249:$K$249,0,AR$252))+AO263)))</f>
        <v>0.43992845019725835</v>
      </c>
      <c r="AQ263" s="186" cm="1">
        <f t="array" ref="AQ263">IF(AS$252=-1,AR263,IF(AS$252=99,AP263,IF(AS$252=0,INDEX($D256:$K256,0,AS$250),(INDEX($D256:$K256,0,AS$252+1)-INDEX($D256:$K256,0,AS$252))/(INDEX($D$249:$K$249,0,AS$252+1)-INDEX($D$249:$K$249,0,AS$252))+AP263)))</f>
        <v>0.43332492756095409</v>
      </c>
      <c r="AR263" s="186" cm="1">
        <f t="array" ref="AR263">IF(AT$252=-1,AW263,IF(AT$252=99,AQ263,IF(AT$252=0,INDEX($D256:$K256,0,AT$250),(INDEX($D256:$K256,0,AT$252+1)-INDEX($D256:$K256,0,AT$252))/(INDEX($D$249:$K$249,0,AT$252+1)-INDEX($D$249:$K$249,0,AT$252))+AQ263)))</f>
        <v>0.42672140492464983</v>
      </c>
      <c r="AS263" s="186" cm="1">
        <f t="array" ref="AS263">IF(AU$252=-1,AX263,IF(AU$252=99,AR263,IF(AU$252=0,INDEX($D256:$K256,0,AU$250),(INDEX($D256:$K256,0,AU$252+1)-INDEX($D256:$K256,0,AU$252))/(INDEX($D$249:$K$249,0,AU$252+1)-INDEX($D$249:$K$249,0,AU$252))+AR263)))</f>
        <v>0.42011788228834557</v>
      </c>
      <c r="AT263" s="186" cm="1">
        <f t="array" ref="AT263">IF(AV$252=-1,AY263,IF(AV$252=99,AS263,IF(AV$252=0,INDEX($D256:$K256,0,AV$250),(INDEX($D256:$K256,0,AV$252+1)-INDEX($D256:$K256,0,AV$252))/(INDEX($D$249:$K$249,0,AV$252+1)-INDEX($D$249:$K$249,0,AV$252))+AS263)))</f>
        <v>0.41351435965204131</v>
      </c>
      <c r="AU263" s="186" cm="1">
        <f t="array" ref="AU263">IF(AW$252=-1,AZ263,IF(AW$252=99,AT263,IF(AW$252=0,INDEX($D256:$K256,0,AW$250),(INDEX($D256:$K256,0,AW$252+1)-INDEX($D256:$K256,0,AW$252))/(INDEX($D$249:$K$249,0,AW$252+1)-INDEX($D$249:$K$249,0,AW$252))+AT263)))</f>
        <v>0.40691083701573705</v>
      </c>
      <c r="AV263" s="186" cm="1">
        <f t="array" ref="AV263">IF(AX$252=-1,BA263,IF(AX$252=99,AU263,IF(AX$252=0,INDEX($D256:$K256,0,AX$250),(INDEX($D256:$K256,0,AX$252+1)-INDEX($D256:$K256,0,AX$252))/(INDEX($D$249:$K$249,0,AX$252+1)-INDEX($D$249:$K$249,0,AX$252))+AU263)))</f>
        <v>0.40030731437943257</v>
      </c>
      <c r="AW263" s="186" cm="1">
        <f t="array" ref="AW263">IF(AY$252=-1,BB263,IF(AY$252=99,AV263,IF(AY$252=0,INDEX($D256:$K256,0,AY$250),(INDEX($D256:$K256,0,AY$252+1)-INDEX($D256:$K256,0,AY$252))/(INDEX($D$249:$K$249,0,AY$252+1)-INDEX($D$249:$K$249,0,AY$252))+AV263)))</f>
        <v>0.40030731437943257</v>
      </c>
      <c r="AX263" s="186" cm="1">
        <f t="array" ref="AX263">IF(AV$252=-1,AZ263,IF(AV$252=99,AW263,IF(AV$252=0,INDEX($D256:$K256,0,AV$250),(INDEX($D256:$K256,0,AV$252+1)-INDEX($D256:$K256,0,AV$252))/(INDEX($D$249:$K$249,0,AV$252+1)-INDEX($D$249:$K$249,0,AV$252))+AW263)))</f>
        <v>0.39370379174312831</v>
      </c>
      <c r="AY263" s="186" cm="1">
        <f t="array" ref="AY263">IF(AW$252=-1,BA263,IF(AW$252=99,AX263,IF(AW$252=0,INDEX($D256:$K256,0,AW$250),(INDEX($D256:$K256,0,AW$252+1)-INDEX($D256:$K256,0,AW$252))/(INDEX($D$249:$K$249,0,AW$252+1)-INDEX($D$249:$K$249,0,AW$252))+AX263)))</f>
        <v>0.38710026910682405</v>
      </c>
      <c r="AZ263" s="186" cm="1">
        <f t="array" ref="AZ263">IF(AX$252=-1,BB263,IF(AX$252=99,AY263,IF(AX$252=0,INDEX($D256:$K256,0,AX$250),(INDEX($D256:$K256,0,AX$252+1)-INDEX($D256:$K256,0,AX$252))/(INDEX($D$249:$K$249,0,AX$252+1)-INDEX($D$249:$K$249,0,AX$252))+AY263)))</f>
        <v>0.40030731437943257</v>
      </c>
      <c r="BA263" s="186" cm="1">
        <f t="array" ref="BA263">IF(AY$252=-1,BC263,IF(AY$252=99,AZ263,IF(AY$252=0,INDEX($D256:$K256,0,AY$250),(INDEX($D256:$K256,0,AY$252+1)-INDEX($D256:$K256,0,AY$252))/(INDEX($D$249:$K$249,0,AY$252+1)-INDEX($D$249:$K$249,0,AY$252))+AZ263)))</f>
        <v>0.40030731437943257</v>
      </c>
      <c r="BB263" s="186" cm="1">
        <f t="array" ref="BB263">IF(AZ$252=-1,BD263,IF(AZ$252=99,BA263,IF(AZ$252=0,INDEX($D256:$K256,0,AZ$250),(INDEX($D256:$K256,0,AZ$252+1)-INDEX($D256:$K256,0,AZ$252))/(INDEX($D$249:$K$249,0,AZ$252+1)-INDEX($D$249:$K$249,0,AZ$252))+BA263)))</f>
        <v>0.40030731437943257</v>
      </c>
      <c r="BC263" s="186" cm="1">
        <f t="array" ref="BC263">IF(BA$252=-1,BE263,IF(BA$252=99,BB263,IF(BA$252=0,INDEX($D256:$K256,0,BA$250),(INDEX($D256:$K256,0,BA$252+1)-INDEX($D256:$K256,0,BA$252))/(INDEX($D$249:$K$249,0,BA$252+1)-INDEX($D$249:$K$249,0,BA$252))+BB263)))</f>
        <v>0.40030731437943257</v>
      </c>
      <c r="BD263" s="186" cm="1">
        <f t="array" ref="BD263">IF(BB$252=-1,BF263,IF(BB$252=99,BC263,IF(BB$252=0,INDEX($D256:$K256,0,BB$250),(INDEX($D256:$K256,0,BB$252+1)-INDEX($D256:$K256,0,BB$252))/(INDEX($D$249:$K$249,0,BB$252+1)-INDEX($D$249:$K$249,0,BB$252))+BC263)))</f>
        <v>0.40030731437943257</v>
      </c>
    </row>
    <row r="264" spans="1:56">
      <c r="A264" s="185" t="s">
        <v>16</v>
      </c>
      <c r="E264" s="185" t="s">
        <v>442</v>
      </c>
      <c r="F264" s="185" t="s">
        <v>442</v>
      </c>
      <c r="G264" s="185" t="str">
        <f>G261</f>
        <v>medium income</v>
      </c>
      <c r="H264" s="186" t="s">
        <v>439</v>
      </c>
      <c r="I264" s="185" t="str">
        <f>I261</f>
        <v>hhd-me</v>
      </c>
      <c r="J264" s="186">
        <f t="shared" si="633"/>
        <v>0.27049531864175524</v>
      </c>
      <c r="K264" s="186" cm="1">
        <f t="array" ref="K264">IF(M$252=-1,L264,IF(M$252=99,J264,IF(M$252=0,INDEX($D257:$K257,0,M$250),(INDEX($D257:$K257,0,M$252+1)-INDEX($D257:$K257,0,M$252))/(INDEX($D$249:$K$249,0,M$252+1)-INDEX($D$249:$K$249,0,M$252))+J264)))</f>
        <v>0.27470463579061155</v>
      </c>
      <c r="L264" s="186" cm="1">
        <f t="array" ref="L264">IF(N$252=-1,M264,IF(N$252=99,K264,IF(N$252=0,INDEX($D257:$K257,0,N$250),(INDEX($D257:$K257,0,N$252+1)-INDEX($D257:$K257,0,N$252))/(INDEX($D$249:$K$249,0,N$252+1)-INDEX($D$249:$K$249,0,N$252))+K264)))</f>
        <v>0.27891395293946786</v>
      </c>
      <c r="M264" s="186" cm="1">
        <f t="array" ref="M264">IF(O$252=-1,N264,IF(O$252=99,L264,IF(O$252=0,INDEX($D257:$K257,0,O$250),(INDEX($D257:$K257,0,O$252+1)-INDEX($D257:$K257,0,O$252))/(INDEX($D$249:$K$249,0,O$252+1)-INDEX($D$249:$K$249,0,O$252))+L264)))</f>
        <v>0.28312327008832416</v>
      </c>
      <c r="N264" s="186" cm="1">
        <f t="array" ref="N264">IF(P$252=-1,O264,IF(P$252=99,M264,IF(P$252=0,INDEX($D257:$K257,0,P$250),(INDEX($D257:$K257,0,P$252+1)-INDEX($D257:$K257,0,P$252))/(INDEX($D$249:$K$249,0,P$252+1)-INDEX($D$249:$K$249,0,P$252))+M264)))</f>
        <v>0.14156163504416208</v>
      </c>
      <c r="O264" s="186" cm="1">
        <f t="array" ref="O264">IF(Q$252=-1,P264,IF(Q$252=99,N264,IF(Q$252=0,INDEX($D257:$K257,0,Q$250),(INDEX($D257:$K257,0,Q$252+1)-INDEX($D257:$K257,0,Q$252))/(INDEX($D$249:$K$249,0,Q$252+1)-INDEX($D$249:$K$249,0,Q$252))+N264)))</f>
        <v>0</v>
      </c>
      <c r="P264" s="186" cm="1">
        <f t="array" ref="P264">IF(R$252=-1,Q264,IF(R$252=99,O264,IF(R$252=0,INDEX($D257:$K257,0,R$250),(INDEX($D257:$K257,0,R$252+1)-INDEX($D257:$K257,0,R$252))/(INDEX($D$249:$K$249,0,R$252+1)-INDEX($D$249:$K$249,0,R$252))+O264)))</f>
        <v>0.10213654792396552</v>
      </c>
      <c r="Q264" s="186" cm="1">
        <f t="array" ref="Q264">IF(S$252=-1,R264,IF(S$252=99,P264,IF(S$252=0,INDEX($D257:$K257,0,S$250),(INDEX($D257:$K257,0,S$252+1)-INDEX($D257:$K257,0,S$252))/(INDEX($D$249:$K$249,0,S$252+1)-INDEX($D$249:$K$249,0,S$252))+P264)))</f>
        <v>0.20427309584793105</v>
      </c>
      <c r="R264" s="186" cm="1">
        <f t="array" ref="R264">IF(T$252=-1,S264,IF(T$252=99,Q264,IF(T$252=0,INDEX($D257:$K257,0,T$250),(INDEX($D257:$K257,0,T$252+1)-INDEX($D257:$K257,0,T$252))/(INDEX($D$249:$K$249,0,T$252+1)-INDEX($D$249:$K$249,0,T$252))+Q264)))</f>
        <v>0.30640964377189656</v>
      </c>
      <c r="S264" s="186" cm="1">
        <f t="array" ref="S264">IF(U$252=-1,T264,IF(U$252=99,R264,IF(U$252=0,INDEX($D257:$K257,0,U$250),(INDEX($D257:$K257,0,U$252+1)-INDEX($D257:$K257,0,U$252))/(INDEX($D$249:$K$249,0,U$252+1)-INDEX($D$249:$K$249,0,U$252))+R264)))</f>
        <v>0.30750969879229367</v>
      </c>
      <c r="T264" s="186" cm="1">
        <f t="array" ref="T264">IF(V$252=-1,U264,IF(V$252=99,S264,IF(V$252=0,INDEX($D257:$K257,0,V$250),(INDEX($D257:$K257,0,V$252+1)-INDEX($D257:$K257,0,V$252))/(INDEX($D$249:$K$249,0,V$252+1)-INDEX($D$249:$K$249,0,V$252))+S264)))</f>
        <v>0.30860975381269079</v>
      </c>
      <c r="U264" s="186" cm="1">
        <f t="array" ref="U264">IF(W$252=-1,V264,IF(W$252=99,T264,IF(W$252=0,INDEX($D257:$K257,0,W$250),(INDEX($D257:$K257,0,W$252+1)-INDEX($D257:$K257,0,W$252))/(INDEX($D$249:$K$249,0,W$252+1)-INDEX($D$249:$K$249,0,W$252))+T264)))</f>
        <v>0.30970980883308791</v>
      </c>
      <c r="V264" s="186" cm="1">
        <f t="array" ref="V264">IF(X$252=-1,W264,IF(X$252=99,U264,IF(X$252=0,INDEX($D257:$K257,0,X$250),(INDEX($D257:$K257,0,X$252+1)-INDEX($D257:$K257,0,X$252))/(INDEX($D$249:$K$249,0,X$252+1)-INDEX($D$249:$K$249,0,X$252))+U264)))</f>
        <v>0.31080986385348502</v>
      </c>
      <c r="W264" s="186" cm="1">
        <f t="array" ref="W264">IF(Y$252=-1,X264,IF(Y$252=99,V264,IF(Y$252=0,INDEX($D257:$K257,0,Y$250),(INDEX($D257:$K257,0,Y$252+1)-INDEX($D257:$K257,0,Y$252))/(INDEX($D$249:$K$249,0,Y$252+1)-INDEX($D$249:$K$249,0,Y$252))+V264)))</f>
        <v>0.31190991887388214</v>
      </c>
      <c r="X264" s="186" cm="1">
        <f t="array" ref="X264">IF(Z$252=-1,Y264,IF(Z$252=99,W264,IF(Z$252=0,INDEX($D257:$K257,0,Z$250),(INDEX($D257:$K257,0,Z$252+1)-INDEX($D257:$K257,0,Z$252))/(INDEX($D$249:$K$249,0,Z$252+1)-INDEX($D$249:$K$249,0,Z$252))+W264)))</f>
        <v>0.31300997389427926</v>
      </c>
      <c r="Y264" s="186" cm="1">
        <f t="array" ref="Y264">IF(AA$252=-1,Z264,IF(AA$252=99,X264,IF(AA$252=0,INDEX($D257:$K257,0,AA$250),(INDEX($D257:$K257,0,AA$252+1)-INDEX($D257:$K257,0,AA$252))/(INDEX($D$249:$K$249,0,AA$252+1)-INDEX($D$249:$K$249,0,AA$252))+X264)))</f>
        <v>0.31411002891467638</v>
      </c>
      <c r="Z264" s="186" cm="1">
        <f t="array" ref="Z264">IF(AB$252=-1,AA264,IF(AB$252=99,Y264,IF(AB$252=0,INDEX($D257:$K257,0,AB$250),(INDEX($D257:$K257,0,AB$252+1)-INDEX($D257:$K257,0,AB$252))/(INDEX($D$249:$K$249,0,AB$252+1)-INDEX($D$249:$K$249,0,AB$252))+Y264)))</f>
        <v>0.31521008393507349</v>
      </c>
      <c r="AA264" s="186" cm="1">
        <f t="array" ref="AA264">IF(AC$252=-1,AB264,IF(AC$252=99,Z264,IF(AC$252=0,INDEX($D257:$K257,0,AC$250),(INDEX($D257:$K257,0,AC$252+1)-INDEX($D257:$K257,0,AC$252))/(INDEX($D$249:$K$249,0,AC$252+1)-INDEX($D$249:$K$249,0,AC$252))+Z264)))</f>
        <v>0.31631013895547061</v>
      </c>
      <c r="AB264" s="186" cm="1">
        <f t="array" ref="AB264">IF(AD$252=-1,AC264,IF(AD$252=99,AA264,IF(AD$252=0,INDEX($D257:$K257,0,AD$250),(INDEX($D257:$K257,0,AD$252+1)-INDEX($D257:$K257,0,AD$252))/(INDEX($D$249:$K$249,0,AD$252+1)-INDEX($D$249:$K$249,0,AD$252))+AA264)))</f>
        <v>0.31741019397586784</v>
      </c>
      <c r="AC264" s="186" cm="1">
        <f t="array" ref="AC264">IF(AE$252=-1,AD264,IF(AE$252=99,AB264,IF(AE$252=0,INDEX($D257:$K257,0,AE$250),(INDEX($D257:$K257,0,AE$252+1)-INDEX($D257:$K257,0,AE$252))/(INDEX($D$249:$K$249,0,AE$252+1)-INDEX($D$249:$K$249,0,AE$252))+AB264)))</f>
        <v>0.32165441815671364</v>
      </c>
      <c r="AD264" s="186" cm="1">
        <f t="array" ref="AD264">IF(AF$252=-1,AE264,IF(AF$252=99,AC264,IF(AF$252=0,INDEX($D257:$K257,0,AF$250),(INDEX($D257:$K257,0,AF$252+1)-INDEX($D257:$K257,0,AF$252))/(INDEX($D$249:$K$249,0,AF$252+1)-INDEX($D$249:$K$249,0,AF$252))+AC264)))</f>
        <v>0.32589864233755944</v>
      </c>
      <c r="AE264" s="186" cm="1">
        <f t="array" ref="AE264">IF(AG$252=-1,AF264,IF(AG$252=99,AD264,IF(AG$252=0,INDEX($D257:$K257,0,AG$250),(INDEX($D257:$K257,0,AG$252+1)-INDEX($D257:$K257,0,AG$252))/(INDEX($D$249:$K$249,0,AG$252+1)-INDEX($D$249:$K$249,0,AG$252))+AD264)))</f>
        <v>0.33014286651840524</v>
      </c>
      <c r="AF264" s="186" cm="1">
        <f t="array" ref="AF264">IF(AH$252=-1,AG264,IF(AH$252=99,AE264,IF(AH$252=0,INDEX($D257:$K257,0,AH$250),(INDEX($D257:$K257,0,AH$252+1)-INDEX($D257:$K257,0,AH$252))/(INDEX($D$249:$K$249,0,AH$252+1)-INDEX($D$249:$K$249,0,AH$252))+AE264)))</f>
        <v>0.33438709069925104</v>
      </c>
      <c r="AG264" s="186" cm="1">
        <f t="array" ref="AG264">IF(AI$252=-1,AH264,IF(AI$252=99,AF264,IF(AI$252=0,INDEX($D257:$K257,0,AI$250),(INDEX($D257:$K257,0,AI$252+1)-INDEX($D257:$K257,0,AI$252))/(INDEX($D$249:$K$249,0,AI$252+1)-INDEX($D$249:$K$249,0,AI$252))+AF264)))</f>
        <v>0.33863131488009685</v>
      </c>
      <c r="AH264" s="186" cm="1">
        <f t="array" ref="AH264">IF(AJ$252=-1,AI264,IF(AJ$252=99,AG264,IF(AJ$252=0,INDEX($D257:$K257,0,AJ$250),(INDEX($D257:$K257,0,AJ$252+1)-INDEX($D257:$K257,0,AJ$252))/(INDEX($D$249:$K$249,0,AJ$252+1)-INDEX($D$249:$K$249,0,AJ$252))+AG264)))</f>
        <v>0.34287553906094265</v>
      </c>
      <c r="AI264" s="186" cm="1">
        <f t="array" ref="AI264">IF(AK$252=-1,AJ264,IF(AK$252=99,AH264,IF(AK$252=0,INDEX($D257:$K257,0,AK$250),(INDEX($D257:$K257,0,AK$252+1)-INDEX($D257:$K257,0,AK$252))/(INDEX($D$249:$K$249,0,AK$252+1)-INDEX($D$249:$K$249,0,AK$252))+AH264)))</f>
        <v>0.34711976324178845</v>
      </c>
      <c r="AJ264" s="186" cm="1">
        <f t="array" ref="AJ264">IF(AL$252=-1,AK264,IF(AL$252=99,AI264,IF(AL$252=0,INDEX($D257:$K257,0,AL$250),(INDEX($D257:$K257,0,AL$252+1)-INDEX($D257:$K257,0,AL$252))/(INDEX($D$249:$K$249,0,AL$252+1)-INDEX($D$249:$K$249,0,AL$252))+AI264)))</f>
        <v>0.35136398742263425</v>
      </c>
      <c r="AK264" s="186" cm="1">
        <f t="array" ref="AK264">IF(AM$252=-1,AL264,IF(AM$252=99,AJ264,IF(AM$252=0,INDEX($D257:$K257,0,AM$250),(INDEX($D257:$K257,0,AM$252+1)-INDEX($D257:$K257,0,AM$252))/(INDEX($D$249:$K$249,0,AM$252+1)-INDEX($D$249:$K$249,0,AM$252))+AJ264)))</f>
        <v>0.35560821160348005</v>
      </c>
      <c r="AL264" s="186" cm="1">
        <f t="array" ref="AL264">IF(AN$252=-1,AM264,IF(AN$252=99,AK264,IF(AN$252=0,INDEX($D257:$K257,0,AN$250),(INDEX($D257:$K257,0,AN$252+1)-INDEX($D257:$K257,0,AN$252))/(INDEX($D$249:$K$249,0,AN$252+1)-INDEX($D$249:$K$249,0,AN$252))+AK264)))</f>
        <v>0.35985243578432607</v>
      </c>
      <c r="AM264" s="186" cm="1">
        <f t="array" ref="AM264">IF(AO$252=-1,AN264,IF(AO$252=99,AL264,IF(AO$252=0,INDEX($D257:$K257,0,AO$250),(INDEX($D257:$K257,0,AO$252+1)-INDEX($D257:$K257,0,AO$252))/(INDEX($D$249:$K$249,0,AO$252+1)-INDEX($D$249:$K$249,0,AO$252))+AL264)))</f>
        <v>0.36435119509068192</v>
      </c>
      <c r="AN264" s="186" cm="1">
        <f t="array" ref="AN264">IF(AP$252=-1,AO264,IF(AP$252=99,AM264,IF(AP$252=0,INDEX($D257:$K257,0,AP$250),(INDEX($D257:$K257,0,AP$252+1)-INDEX($D257:$K257,0,AP$252))/(INDEX($D$249:$K$249,0,AP$252+1)-INDEX($D$249:$K$249,0,AP$252))+AM264)))</f>
        <v>0.36884995439703777</v>
      </c>
      <c r="AO264" s="186" cm="1">
        <f t="array" ref="AO264">IF(AQ$252=-1,AP264,IF(AQ$252=99,AN264,IF(AQ$252=0,INDEX($D257:$K257,0,AQ$250),(INDEX($D257:$K257,0,AQ$252+1)-INDEX($D257:$K257,0,AQ$252))/(INDEX($D$249:$K$249,0,AQ$252+1)-INDEX($D$249:$K$249,0,AQ$252))+AN264)))</f>
        <v>0.37334871370339362</v>
      </c>
      <c r="AP264" s="186" cm="1">
        <f t="array" ref="AP264">IF(AR$252=-1,AQ264,IF(AR$252=99,AO264,IF(AR$252=0,INDEX($D257:$K257,0,AR$250),(INDEX($D257:$K257,0,AR$252+1)-INDEX($D257:$K257,0,AR$252))/(INDEX($D$249:$K$249,0,AR$252+1)-INDEX($D$249:$K$249,0,AR$252))+AO264)))</f>
        <v>0.37784747300974947</v>
      </c>
      <c r="AQ264" s="186" cm="1">
        <f t="array" ref="AQ264">IF(AS$252=-1,AR264,IF(AS$252=99,AP264,IF(AS$252=0,INDEX($D257:$K257,0,AS$250),(INDEX($D257:$K257,0,AS$252+1)-INDEX($D257:$K257,0,AS$252))/(INDEX($D$249:$K$249,0,AS$252+1)-INDEX($D$249:$K$249,0,AS$252))+AP264)))</f>
        <v>0.38234623231610532</v>
      </c>
      <c r="AR264" s="186" cm="1">
        <f t="array" ref="AR264">IF(AT$252=-1,AW264,IF(AT$252=99,AQ264,IF(AT$252=0,INDEX($D257:$K257,0,AT$250),(INDEX($D257:$K257,0,AT$252+1)-INDEX($D257:$K257,0,AT$252))/(INDEX($D$249:$K$249,0,AT$252+1)-INDEX($D$249:$K$249,0,AT$252))+AQ264)))</f>
        <v>0.38684499162246117</v>
      </c>
      <c r="AS264" s="186" cm="1">
        <f t="array" ref="AS264">IF(AU$252=-1,AX264,IF(AU$252=99,AR264,IF(AU$252=0,INDEX($D257:$K257,0,AU$250),(INDEX($D257:$K257,0,AU$252+1)-INDEX($D257:$K257,0,AU$252))/(INDEX($D$249:$K$249,0,AU$252+1)-INDEX($D$249:$K$249,0,AU$252))+AR264)))</f>
        <v>0.39134375092881701</v>
      </c>
      <c r="AT264" s="186" cm="1">
        <f t="array" ref="AT264">IF(AV$252=-1,AY264,IF(AV$252=99,AS264,IF(AV$252=0,INDEX($D257:$K257,0,AV$250),(INDEX($D257:$K257,0,AV$252+1)-INDEX($D257:$K257,0,AV$252))/(INDEX($D$249:$K$249,0,AV$252+1)-INDEX($D$249:$K$249,0,AV$252))+AS264)))</f>
        <v>0.39584251023517286</v>
      </c>
      <c r="AU264" s="186" cm="1">
        <f t="array" ref="AU264">IF(AW$252=-1,AZ264,IF(AW$252=99,AT264,IF(AW$252=0,INDEX($D257:$K257,0,AW$250),(INDEX($D257:$K257,0,AW$252+1)-INDEX($D257:$K257,0,AW$252))/(INDEX($D$249:$K$249,0,AW$252+1)-INDEX($D$249:$K$249,0,AW$252))+AT264)))</f>
        <v>0.40034126954152871</v>
      </c>
      <c r="AV264" s="186" cm="1">
        <f t="array" ref="AV264">IF(AX$252=-1,BA264,IF(AX$252=99,AU264,IF(AX$252=0,INDEX($D257:$K257,0,AX$250),(INDEX($D257:$K257,0,AX$252+1)-INDEX($D257:$K257,0,AX$252))/(INDEX($D$249:$K$249,0,AX$252+1)-INDEX($D$249:$K$249,0,AX$252))+AU264)))</f>
        <v>0.40484002884788461</v>
      </c>
      <c r="AW264" s="186" cm="1">
        <f t="array" ref="AW264">IF(AY$252=-1,BB264,IF(AY$252=99,AV264,IF(AY$252=0,INDEX($D257:$K257,0,AY$250),(INDEX($D257:$K257,0,AY$252+1)-INDEX($D257:$K257,0,AY$252))/(INDEX($D$249:$K$249,0,AY$252+1)-INDEX($D$249:$K$249,0,AY$252))+AV264)))</f>
        <v>0.40484002884788461</v>
      </c>
      <c r="AX264" s="186" cm="1">
        <f t="array" ref="AX264">IF(AV$252=-1,AZ264,IF(AV$252=99,AW264,IF(AV$252=0,INDEX($D257:$K257,0,AV$250),(INDEX($D257:$K257,0,AV$252+1)-INDEX($D257:$K257,0,AV$252))/(INDEX($D$249:$K$249,0,AV$252+1)-INDEX($D$249:$K$249,0,AV$252))+AW264)))</f>
        <v>0.40933878815424046</v>
      </c>
      <c r="AY264" s="186" cm="1">
        <f t="array" ref="AY264">IF(AW$252=-1,BA264,IF(AW$252=99,AX264,IF(AW$252=0,INDEX($D257:$K257,0,AW$250),(INDEX($D257:$K257,0,AW$252+1)-INDEX($D257:$K257,0,AW$252))/(INDEX($D$249:$K$249,0,AW$252+1)-INDEX($D$249:$K$249,0,AW$252))+AX264)))</f>
        <v>0.41383754746059631</v>
      </c>
      <c r="AZ264" s="186" cm="1">
        <f t="array" ref="AZ264">IF(AX$252=-1,BB264,IF(AX$252=99,AY264,IF(AX$252=0,INDEX($D257:$K257,0,AX$250),(INDEX($D257:$K257,0,AX$252+1)-INDEX($D257:$K257,0,AX$252))/(INDEX($D$249:$K$249,0,AX$252+1)-INDEX($D$249:$K$249,0,AX$252))+AY264)))</f>
        <v>0.40484002884788461</v>
      </c>
      <c r="BA264" s="186" cm="1">
        <f t="array" ref="BA264">IF(AY$252=-1,BC264,IF(AY$252=99,AZ264,IF(AY$252=0,INDEX($D257:$K257,0,AY$250),(INDEX($D257:$K257,0,AY$252+1)-INDEX($D257:$K257,0,AY$252))/(INDEX($D$249:$K$249,0,AY$252+1)-INDEX($D$249:$K$249,0,AY$252))+AZ264)))</f>
        <v>0.40484002884788461</v>
      </c>
      <c r="BB264" s="186" cm="1">
        <f t="array" ref="BB264">IF(AZ$252=-1,BD264,IF(AZ$252=99,BA264,IF(AZ$252=0,INDEX($D257:$K257,0,AZ$250),(INDEX($D257:$K257,0,AZ$252+1)-INDEX($D257:$K257,0,AZ$252))/(INDEX($D$249:$K$249,0,AZ$252+1)-INDEX($D$249:$K$249,0,AZ$252))+BA264)))</f>
        <v>0.40484002884788461</v>
      </c>
      <c r="BC264" s="186" cm="1">
        <f t="array" ref="BC264">IF(BA$252=-1,BE264,IF(BA$252=99,BB264,IF(BA$252=0,INDEX($D257:$K257,0,BA$250),(INDEX($D257:$K257,0,BA$252+1)-INDEX($D257:$K257,0,BA$252))/(INDEX($D$249:$K$249,0,BA$252+1)-INDEX($D$249:$K$249,0,BA$252))+BB264)))</f>
        <v>0.40484002884788461</v>
      </c>
      <c r="BD264" s="186" cm="1">
        <f t="array" ref="BD264">IF(BB$252=-1,BF264,IF(BB$252=99,BC264,IF(BB$252=0,INDEX($D257:$K257,0,BB$250),(INDEX($D257:$K257,0,BB$252+1)-INDEX($D257:$K257,0,BB$252))/(INDEX($D$249:$K$249,0,BB$252+1)-INDEX($D$249:$K$249,0,BB$252))+BC264)))</f>
        <v>0.40484002884788461</v>
      </c>
    </row>
    <row r="265" spans="1:56">
      <c r="A265" s="185" t="s">
        <v>16</v>
      </c>
      <c r="E265" s="185" t="s">
        <v>442</v>
      </c>
      <c r="F265" s="185" t="s">
        <v>442</v>
      </c>
      <c r="G265" s="185" t="str">
        <f>G262</f>
        <v>high income</v>
      </c>
      <c r="H265" s="186" t="s">
        <v>439</v>
      </c>
      <c r="I265" s="185" t="str">
        <f>I262</f>
        <v>hhd-he</v>
      </c>
      <c r="J265" s="186">
        <f t="shared" si="633"/>
        <v>0.1058814301020739</v>
      </c>
      <c r="K265" s="186" cm="1">
        <f t="array" ref="K265">IF(M$252=-1,L265,IF(M$252=99,J265,IF(M$252=0,INDEX($D258:$K258,0,M$250),(INDEX($D258:$K258,0,M$252+1)-INDEX($D258:$K258,0,M$252))/(INDEX($D$249:$K$249,0,M$252+1)-INDEX($D$249:$K$249,0,M$252))+J265)))</f>
        <v>0.11526812873087044</v>
      </c>
      <c r="L265" s="186" cm="1">
        <f t="array" ref="L265">IF(N$252=-1,M265,IF(N$252=99,K265,IF(N$252=0,INDEX($D258:$K258,0,N$250),(INDEX($D258:$K258,0,N$252+1)-INDEX($D258:$K258,0,N$252))/(INDEX($D$249:$K$249,0,N$252+1)-INDEX($D$249:$K$249,0,N$252))+K265)))</f>
        <v>0.12465482735966699</v>
      </c>
      <c r="M265" s="186" cm="1">
        <f t="array" ref="M265">IF(O$252=-1,N265,IF(O$252=99,L265,IF(O$252=0,INDEX($D258:$K258,0,O$250),(INDEX($D258:$K258,0,O$252+1)-INDEX($D258:$K258,0,O$252))/(INDEX($D$249:$K$249,0,O$252+1)-INDEX($D$249:$K$249,0,O$252))+L265)))</f>
        <v>0.13404152598846353</v>
      </c>
      <c r="N265" s="186" cm="1">
        <f t="array" ref="N265">IF(P$252=-1,O265,IF(P$252=99,M265,IF(P$252=0,INDEX($D258:$K258,0,P$250),(INDEX($D258:$K258,0,P$252+1)-INDEX($D258:$K258,0,P$252))/(INDEX($D$249:$K$249,0,P$252+1)-INDEX($D$249:$K$249,0,P$252))+M265)))</f>
        <v>6.7020762994231764E-2</v>
      </c>
      <c r="O265" s="186" cm="1">
        <f t="array" ref="O265">IF(Q$252=-1,P265,IF(Q$252=99,N265,IF(Q$252=0,INDEX($D258:$K258,0,Q$250),(INDEX($D258:$K258,0,Q$252+1)-INDEX($D258:$K258,0,Q$252))/(INDEX($D$249:$K$249,0,Q$252+1)-INDEX($D$249:$K$249,0,Q$252))+N265)))</f>
        <v>0</v>
      </c>
      <c r="P265" s="186" cm="1">
        <f t="array" ref="P265">IF(R$252=-1,Q265,IF(R$252=99,O265,IF(R$252=0,INDEX($D258:$K258,0,R$250),(INDEX($D258:$K258,0,R$252+1)-INDEX($D258:$K258,0,R$252))/(INDEX($D$249:$K$249,0,R$252+1)-INDEX($D$249:$K$249,0,R$252))+O265)))</f>
        <v>4.0374638986195872E-2</v>
      </c>
      <c r="Q265" s="186" cm="1">
        <f t="array" ref="Q265">IF(S$252=-1,R265,IF(S$252=99,P265,IF(S$252=0,INDEX($D258:$K258,0,S$250),(INDEX($D258:$K258,0,S$252+1)-INDEX($D258:$K258,0,S$252))/(INDEX($D$249:$K$249,0,S$252+1)-INDEX($D$249:$K$249,0,S$252))+P265)))</f>
        <v>8.0749277972391745E-2</v>
      </c>
      <c r="R265" s="186" cm="1">
        <f t="array" ref="R265">IF(T$252=-1,S265,IF(T$252=99,Q265,IF(T$252=0,INDEX($D258:$K258,0,T$250),(INDEX($D258:$K258,0,T$252+1)-INDEX($D258:$K258,0,T$252))/(INDEX($D$249:$K$249,0,T$252+1)-INDEX($D$249:$K$249,0,T$252))+Q265)))</f>
        <v>0.12112391695858761</v>
      </c>
      <c r="S265" s="186" cm="1">
        <f t="array" ref="S265">IF(U$252=-1,T265,IF(U$252=99,R265,IF(U$252=0,INDEX($D258:$K258,0,U$250),(INDEX($D258:$K258,0,U$252+1)-INDEX($D258:$K258,0,U$252))/(INDEX($D$249:$K$249,0,U$252+1)-INDEX($D$249:$K$249,0,U$252))+R265)))</f>
        <v>0.12422108065613799</v>
      </c>
      <c r="T265" s="186" cm="1">
        <f t="array" ref="T265">IF(V$252=-1,U265,IF(V$252=99,S265,IF(V$252=0,INDEX($D258:$K258,0,V$250),(INDEX($D258:$K258,0,V$252+1)-INDEX($D258:$K258,0,V$252))/(INDEX($D$249:$K$249,0,V$252+1)-INDEX($D$249:$K$249,0,V$252))+S265)))</f>
        <v>0.12731824435368838</v>
      </c>
      <c r="U265" s="186" cm="1">
        <f t="array" ref="U265">IF(W$252=-1,V265,IF(W$252=99,T265,IF(W$252=0,INDEX($D258:$K258,0,W$250),(INDEX($D258:$K258,0,W$252+1)-INDEX($D258:$K258,0,W$252))/(INDEX($D$249:$K$249,0,W$252+1)-INDEX($D$249:$K$249,0,W$252))+T265)))</f>
        <v>0.13041540805123877</v>
      </c>
      <c r="V265" s="186" cm="1">
        <f t="array" ref="V265">IF(X$252=-1,W265,IF(X$252=99,U265,IF(X$252=0,INDEX($D258:$K258,0,X$250),(INDEX($D258:$K258,0,X$252+1)-INDEX($D258:$K258,0,X$252))/(INDEX($D$249:$K$249,0,X$252+1)-INDEX($D$249:$K$249,0,X$252))+U265)))</f>
        <v>0.13351257174878917</v>
      </c>
      <c r="W265" s="186" cm="1">
        <f t="array" ref="W265">IF(Y$252=-1,X265,IF(Y$252=99,V265,IF(Y$252=0,INDEX($D258:$K258,0,Y$250),(INDEX($D258:$K258,0,Y$252+1)-INDEX($D258:$K258,0,Y$252))/(INDEX($D$249:$K$249,0,Y$252+1)-INDEX($D$249:$K$249,0,Y$252))+V265)))</f>
        <v>0.13660973544633956</v>
      </c>
      <c r="X265" s="186" cm="1">
        <f t="array" ref="X265">IF(Z$252=-1,Y265,IF(Z$252=99,W265,IF(Z$252=0,INDEX($D258:$K258,0,Z$250),(INDEX($D258:$K258,0,Z$252+1)-INDEX($D258:$K258,0,Z$252))/(INDEX($D$249:$K$249,0,Z$252+1)-INDEX($D$249:$K$249,0,Z$252))+W265)))</f>
        <v>0.13970689914388995</v>
      </c>
      <c r="Y265" s="186" cm="1">
        <f t="array" ref="Y265">IF(AA$252=-1,Z265,IF(AA$252=99,X265,IF(AA$252=0,INDEX($D258:$K258,0,AA$250),(INDEX($D258:$K258,0,AA$252+1)-INDEX($D258:$K258,0,AA$252))/(INDEX($D$249:$K$249,0,AA$252+1)-INDEX($D$249:$K$249,0,AA$252))+X265)))</f>
        <v>0.14280406284144034</v>
      </c>
      <c r="Z265" s="186" cm="1">
        <f t="array" ref="Z265">IF(AB$252=-1,AA265,IF(AB$252=99,Y265,IF(AB$252=0,INDEX($D258:$K258,0,AB$250),(INDEX($D258:$K258,0,AB$252+1)-INDEX($D258:$K258,0,AB$252))/(INDEX($D$249:$K$249,0,AB$252+1)-INDEX($D$249:$K$249,0,AB$252))+Y265)))</f>
        <v>0.14590122653899074</v>
      </c>
      <c r="AA265" s="186" cm="1">
        <f t="array" ref="AA265">IF(AC$252=-1,AB265,IF(AC$252=99,Z265,IF(AC$252=0,INDEX($D258:$K258,0,AC$250),(INDEX($D258:$K258,0,AC$252+1)-INDEX($D258:$K258,0,AC$252))/(INDEX($D$249:$K$249,0,AC$252+1)-INDEX($D$249:$K$249,0,AC$252))+Z265)))</f>
        <v>0.14899839023654113</v>
      </c>
      <c r="AB265" s="186" cm="1">
        <f t="array" ref="AB265">IF(AD$252=-1,AC265,IF(AD$252=99,AA265,IF(AD$252=0,INDEX($D258:$K258,0,AD$250),(INDEX($D258:$K258,0,AD$252+1)-INDEX($D258:$K258,0,AD$252))/(INDEX($D$249:$K$249,0,AD$252+1)-INDEX($D$249:$K$249,0,AD$252))+AA265)))</f>
        <v>0.15209555393409141</v>
      </c>
      <c r="AC265" s="186" cm="1">
        <f t="array" ref="AC265">IF(AE$252=-1,AD265,IF(AE$252=99,AB265,IF(AE$252=0,INDEX($D258:$K258,0,AE$250),(INDEX($D258:$K258,0,AE$252+1)-INDEX($D258:$K258,0,AE$252))/(INDEX($D$249:$K$249,0,AE$252+1)-INDEX($D$249:$K$249,0,AE$252))+AB265)))</f>
        <v>0.15426650088800212</v>
      </c>
      <c r="AD265" s="186" cm="1">
        <f t="array" ref="AD265">IF(AF$252=-1,AE265,IF(AF$252=99,AC265,IF(AF$252=0,INDEX($D258:$K258,0,AF$250),(INDEX($D258:$K258,0,AF$252+1)-INDEX($D258:$K258,0,AF$252))/(INDEX($D$249:$K$249,0,AF$252+1)-INDEX($D$249:$K$249,0,AF$252))+AC265)))</f>
        <v>0.15643744784191282</v>
      </c>
      <c r="AE265" s="186" cm="1">
        <f t="array" ref="AE265">IF(AG$252=-1,AF265,IF(AG$252=99,AD265,IF(AG$252=0,INDEX($D258:$K258,0,AG$250),(INDEX($D258:$K258,0,AG$252+1)-INDEX($D258:$K258,0,AG$252))/(INDEX($D$249:$K$249,0,AG$252+1)-INDEX($D$249:$K$249,0,AG$252))+AD265)))</f>
        <v>0.15860839479582353</v>
      </c>
      <c r="AF265" s="186" cm="1">
        <f t="array" ref="AF265">IF(AH$252=-1,AG265,IF(AH$252=99,AE265,IF(AH$252=0,INDEX($D258:$K258,0,AH$250),(INDEX($D258:$K258,0,AH$252+1)-INDEX($D258:$K258,0,AH$252))/(INDEX($D$249:$K$249,0,AH$252+1)-INDEX($D$249:$K$249,0,AH$252))+AE265)))</f>
        <v>0.16077934174973424</v>
      </c>
      <c r="AG265" s="186" cm="1">
        <f t="array" ref="AG265">IF(AI$252=-1,AH265,IF(AI$252=99,AF265,IF(AI$252=0,INDEX($D258:$K258,0,AI$250),(INDEX($D258:$K258,0,AI$252+1)-INDEX($D258:$K258,0,AI$252))/(INDEX($D$249:$K$249,0,AI$252+1)-INDEX($D$249:$K$249,0,AI$252))+AF265)))</f>
        <v>0.16295028870364495</v>
      </c>
      <c r="AH265" s="186" cm="1">
        <f t="array" ref="AH265">IF(AJ$252=-1,AI265,IF(AJ$252=99,AG265,IF(AJ$252=0,INDEX($D258:$K258,0,AJ$250),(INDEX($D258:$K258,0,AJ$252+1)-INDEX($D258:$K258,0,AJ$252))/(INDEX($D$249:$K$249,0,AJ$252+1)-INDEX($D$249:$K$249,0,AJ$252))+AG265)))</f>
        <v>0.16512123565755565</v>
      </c>
      <c r="AI265" s="186" cm="1">
        <f t="array" ref="AI265">IF(AK$252=-1,AJ265,IF(AK$252=99,AH265,IF(AK$252=0,INDEX($D258:$K258,0,AK$250),(INDEX($D258:$K258,0,AK$252+1)-INDEX($D258:$K258,0,AK$252))/(INDEX($D$249:$K$249,0,AK$252+1)-INDEX($D$249:$K$249,0,AK$252))+AH265)))</f>
        <v>0.16729218261146636</v>
      </c>
      <c r="AJ265" s="186" cm="1">
        <f t="array" ref="AJ265">IF(AL$252=-1,AK265,IF(AL$252=99,AI265,IF(AL$252=0,INDEX($D258:$K258,0,AL$250),(INDEX($D258:$K258,0,AL$252+1)-INDEX($D258:$K258,0,AL$252))/(INDEX($D$249:$K$249,0,AL$252+1)-INDEX($D$249:$K$249,0,AL$252))+AI265)))</f>
        <v>0.16946312956537707</v>
      </c>
      <c r="AK265" s="186" cm="1">
        <f t="array" ref="AK265">IF(AM$252=-1,AL265,IF(AM$252=99,AJ265,IF(AM$252=0,INDEX($D258:$K258,0,AM$250),(INDEX($D258:$K258,0,AM$252+1)-INDEX($D258:$K258,0,AM$252))/(INDEX($D$249:$K$249,0,AM$252+1)-INDEX($D$249:$K$249,0,AM$252))+AJ265)))</f>
        <v>0.17163407651928778</v>
      </c>
      <c r="AL265" s="186" cm="1">
        <f t="array" ref="AL265">IF(AN$252=-1,AM265,IF(AN$252=99,AK265,IF(AN$252=0,INDEX($D258:$K258,0,AN$250),(INDEX($D258:$K258,0,AN$252+1)-INDEX($D258:$K258,0,AN$252))/(INDEX($D$249:$K$249,0,AN$252+1)-INDEX($D$249:$K$249,0,AN$252))+AK265)))</f>
        <v>0.17380502347319846</v>
      </c>
      <c r="AM265" s="186" cm="1">
        <f t="array" ref="AM265">IF(AO$252=-1,AN265,IF(AO$252=99,AL265,IF(AO$252=0,INDEX($D258:$K258,0,AO$250),(INDEX($D258:$K258,0,AO$252+1)-INDEX($D258:$K258,0,AO$252))/(INDEX($D$249:$K$249,0,AO$252+1)-INDEX($D$249:$K$249,0,AO$252))+AL265)))</f>
        <v>0.17590978680314689</v>
      </c>
      <c r="AN265" s="186" cm="1">
        <f t="array" ref="AN265">IF(AP$252=-1,AO265,IF(AP$252=99,AM265,IF(AP$252=0,INDEX($D258:$K258,0,AP$250),(INDEX($D258:$K258,0,AP$252+1)-INDEX($D258:$K258,0,AP$252))/(INDEX($D$249:$K$249,0,AP$252+1)-INDEX($D$249:$K$249,0,AP$252))+AM265)))</f>
        <v>0.17801455013309533</v>
      </c>
      <c r="AO265" s="186" cm="1">
        <f t="array" ref="AO265">IF(AQ$252=-1,AP265,IF(AQ$252=99,AN265,IF(AQ$252=0,INDEX($D258:$K258,0,AQ$250),(INDEX($D258:$K258,0,AQ$252+1)-INDEX($D258:$K258,0,AQ$252))/(INDEX($D$249:$K$249,0,AQ$252+1)-INDEX($D$249:$K$249,0,AQ$252))+AN265)))</f>
        <v>0.18011931346304377</v>
      </c>
      <c r="AP265" s="186" cm="1">
        <f t="array" ref="AP265">IF(AR$252=-1,AQ265,IF(AR$252=99,AO265,IF(AR$252=0,INDEX($D258:$K258,0,AR$250),(INDEX($D258:$K258,0,AR$252+1)-INDEX($D258:$K258,0,AR$252))/(INDEX($D$249:$K$249,0,AR$252+1)-INDEX($D$249:$K$249,0,AR$252))+AO265)))</f>
        <v>0.18222407679299221</v>
      </c>
      <c r="AQ265" s="186" cm="1">
        <f t="array" ref="AQ265">IF(AS$252=-1,AR265,IF(AS$252=99,AP265,IF(AS$252=0,INDEX($D258:$K258,0,AS$250),(INDEX($D258:$K258,0,AS$252+1)-INDEX($D258:$K258,0,AS$252))/(INDEX($D$249:$K$249,0,AS$252+1)-INDEX($D$249:$K$249,0,AS$252))+AP265)))</f>
        <v>0.18432884012294065</v>
      </c>
      <c r="AR265" s="186" cm="1">
        <f t="array" ref="AR265">IF(AT$252=-1,AW265,IF(AT$252=99,AQ265,IF(AT$252=0,INDEX($D258:$K258,0,AT$250),(INDEX($D258:$K258,0,AT$252+1)-INDEX($D258:$K258,0,AT$252))/(INDEX($D$249:$K$249,0,AT$252+1)-INDEX($D$249:$K$249,0,AT$252))+AQ265)))</f>
        <v>0.18643360345288909</v>
      </c>
      <c r="AS265" s="186" cm="1">
        <f t="array" ref="AS265">IF(AU$252=-1,AX265,IF(AU$252=99,AR265,IF(AU$252=0,INDEX($D258:$K258,0,AU$250),(INDEX($D258:$K258,0,AU$252+1)-INDEX($D258:$K258,0,AU$252))/(INDEX($D$249:$K$249,0,AU$252+1)-INDEX($D$249:$K$249,0,AU$252))+AR265)))</f>
        <v>0.18853836678283753</v>
      </c>
      <c r="AT265" s="186" cm="1">
        <f t="array" ref="AT265">IF(AV$252=-1,AY265,IF(AV$252=99,AS265,IF(AV$252=0,INDEX($D258:$K258,0,AV$250),(INDEX($D258:$K258,0,AV$252+1)-INDEX($D258:$K258,0,AV$252))/(INDEX($D$249:$K$249,0,AV$252+1)-INDEX($D$249:$K$249,0,AV$252))+AS265)))</f>
        <v>0.19064313011278597</v>
      </c>
      <c r="AU265" s="186" cm="1">
        <f t="array" ref="AU265">IF(AW$252=-1,AZ265,IF(AW$252=99,AT265,IF(AW$252=0,INDEX($D258:$K258,0,AW$250),(INDEX($D258:$K258,0,AW$252+1)-INDEX($D258:$K258,0,AW$252))/(INDEX($D$249:$K$249,0,AW$252+1)-INDEX($D$249:$K$249,0,AW$252))+AT265)))</f>
        <v>0.19274789344273441</v>
      </c>
      <c r="AV265" s="186" cm="1">
        <f t="array" ref="AV265">IF(AX$252=-1,BA265,IF(AX$252=99,AU265,IF(AX$252=0,INDEX($D258:$K258,0,AX$250),(INDEX($D258:$K258,0,AX$252+1)-INDEX($D258:$K258,0,AX$252))/(INDEX($D$249:$K$249,0,AX$252+1)-INDEX($D$249:$K$249,0,AX$252))+AU265)))</f>
        <v>0.19485265677268279</v>
      </c>
      <c r="AW265" s="186" cm="1">
        <f t="array" ref="AW265">IF(AY$252=-1,BB265,IF(AY$252=99,AV265,IF(AY$252=0,INDEX($D258:$K258,0,AY$250),(INDEX($D258:$K258,0,AY$252+1)-INDEX($D258:$K258,0,AY$252))/(INDEX($D$249:$K$249,0,AY$252+1)-INDEX($D$249:$K$249,0,AY$252))+AV265)))</f>
        <v>0.19485265677268279</v>
      </c>
      <c r="AX265" s="186" cm="1">
        <f t="array" ref="AX265">IF(AV$252=-1,AZ265,IF(AV$252=99,AW265,IF(AV$252=0,INDEX($D258:$K258,0,AV$250),(INDEX($D258:$K258,0,AV$252+1)-INDEX($D258:$K258,0,AV$252))/(INDEX($D$249:$K$249,0,AV$252+1)-INDEX($D$249:$K$249,0,AV$252))+AW265)))</f>
        <v>0.19695742010263123</v>
      </c>
      <c r="AY265" s="186" cm="1">
        <f t="array" ref="AY265">IF(AW$252=-1,BA265,IF(AW$252=99,AX265,IF(AW$252=0,INDEX($D258:$K258,0,AW$250),(INDEX($D258:$K258,0,AW$252+1)-INDEX($D258:$K258,0,AW$252))/(INDEX($D$249:$K$249,0,AW$252+1)-INDEX($D$249:$K$249,0,AW$252))+AX265)))</f>
        <v>0.19906218343257967</v>
      </c>
      <c r="AZ265" s="186" cm="1">
        <f t="array" ref="AZ265">IF(AX$252=-1,BB265,IF(AX$252=99,AY265,IF(AX$252=0,INDEX($D258:$K258,0,AX$250),(INDEX($D258:$K258,0,AX$252+1)-INDEX($D258:$K258,0,AX$252))/(INDEX($D$249:$K$249,0,AX$252+1)-INDEX($D$249:$K$249,0,AX$252))+AY265)))</f>
        <v>0.19485265677268279</v>
      </c>
      <c r="BA265" s="186" cm="1">
        <f t="array" ref="BA265">IF(AY$252=-1,BC265,IF(AY$252=99,AZ265,IF(AY$252=0,INDEX($D258:$K258,0,AY$250),(INDEX($D258:$K258,0,AY$252+1)-INDEX($D258:$K258,0,AY$252))/(INDEX($D$249:$K$249,0,AY$252+1)-INDEX($D$249:$K$249,0,AY$252))+AZ265)))</f>
        <v>0.19485265677268279</v>
      </c>
      <c r="BB265" s="186" cm="1">
        <f t="array" ref="BB265">IF(AZ$252=-1,BD265,IF(AZ$252=99,BA265,IF(AZ$252=0,INDEX($D258:$K258,0,AZ$250),(INDEX($D258:$K258,0,AZ$252+1)-INDEX($D258:$K258,0,AZ$252))/(INDEX($D$249:$K$249,0,AZ$252+1)-INDEX($D$249:$K$249,0,AZ$252))+BA265)))</f>
        <v>0.19485265677268279</v>
      </c>
      <c r="BC265" s="186" cm="1">
        <f t="array" ref="BC265">IF(BA$252=-1,BE265,IF(BA$252=99,BB265,IF(BA$252=0,INDEX($D258:$K258,0,BA$250),(INDEX($D258:$K258,0,BA$252+1)-INDEX($D258:$K258,0,BA$252))/(INDEX($D$249:$K$249,0,BA$252+1)-INDEX($D$249:$K$249,0,BA$252))+BB265)))</f>
        <v>0.19485265677268279</v>
      </c>
      <c r="BD265" s="186" cm="1">
        <f t="array" ref="BD265">IF(BB$252=-1,BF265,IF(BB$252=99,BC265,IF(BB$252=0,INDEX($D258:$K258,0,BB$250),(INDEX($D258:$K258,0,BB$252+1)-INDEX($D258:$K258,0,BB$252))/(INDEX($D$249:$K$249,0,BB$252+1)-INDEX($D$249:$K$249,0,BB$252))+BC265)))</f>
        <v>0.19485265677268279</v>
      </c>
    </row>
    <row r="266" spans="1:56">
      <c r="A266" s="185" t="s">
        <v>16</v>
      </c>
    </row>
    <row r="267" spans="1:56">
      <c r="A267" s="185" t="s">
        <v>16</v>
      </c>
    </row>
    <row r="268" spans="1:56">
      <c r="A268" s="185" t="s">
        <v>16</v>
      </c>
    </row>
    <row r="269" spans="1:56">
      <c r="A269" s="185" t="s">
        <v>16</v>
      </c>
    </row>
    <row r="270" spans="1:56">
      <c r="A270" s="185" t="s">
        <v>16</v>
      </c>
    </row>
    <row r="271" spans="1:56">
      <c r="A271" s="185" t="s">
        <v>16</v>
      </c>
    </row>
    <row r="272" spans="1:56">
      <c r="A272" s="185" t="s">
        <v>16</v>
      </c>
    </row>
    <row r="273" spans="1:1">
      <c r="A273" s="185" t="s">
        <v>16</v>
      </c>
    </row>
    <row r="274" spans="1:1">
      <c r="A274" s="185" t="s">
        <v>16</v>
      </c>
    </row>
    <row r="275" spans="1:1">
      <c r="A275" s="185" t="s">
        <v>16</v>
      </c>
    </row>
    <row r="276" spans="1:1">
      <c r="A276" s="185" t="s">
        <v>16</v>
      </c>
    </row>
    <row r="277" spans="1:1">
      <c r="A277" s="185" t="s">
        <v>16</v>
      </c>
    </row>
    <row r="278" spans="1:1">
      <c r="A278" s="185" t="s">
        <v>16</v>
      </c>
    </row>
    <row r="279" spans="1:1">
      <c r="A279" s="185" t="s">
        <v>16</v>
      </c>
    </row>
    <row r="280" spans="1:1">
      <c r="A280" s="185" t="s">
        <v>16</v>
      </c>
    </row>
    <row r="281" spans="1:1">
      <c r="A281" s="185" t="s">
        <v>16</v>
      </c>
    </row>
    <row r="282" spans="1:1">
      <c r="A282" s="185" t="s">
        <v>16</v>
      </c>
    </row>
  </sheetData>
  <mergeCells count="1">
    <mergeCell ref="B2:C2"/>
  </mergeCells>
  <phoneticPr fontId="167" type="noConversion"/>
  <hyperlinks>
    <hyperlink ref="C71" r:id="rId1" xr:uid="{09A0337C-CF18-4101-87B6-EF211C564F17}"/>
  </hyperlinks>
  <pageMargins left="0.7" right="0.7" top="0.75" bottom="0.75" header="0.3" footer="0.3"/>
  <pageSetup orientation="portrait" r:id="rId2"/>
  <drawing r:id="rId3"/>
  <legacyDrawing r:id="rId4"/>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0">
    <tabColor theme="9" tint="-0.249977111117893"/>
  </sheetPr>
  <dimension ref="A1:BZ51"/>
  <sheetViews>
    <sheetView topLeftCell="A21" workbookViewId="0">
      <selection activeCell="AB48" sqref="AB48"/>
    </sheetView>
    <sheetView workbookViewId="1"/>
  </sheetViews>
  <sheetFormatPr defaultColWidth="8.85546875" defaultRowHeight="15"/>
  <cols>
    <col min="1" max="1" width="9.140625" style="4" customWidth="1"/>
    <col min="2" max="2" width="15.42578125" customWidth="1"/>
    <col min="3" max="3" width="47.140625" customWidth="1"/>
    <col min="7" max="7" width="9.140625" style="4" customWidth="1"/>
    <col min="12" max="12" width="8.85546875" style="185"/>
    <col min="13" max="43" width="6.85546875" customWidth="1"/>
  </cols>
  <sheetData>
    <row r="1" spans="1:43" s="4" customFormat="1">
      <c r="A1" s="4" t="str">
        <f>IF(TRA,"TS DATA","")</f>
        <v>TS DATA</v>
      </c>
      <c r="B1" s="4" t="s">
        <v>17</v>
      </c>
      <c r="J1" s="40"/>
      <c r="L1" s="185"/>
    </row>
    <row r="2" spans="1:43" s="4" customFormat="1" ht="15.75" thickBot="1">
      <c r="A2" s="4" t="s">
        <v>16</v>
      </c>
      <c r="B2" s="349" t="s">
        <v>296</v>
      </c>
      <c r="C2" s="349"/>
      <c r="J2" s="40"/>
      <c r="L2" s="185"/>
    </row>
    <row r="3" spans="1:43">
      <c r="A3" s="4" t="s">
        <v>16</v>
      </c>
      <c r="B3" s="262" t="s">
        <v>630</v>
      </c>
      <c r="C3" s="4"/>
      <c r="D3" s="4"/>
      <c r="E3" s="4"/>
      <c r="F3" s="4"/>
      <c r="H3" s="4"/>
      <c r="I3" s="4"/>
      <c r="J3" s="185">
        <f>MATCH(J4,Drivers!$C$5:$AG$5,0)</f>
        <v>1</v>
      </c>
      <c r="K3" s="185">
        <f>MATCH(K4,Drivers!$C$5:$AG$5,0)</f>
        <v>4</v>
      </c>
      <c r="L3" s="185">
        <f>MATCH(L4,Drivers!$C$5:$AG$5,0)</f>
        <v>6</v>
      </c>
      <c r="M3" s="279">
        <f>MATCH(M4,Drivers!$C$5:$AG$5,0)</f>
        <v>8</v>
      </c>
      <c r="N3" s="185">
        <f>MATCH(N4,Drivers!$C$5:$AG$5,0)</f>
        <v>9</v>
      </c>
      <c r="O3" s="279">
        <f>MATCH(O4,Drivers!$C$5:$AG$5,0)</f>
        <v>10</v>
      </c>
      <c r="P3" s="185">
        <f>MATCH(P4,Drivers!$C$5:$AG$5,0)</f>
        <v>19</v>
      </c>
      <c r="Q3" s="185">
        <f>MATCH(Q4,Drivers!$C$5:$AG$5,0)</f>
        <v>29</v>
      </c>
      <c r="R3" s="185">
        <f>MATCH(R4,Drivers!$C$5:$AG$5,0)</f>
        <v>31</v>
      </c>
      <c r="S3" s="4"/>
      <c r="T3" s="4"/>
      <c r="U3" s="4"/>
      <c r="V3" s="4"/>
      <c r="W3" s="4"/>
      <c r="X3" s="4"/>
      <c r="Y3" s="4"/>
      <c r="Z3" s="4"/>
      <c r="AA3" s="4"/>
      <c r="AB3" s="4"/>
      <c r="AC3" s="4"/>
      <c r="AD3" s="18"/>
      <c r="AE3" s="18"/>
      <c r="AF3" s="18"/>
      <c r="AG3" s="18"/>
      <c r="AH3" s="18"/>
      <c r="AI3" s="18"/>
      <c r="AJ3" s="18"/>
      <c r="AK3" s="18"/>
      <c r="AL3" s="18"/>
      <c r="AM3" s="18"/>
      <c r="AN3" s="18"/>
      <c r="AO3" s="18"/>
      <c r="AP3" s="18"/>
      <c r="AQ3" s="18"/>
    </row>
    <row r="4" spans="1:43" ht="18" thickBot="1">
      <c r="A4" s="4" t="s">
        <v>16</v>
      </c>
      <c r="B4" s="65" t="s">
        <v>156</v>
      </c>
      <c r="C4" s="14"/>
      <c r="D4" s="14" t="s">
        <v>135</v>
      </c>
      <c r="E4" s="14"/>
      <c r="F4" s="14"/>
      <c r="G4" s="14"/>
      <c r="H4" s="14"/>
      <c r="I4" s="14" t="s">
        <v>135</v>
      </c>
      <c r="J4" s="185">
        <v>2012</v>
      </c>
      <c r="K4" s="185">
        <v>2015</v>
      </c>
      <c r="L4" s="185">
        <v>2017</v>
      </c>
      <c r="M4">
        <v>2019</v>
      </c>
      <c r="N4" s="185">
        <v>2020</v>
      </c>
      <c r="O4">
        <v>2021</v>
      </c>
      <c r="P4" s="185">
        <v>2030</v>
      </c>
      <c r="Q4" s="185">
        <v>2040</v>
      </c>
      <c r="R4" s="185">
        <v>2050</v>
      </c>
      <c r="S4" s="4"/>
      <c r="T4" s="4"/>
      <c r="U4" s="4"/>
      <c r="V4" s="4"/>
      <c r="W4" s="4"/>
      <c r="X4" s="4"/>
      <c r="Y4" s="4"/>
      <c r="Z4" s="4"/>
      <c r="AA4" s="4"/>
      <c r="AB4" s="4"/>
      <c r="AC4" s="4"/>
      <c r="AD4" s="4"/>
      <c r="AE4" s="4"/>
      <c r="AF4" s="4"/>
      <c r="AG4" s="4"/>
      <c r="AH4" s="4"/>
      <c r="AI4" s="4"/>
      <c r="AJ4" s="4"/>
      <c r="AK4" s="4"/>
      <c r="AL4" s="4"/>
      <c r="AM4" s="4"/>
      <c r="AN4" s="4"/>
      <c r="AO4" s="4"/>
    </row>
    <row r="5" spans="1:43" ht="15.75" thickTop="1">
      <c r="A5" s="4" t="s">
        <v>16</v>
      </c>
      <c r="B5" s="186" t="s">
        <v>595</v>
      </c>
      <c r="C5" s="186" t="s">
        <v>597</v>
      </c>
      <c r="D5" s="185">
        <f>MATCH(B5,Drivers!$A$7:$A$22,0)</f>
        <v>13</v>
      </c>
      <c r="E5" s="186"/>
      <c r="G5"/>
      <c r="J5" s="24" cm="1">
        <f t="array" ref="J5">INDEX(Drivers!$C$7:$AG$22,$D5,J$3)</f>
        <v>11.263564724197627</v>
      </c>
      <c r="K5" s="24" cm="1">
        <f t="array" ref="K5">INDEX(Drivers!$C$7:$AG$22,$D5,K$3)</f>
        <v>12.26</v>
      </c>
      <c r="L5" s="24" cm="1">
        <f t="array" ref="L5">INDEX(Drivers!$C$7:$AG$22,$D5,L$3)</f>
        <v>12.574</v>
      </c>
      <c r="M5" s="24" cm="1">
        <f t="array" ref="M5">INDEX(Drivers!$C$7:$AG$22,$D5,M$3)</f>
        <v>13.003</v>
      </c>
      <c r="N5" s="24" cm="1">
        <f t="array" ref="N5">INDEX(Drivers!$C$7:$AG$22,$D5,N$3)</f>
        <v>12.263</v>
      </c>
      <c r="O5" s="24" cm="1">
        <f t="array" ref="O5">INDEX(Drivers!$C$7:$AG$22,$D5,O$3)</f>
        <v>12.585632231501476</v>
      </c>
      <c r="P5" s="24" cm="1">
        <f t="array" ref="P5">INDEX(Drivers!$C$7:$AG$22,$D5,P$3)</f>
        <v>14.8808043423612</v>
      </c>
      <c r="Q5" s="24" cm="1">
        <f t="array" ref="Q5">INDEX(Drivers!$C$7:$AG$22,$D5,Q$3)</f>
        <v>18.109718272206603</v>
      </c>
      <c r="R5" s="24" cm="1">
        <f t="array" ref="R5">INDEX(Drivers!$C$7:$AG$22,$D5,R$3)</f>
        <v>21.791704231460464</v>
      </c>
      <c r="S5" s="6"/>
      <c r="T5" s="6"/>
      <c r="U5" s="6"/>
      <c r="V5" s="6"/>
      <c r="W5" s="6"/>
      <c r="X5" s="6"/>
      <c r="Y5" s="6"/>
      <c r="Z5" s="6"/>
      <c r="AA5" s="6"/>
      <c r="AB5" s="6"/>
      <c r="AC5" s="6"/>
      <c r="AD5" s="6"/>
      <c r="AE5" s="6"/>
      <c r="AF5" s="6"/>
      <c r="AG5" s="6"/>
      <c r="AH5" s="6"/>
      <c r="AI5" s="6"/>
      <c r="AJ5" s="6"/>
      <c r="AK5" s="6"/>
      <c r="AL5" s="6"/>
      <c r="AM5" s="6"/>
      <c r="AN5" s="6"/>
      <c r="AO5" s="6"/>
      <c r="AP5" s="6"/>
      <c r="AQ5" s="6"/>
    </row>
    <row r="6" spans="1:43">
      <c r="A6" s="4" t="s">
        <v>16</v>
      </c>
      <c r="F6" s="4"/>
      <c r="G6"/>
    </row>
    <row r="7" spans="1:43">
      <c r="A7" s="4" t="s">
        <v>16</v>
      </c>
      <c r="B7" s="4"/>
      <c r="C7" s="4"/>
      <c r="D7" s="4"/>
      <c r="E7" s="4"/>
      <c r="F7" s="4"/>
      <c r="H7" s="4"/>
      <c r="I7" s="4"/>
      <c r="J7" s="53"/>
      <c r="K7" s="6"/>
      <c r="L7" s="186"/>
      <c r="N7" s="6"/>
      <c r="P7" s="6"/>
      <c r="Q7" s="6"/>
      <c r="R7" s="6"/>
      <c r="S7" s="6"/>
      <c r="T7" s="6"/>
      <c r="U7" s="6"/>
      <c r="V7" s="6"/>
      <c r="W7" s="6"/>
      <c r="X7" s="6"/>
      <c r="Y7" s="6"/>
      <c r="Z7" s="6"/>
      <c r="AA7" s="6"/>
      <c r="AB7" s="6"/>
      <c r="AC7" s="6"/>
      <c r="AD7" s="6"/>
      <c r="AE7" s="6"/>
      <c r="AF7" s="6"/>
      <c r="AG7" s="6"/>
      <c r="AH7" s="6"/>
      <c r="AI7" s="6"/>
      <c r="AJ7" s="6"/>
      <c r="AK7" s="6"/>
      <c r="AL7" s="6"/>
      <c r="AM7" s="6"/>
      <c r="AN7" s="6"/>
      <c r="AO7" s="6"/>
    </row>
    <row r="8" spans="1:43" ht="15.75" thickBot="1">
      <c r="A8" s="4" t="s">
        <v>16</v>
      </c>
      <c r="B8" s="14" t="s">
        <v>105</v>
      </c>
      <c r="D8">
        <f>D27</f>
        <v>2012</v>
      </c>
      <c r="E8" s="4">
        <f>E27</f>
        <v>2015</v>
      </c>
      <c r="F8" s="4">
        <f>F27</f>
        <v>2020</v>
      </c>
      <c r="G8" s="4">
        <f>G27</f>
        <v>2030</v>
      </c>
      <c r="H8" s="4">
        <f>H27</f>
        <v>2050</v>
      </c>
    </row>
    <row r="9" spans="1:43">
      <c r="A9" s="4" t="s">
        <v>16</v>
      </c>
      <c r="B9" s="54" t="s">
        <v>93</v>
      </c>
      <c r="C9" s="4"/>
      <c r="D9">
        <v>1</v>
      </c>
      <c r="E9">
        <f t="shared" ref="E9:H11" si="0">D9</f>
        <v>1</v>
      </c>
      <c r="F9" s="4">
        <f t="shared" si="0"/>
        <v>1</v>
      </c>
      <c r="G9" s="4">
        <f t="shared" si="0"/>
        <v>1</v>
      </c>
      <c r="H9" s="4">
        <f t="shared" si="0"/>
        <v>1</v>
      </c>
      <c r="I9" s="4"/>
      <c r="J9" s="10">
        <f>D9</f>
        <v>1</v>
      </c>
      <c r="K9" s="10">
        <f t="shared" ref="K9:L11" si="1">J9</f>
        <v>1</v>
      </c>
      <c r="L9" s="10">
        <f t="shared" si="1"/>
        <v>1</v>
      </c>
      <c r="M9" s="10">
        <f t="shared" ref="M9:M11" si="2">L9</f>
        <v>1</v>
      </c>
      <c r="N9" s="10">
        <f t="shared" ref="N9:N11" si="3">M9</f>
        <v>1</v>
      </c>
      <c r="O9" s="10">
        <f t="shared" ref="O9:O11" si="4">N9</f>
        <v>1</v>
      </c>
      <c r="P9" s="10">
        <f t="shared" ref="P9:P11" si="5">O9</f>
        <v>1</v>
      </c>
      <c r="Q9" s="10">
        <f>P9</f>
        <v>1</v>
      </c>
      <c r="R9" s="10">
        <f>Q9</f>
        <v>1</v>
      </c>
      <c r="S9" s="10"/>
      <c r="T9" s="10"/>
      <c r="U9" s="10"/>
      <c r="V9" s="10"/>
      <c r="W9" s="10"/>
      <c r="X9" s="10"/>
      <c r="Y9" s="10"/>
      <c r="Z9" s="10"/>
      <c r="AA9" s="10"/>
      <c r="AB9" s="10"/>
      <c r="AC9" s="10"/>
      <c r="AD9" s="10"/>
      <c r="AE9" s="10"/>
      <c r="AF9" s="10"/>
      <c r="AG9" s="10"/>
      <c r="AH9" s="10"/>
      <c r="AI9" s="10"/>
      <c r="AJ9" s="10"/>
      <c r="AK9" s="10"/>
      <c r="AL9" s="10"/>
      <c r="AM9" s="10"/>
      <c r="AN9" s="10"/>
      <c r="AO9" s="10"/>
      <c r="AP9" s="10"/>
      <c r="AQ9" s="10"/>
    </row>
    <row r="10" spans="1:43" s="185" customFormat="1">
      <c r="A10" s="185" t="s">
        <v>16</v>
      </c>
      <c r="B10" s="54" t="s">
        <v>106</v>
      </c>
      <c r="D10" s="185">
        <v>1</v>
      </c>
      <c r="E10" s="185">
        <f t="shared" ref="E10" si="6">D10</f>
        <v>1</v>
      </c>
      <c r="F10" s="185">
        <f t="shared" ref="F10" si="7">E10</f>
        <v>1</v>
      </c>
      <c r="G10" s="185">
        <f t="shared" ref="G10" si="8">F10</f>
        <v>1</v>
      </c>
      <c r="H10" s="185">
        <f t="shared" ref="H10" si="9">G10</f>
        <v>1</v>
      </c>
      <c r="J10" s="10">
        <f>D10</f>
        <v>1</v>
      </c>
      <c r="K10" s="10">
        <f t="shared" si="1"/>
        <v>1</v>
      </c>
      <c r="L10" s="10">
        <f t="shared" si="1"/>
        <v>1</v>
      </c>
      <c r="M10" s="10">
        <f t="shared" si="2"/>
        <v>1</v>
      </c>
      <c r="N10" s="10">
        <f t="shared" si="3"/>
        <v>1</v>
      </c>
      <c r="O10" s="10">
        <f t="shared" si="4"/>
        <v>1</v>
      </c>
      <c r="P10" s="10">
        <f t="shared" si="5"/>
        <v>1</v>
      </c>
      <c r="Q10" s="10">
        <f t="shared" ref="Q10" si="10">P10</f>
        <v>1</v>
      </c>
      <c r="R10" s="10">
        <f t="shared" ref="R10" si="11">Q10</f>
        <v>1</v>
      </c>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row>
    <row r="11" spans="1:43">
      <c r="A11" s="4" t="s">
        <v>16</v>
      </c>
      <c r="B11" s="4" t="s">
        <v>95</v>
      </c>
      <c r="C11" s="4"/>
      <c r="D11" s="4">
        <v>1</v>
      </c>
      <c r="E11" s="4">
        <f t="shared" si="0"/>
        <v>1</v>
      </c>
      <c r="F11" s="4">
        <f t="shared" si="0"/>
        <v>1</v>
      </c>
      <c r="G11" s="4">
        <f t="shared" si="0"/>
        <v>1</v>
      </c>
      <c r="H11" s="4">
        <f t="shared" si="0"/>
        <v>1</v>
      </c>
      <c r="I11" s="4"/>
      <c r="J11" s="10">
        <f>D11</f>
        <v>1</v>
      </c>
      <c r="K11" s="10">
        <f t="shared" si="1"/>
        <v>1</v>
      </c>
      <c r="L11" s="10">
        <f t="shared" si="1"/>
        <v>1</v>
      </c>
      <c r="M11" s="10">
        <f t="shared" si="2"/>
        <v>1</v>
      </c>
      <c r="N11" s="10">
        <f t="shared" si="3"/>
        <v>1</v>
      </c>
      <c r="O11" s="10">
        <f t="shared" si="4"/>
        <v>1</v>
      </c>
      <c r="P11" s="10">
        <f t="shared" si="5"/>
        <v>1</v>
      </c>
      <c r="Q11" s="10">
        <f>P11</f>
        <v>1</v>
      </c>
      <c r="R11" s="10">
        <f>Q11</f>
        <v>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row>
    <row r="12" spans="1:43">
      <c r="A12" s="4" t="s">
        <v>16</v>
      </c>
      <c r="B12" s="4"/>
      <c r="C12" s="4"/>
      <c r="D12" s="4"/>
      <c r="E12" s="4"/>
      <c r="F12" s="4"/>
      <c r="H12" s="4"/>
      <c r="I12" s="4"/>
      <c r="J12" s="4"/>
      <c r="K12" s="4"/>
      <c r="N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row>
    <row r="13" spans="1:43">
      <c r="A13" s="4" t="s">
        <v>16</v>
      </c>
      <c r="B13" s="4"/>
      <c r="C13" s="4"/>
      <c r="D13" s="4"/>
      <c r="E13" s="4"/>
      <c r="F13" s="4"/>
      <c r="H13" s="4"/>
      <c r="I13" s="4"/>
      <c r="J13" s="4"/>
      <c r="K13" s="4"/>
      <c r="N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row>
    <row r="14" spans="1:43" ht="15.75" thickBot="1">
      <c r="A14" s="4" t="s">
        <v>16</v>
      </c>
      <c r="B14" s="14" t="s">
        <v>103</v>
      </c>
      <c r="C14" s="14"/>
      <c r="D14" s="4">
        <f>D8</f>
        <v>2012</v>
      </c>
      <c r="E14" s="4">
        <f>E8</f>
        <v>2015</v>
      </c>
      <c r="F14" s="4">
        <f>F8</f>
        <v>2020</v>
      </c>
      <c r="G14" s="4">
        <f>G8</f>
        <v>2030</v>
      </c>
      <c r="H14" s="4">
        <f>H8</f>
        <v>2050</v>
      </c>
      <c r="I14" s="52"/>
    </row>
    <row r="15" spans="1:43">
      <c r="A15" s="4" t="s">
        <v>16</v>
      </c>
      <c r="B15" s="4" t="s">
        <v>92</v>
      </c>
      <c r="E15" s="6"/>
      <c r="F15" s="6"/>
      <c r="G15" s="6"/>
      <c r="H15" s="6"/>
    </row>
    <row r="16" spans="1:43">
      <c r="A16" s="4" t="s">
        <v>16</v>
      </c>
      <c r="B16" s="185" t="s">
        <v>93</v>
      </c>
      <c r="C16" s="6">
        <v>1</v>
      </c>
      <c r="D16" s="6">
        <f>C16</f>
        <v>1</v>
      </c>
      <c r="E16" s="6">
        <f>D16</f>
        <v>1</v>
      </c>
      <c r="F16" s="6">
        <f>E16</f>
        <v>1</v>
      </c>
      <c r="G16" s="6">
        <f>F16</f>
        <v>1</v>
      </c>
      <c r="H16" s="6">
        <f>G16</f>
        <v>1</v>
      </c>
      <c r="I16" s="28" t="s">
        <v>38</v>
      </c>
      <c r="J16" s="113">
        <f>E22</f>
        <v>60.368000000000002</v>
      </c>
      <c r="K16" s="36">
        <f>J16*(1+$C$16*(K5/J5-1))</f>
        <v>65.708476678791641</v>
      </c>
      <c r="L16" s="36">
        <f>K16*(1+$C$16*(L5/K5-1))</f>
        <v>67.391385461592662</v>
      </c>
      <c r="M16" s="36">
        <f t="shared" ref="M16:O16" si="12">L16*(1+$C$16*(M5/L5-1))</f>
        <v>69.690646187139279</v>
      </c>
      <c r="N16" s="36">
        <f t="shared" si="12"/>
        <v>65.724555425124123</v>
      </c>
      <c r="O16" s="36">
        <f t="shared" si="12"/>
        <v>67.453729361457022</v>
      </c>
      <c r="P16" s="36">
        <f>N16*(1+$C$16*(P5/N5-1))</f>
        <v>79.754892748099692</v>
      </c>
      <c r="Q16" s="36">
        <f>P16*(1+$C$16*(Q5/P5-1))</f>
        <v>97.060522083913071</v>
      </c>
      <c r="R16" s="36">
        <f>Q16*(1+$C$16*(R5/Q5-1))</f>
        <v>116.79442816346207</v>
      </c>
      <c r="S16" s="36"/>
      <c r="T16" s="36"/>
      <c r="U16" s="36"/>
      <c r="V16" s="36"/>
      <c r="W16" s="36"/>
      <c r="X16" s="36"/>
      <c r="Y16" s="36"/>
      <c r="Z16" s="36"/>
      <c r="AA16" s="36"/>
      <c r="AB16" s="36"/>
      <c r="AC16" s="36"/>
      <c r="AD16" s="36"/>
      <c r="AE16" s="36"/>
      <c r="AF16" s="36"/>
      <c r="AG16" s="36"/>
      <c r="AH16" s="36"/>
      <c r="AI16" s="36"/>
      <c r="AJ16" s="36"/>
      <c r="AK16" s="36"/>
      <c r="AL16" s="36"/>
      <c r="AM16" s="36"/>
      <c r="AN16" s="36"/>
      <c r="AO16" s="36"/>
      <c r="AP16" s="36"/>
      <c r="AQ16" s="36"/>
    </row>
    <row r="17" spans="1:43">
      <c r="A17" s="4" t="s">
        <v>16</v>
      </c>
      <c r="B17" s="185" t="s">
        <v>94</v>
      </c>
      <c r="C17" s="186">
        <v>1</v>
      </c>
      <c r="D17" s="186">
        <v>1</v>
      </c>
      <c r="E17" s="186">
        <v>1</v>
      </c>
      <c r="F17" s="186">
        <v>1</v>
      </c>
      <c r="G17" s="186">
        <v>1</v>
      </c>
      <c r="H17" s="186">
        <v>1</v>
      </c>
      <c r="I17" s="28" t="s">
        <v>38</v>
      </c>
      <c r="J17" s="113">
        <f>E23</f>
        <v>20.123000000000001</v>
      </c>
      <c r="K17" s="36">
        <f>J17*(1+$C$17*(K5/J5-1))</f>
        <v>21.903188381382925</v>
      </c>
      <c r="L17" s="36">
        <f t="shared" ref="L17" si="13">K17*(1+$C$17*(L5/K5-1))</f>
        <v>22.464167268149176</v>
      </c>
      <c r="M17" s="36">
        <f t="shared" ref="M17" si="14">L17*(1+$C$17*(M5/L5-1))</f>
        <v>23.230600205801153</v>
      </c>
      <c r="N17" s="36">
        <f t="shared" ref="N17" si="15">M17*(1+$C$17*(N5/M5-1))</f>
        <v>21.908548052275595</v>
      </c>
      <c r="O17" s="36">
        <f t="shared" ref="O17" si="16">N17*(1+$C$17*(O5/N5-1))</f>
        <v>22.484948912347601</v>
      </c>
      <c r="P17" s="36">
        <f>N17*(1+$C$17*(P5/N5-1))</f>
        <v>26.585404631096118</v>
      </c>
      <c r="Q17" s="36">
        <f>P17*(1+$C$17*(Q5/P5-1))</f>
        <v>32.354043299340432</v>
      </c>
      <c r="R17" s="36">
        <f>Q17*(1+$C$17*(R5/Q5-1))</f>
        <v>38.932120957019407</v>
      </c>
      <c r="S17" s="36"/>
      <c r="T17" s="36"/>
      <c r="U17" s="36"/>
      <c r="V17" s="36"/>
      <c r="W17" s="36"/>
      <c r="X17" s="36"/>
      <c r="Y17" s="36"/>
      <c r="Z17" s="36"/>
      <c r="AA17" s="36"/>
      <c r="AB17" s="36"/>
      <c r="AC17" s="36"/>
      <c r="AD17" s="36"/>
      <c r="AE17" s="36"/>
      <c r="AF17" s="36"/>
      <c r="AG17" s="36"/>
      <c r="AH17" s="36"/>
      <c r="AI17" s="36"/>
      <c r="AJ17" s="36"/>
      <c r="AK17" s="36"/>
      <c r="AL17" s="36"/>
      <c r="AM17" s="36"/>
      <c r="AN17" s="36"/>
      <c r="AO17" s="36"/>
      <c r="AP17" s="36"/>
      <c r="AQ17" s="36"/>
    </row>
    <row r="18" spans="1:43" s="185" customFormat="1">
      <c r="A18" s="185" t="s">
        <v>16</v>
      </c>
      <c r="B18" s="185" t="s">
        <v>94</v>
      </c>
      <c r="C18" s="186">
        <v>1</v>
      </c>
      <c r="D18" s="186">
        <v>1</v>
      </c>
      <c r="E18" s="186">
        <v>1</v>
      </c>
      <c r="F18" s="186">
        <v>1</v>
      </c>
      <c r="G18" s="186">
        <v>1</v>
      </c>
      <c r="H18" s="186">
        <v>1</v>
      </c>
      <c r="I18" s="28" t="s">
        <v>38</v>
      </c>
      <c r="J18" s="113">
        <f>E24</f>
        <v>1.0701311035156249</v>
      </c>
      <c r="K18" s="36">
        <f>J18*(1+$C$18*(K5/J5-1))</f>
        <v>1.1648006337563943</v>
      </c>
      <c r="L18" s="36">
        <f t="shared" ref="L18" si="17">K18*(1+$C$18*(L5/K5-1))</f>
        <v>1.1946332111625533</v>
      </c>
      <c r="M18" s="36">
        <f t="shared" ref="M18" si="18">L18*(1+$C$18*(M5/L5-1))</f>
        <v>1.2353917325231971</v>
      </c>
      <c r="N18" s="36">
        <f t="shared" ref="N18" si="19">M18*(1+$C$18*(N5/M5-1))</f>
        <v>1.1650856583812941</v>
      </c>
      <c r="O18" s="36">
        <f t="shared" ref="O18" si="20">N18*(1+$C$18*(O5/N5-1))</f>
        <v>1.1957383686360379</v>
      </c>
      <c r="P18" s="36">
        <f>N18*(1+$C$18*(P5/N5-1))</f>
        <v>1.4137985586286488</v>
      </c>
      <c r="Q18" s="36">
        <f>P18*(1+$C$18*(Q5/P5-1))</f>
        <v>1.7205718858577495</v>
      </c>
      <c r="R18" s="36">
        <f>Q18*(1+$C$18*(R5/Q5-1))</f>
        <v>2.0703907748317336</v>
      </c>
      <c r="S18" s="36"/>
      <c r="T18" s="36"/>
      <c r="U18" s="36"/>
      <c r="V18" s="36"/>
      <c r="W18" s="36"/>
      <c r="X18" s="36"/>
      <c r="Y18" s="36"/>
      <c r="Z18" s="36"/>
      <c r="AA18" s="36"/>
      <c r="AB18" s="36"/>
      <c r="AC18" s="36"/>
      <c r="AD18" s="36"/>
      <c r="AE18" s="36"/>
      <c r="AF18" s="36"/>
      <c r="AG18" s="36"/>
      <c r="AH18" s="36"/>
      <c r="AI18" s="36"/>
      <c r="AJ18" s="36"/>
      <c r="AK18" s="36"/>
      <c r="AL18" s="36"/>
      <c r="AM18" s="36"/>
      <c r="AN18" s="36"/>
      <c r="AO18" s="36"/>
      <c r="AP18" s="36"/>
      <c r="AQ18" s="36"/>
    </row>
    <row r="19" spans="1:43">
      <c r="A19" s="4" t="s">
        <v>16</v>
      </c>
      <c r="B19" s="185"/>
      <c r="C19" s="4"/>
      <c r="D19" s="4"/>
      <c r="E19" s="4"/>
      <c r="F19" s="4"/>
      <c r="H19" s="10"/>
      <c r="I19" s="10"/>
      <c r="J19" s="10"/>
      <c r="K19" s="11"/>
      <c r="L19" s="11"/>
      <c r="N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row>
    <row r="20" spans="1:43">
      <c r="A20" s="4" t="s">
        <v>16</v>
      </c>
      <c r="B20" s="4"/>
      <c r="C20" s="4"/>
      <c r="D20" s="4"/>
      <c r="E20" s="4"/>
      <c r="F20" s="4"/>
      <c r="H20" s="10"/>
      <c r="I20" s="10"/>
      <c r="J20" s="4"/>
      <c r="K20" s="4"/>
      <c r="N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3">
      <c r="A21" s="4" t="s">
        <v>16</v>
      </c>
      <c r="B21" s="4"/>
      <c r="C21" s="5" t="s">
        <v>97</v>
      </c>
      <c r="E21" s="4" t="s">
        <v>15</v>
      </c>
      <c r="G21"/>
    </row>
    <row r="22" spans="1:43">
      <c r="A22" s="4" t="s">
        <v>16</v>
      </c>
      <c r="B22" s="186" t="str">
        <f>ITEMS_TRA!C30</f>
        <v>TAIJET</v>
      </c>
      <c r="C22" s="186" t="str">
        <f>ITEMS_TRA!D30</f>
        <v xml:space="preserve">Transport Other -  Aviation Int Jet Fuel </v>
      </c>
      <c r="D22" s="28" t="s">
        <v>38</v>
      </c>
      <c r="E22" s="174">
        <f>'[2]TS BYDem'!$J34</f>
        <v>60.368000000000002</v>
      </c>
      <c r="F22" s="6"/>
      <c r="G22"/>
      <c r="J22" s="6">
        <f>E22</f>
        <v>60.368000000000002</v>
      </c>
      <c r="K22" s="186">
        <f>(K16*K9)</f>
        <v>65.708476678791641</v>
      </c>
      <c r="L22" s="282">
        <v>68.939278175231294</v>
      </c>
      <c r="M22" s="186">
        <f t="shared" ref="M22:R22" si="21">(M16*M9)</f>
        <v>69.690646187139279</v>
      </c>
      <c r="N22" s="186">
        <f t="shared" si="21"/>
        <v>65.724555425124123</v>
      </c>
      <c r="O22" s="186">
        <f t="shared" si="21"/>
        <v>67.453729361457022</v>
      </c>
      <c r="P22" s="186">
        <f t="shared" si="21"/>
        <v>79.754892748099692</v>
      </c>
      <c r="Q22" s="186">
        <f t="shared" si="21"/>
        <v>97.060522083913071</v>
      </c>
      <c r="R22" s="186">
        <f t="shared" si="21"/>
        <v>116.79442816346207</v>
      </c>
      <c r="S22" s="6"/>
      <c r="T22" s="6"/>
      <c r="U22" s="6"/>
      <c r="V22" s="6"/>
      <c r="W22" s="6"/>
      <c r="X22" s="6"/>
      <c r="Y22" s="6"/>
      <c r="Z22" s="6"/>
      <c r="AA22" s="6"/>
      <c r="AB22" s="6"/>
      <c r="AC22" s="6"/>
      <c r="AD22" s="6"/>
      <c r="AE22" s="6"/>
      <c r="AF22" s="6"/>
      <c r="AG22" s="6"/>
      <c r="AH22" s="6"/>
      <c r="AI22" s="6"/>
      <c r="AJ22" s="6"/>
      <c r="AK22" s="6"/>
      <c r="AL22" s="6"/>
      <c r="AM22" s="6"/>
      <c r="AN22" s="6"/>
      <c r="AO22" s="6"/>
      <c r="AP22" s="6"/>
      <c r="AQ22" s="6"/>
    </row>
    <row r="23" spans="1:43" s="185" customFormat="1">
      <c r="A23" s="185" t="s">
        <v>16</v>
      </c>
      <c r="B23" s="186" t="str">
        <f>ITEMS_TRA!C31</f>
        <v>TADJET</v>
      </c>
      <c r="C23" s="186" t="str">
        <f>ITEMS_TRA!D31</f>
        <v xml:space="preserve">Transport Other -  Aviation Dom Jet Fuel </v>
      </c>
      <c r="D23" s="28" t="s">
        <v>38</v>
      </c>
      <c r="E23" s="174">
        <f>'[2]TS BYDem'!$J35</f>
        <v>20.123000000000001</v>
      </c>
      <c r="F23" s="186"/>
      <c r="J23" s="186">
        <f t="shared" ref="J23:J24" si="22">E23</f>
        <v>20.123000000000001</v>
      </c>
      <c r="K23" s="186">
        <f>(K17*K10)</f>
        <v>21.903188381382925</v>
      </c>
      <c r="L23" s="283">
        <v>20.465228059152793</v>
      </c>
      <c r="M23" s="186">
        <f t="shared" ref="M23" si="23">(M17*M10)</f>
        <v>23.230600205801153</v>
      </c>
      <c r="N23" s="186">
        <f t="shared" ref="N23" si="24">(N17*N10)</f>
        <v>21.908548052275595</v>
      </c>
      <c r="O23" s="186">
        <f t="shared" ref="O23" si="25">(O17*O10)</f>
        <v>22.484948912347601</v>
      </c>
      <c r="P23" s="186">
        <f t="shared" ref="P23:R24" si="26">(P17*P10)</f>
        <v>26.585404631096118</v>
      </c>
      <c r="Q23" s="186">
        <f t="shared" si="26"/>
        <v>32.354043299340432</v>
      </c>
      <c r="R23" s="186">
        <f t="shared" si="26"/>
        <v>38.932120957019407</v>
      </c>
      <c r="S23" s="186"/>
      <c r="T23" s="186"/>
      <c r="U23" s="186"/>
      <c r="V23" s="186"/>
      <c r="W23" s="186"/>
      <c r="X23" s="186"/>
      <c r="Y23" s="186"/>
      <c r="Z23" s="186"/>
      <c r="AA23" s="186"/>
      <c r="AB23" s="186"/>
      <c r="AC23" s="186"/>
      <c r="AD23" s="186"/>
      <c r="AE23" s="186"/>
      <c r="AF23" s="186"/>
      <c r="AG23" s="186"/>
      <c r="AH23" s="186"/>
      <c r="AI23" s="186"/>
      <c r="AJ23" s="186"/>
      <c r="AK23" s="186"/>
      <c r="AL23" s="186"/>
      <c r="AM23" s="186"/>
      <c r="AN23" s="186"/>
      <c r="AO23" s="186"/>
      <c r="AP23" s="186"/>
      <c r="AQ23" s="186"/>
    </row>
    <row r="24" spans="1:43" s="185" customFormat="1">
      <c r="A24" s="185" t="s">
        <v>16</v>
      </c>
      <c r="B24" s="186" t="str">
        <f>ITEMS_TRA!C32</f>
        <v>TAOAG</v>
      </c>
      <c r="C24" s="186" t="str">
        <f>ITEMS_TRA!D32</f>
        <v>Transport Other - Aviation Gasoline</v>
      </c>
      <c r="D24" s="28" t="s">
        <v>38</v>
      </c>
      <c r="E24" s="174">
        <f>'[2]TS BYDem'!$J36</f>
        <v>1.0701311035156249</v>
      </c>
      <c r="F24" s="186"/>
      <c r="J24" s="186">
        <f t="shared" si="22"/>
        <v>1.0701311035156249</v>
      </c>
      <c r="K24" s="186">
        <f>(K18*K11)</f>
        <v>1.1648006337563943</v>
      </c>
      <c r="L24" s="284">
        <f t="shared" ref="L24" si="27">(L18*L11)</f>
        <v>1.1946332111625533</v>
      </c>
      <c r="M24" s="186">
        <f>(M18*M11)</f>
        <v>1.2353917325231971</v>
      </c>
      <c r="N24" s="186">
        <f>(N18*N11)</f>
        <v>1.1650856583812941</v>
      </c>
      <c r="O24" s="186">
        <f>(O18*O11)</f>
        <v>1.1957383686360379</v>
      </c>
      <c r="P24" s="186">
        <f t="shared" si="26"/>
        <v>1.4137985586286488</v>
      </c>
      <c r="Q24" s="186">
        <f t="shared" si="26"/>
        <v>1.7205718858577495</v>
      </c>
      <c r="R24" s="186">
        <f t="shared" si="26"/>
        <v>2.0703907748317336</v>
      </c>
      <c r="S24" s="186"/>
      <c r="T24" s="186"/>
      <c r="U24" s="186"/>
      <c r="V24" s="186"/>
      <c r="W24" s="186"/>
      <c r="X24" s="186"/>
      <c r="Y24" s="186"/>
      <c r="Z24" s="186"/>
      <c r="AA24" s="186"/>
      <c r="AB24" s="186"/>
      <c r="AC24" s="186"/>
      <c r="AD24" s="186"/>
      <c r="AE24" s="186"/>
      <c r="AF24" s="186"/>
      <c r="AG24" s="186"/>
      <c r="AH24" s="186"/>
      <c r="AI24" s="186"/>
      <c r="AJ24" s="186"/>
      <c r="AK24" s="186"/>
      <c r="AL24" s="186"/>
      <c r="AM24" s="186"/>
      <c r="AN24" s="186"/>
      <c r="AO24" s="186"/>
      <c r="AP24" s="186"/>
      <c r="AQ24" s="186"/>
    </row>
    <row r="25" spans="1:43" s="185" customFormat="1">
      <c r="D25" s="28"/>
      <c r="E25" s="58"/>
      <c r="F25" s="186"/>
      <c r="J25" s="186"/>
      <c r="K25" s="186"/>
      <c r="L25" s="186"/>
      <c r="N25" s="186"/>
      <c r="P25" s="186"/>
      <c r="Q25" s="186"/>
      <c r="R25" s="186"/>
      <c r="S25" s="186"/>
      <c r="T25" s="186"/>
      <c r="U25" s="186"/>
      <c r="V25" s="186"/>
      <c r="W25" s="186"/>
      <c r="X25" s="186"/>
      <c r="Y25" s="186"/>
      <c r="Z25" s="186"/>
      <c r="AA25" s="186"/>
      <c r="AB25" s="186"/>
      <c r="AC25" s="186"/>
      <c r="AD25" s="186"/>
      <c r="AE25" s="186"/>
      <c r="AF25" s="186"/>
      <c r="AG25" s="186"/>
      <c r="AH25" s="186"/>
      <c r="AI25" s="186"/>
      <c r="AJ25" s="186"/>
      <c r="AK25" s="186"/>
      <c r="AL25" s="186"/>
      <c r="AM25" s="186"/>
      <c r="AN25" s="186"/>
      <c r="AO25" s="186"/>
      <c r="AP25" s="186"/>
      <c r="AQ25" s="186"/>
    </row>
    <row r="26" spans="1:43" ht="18" thickBot="1">
      <c r="A26" s="4" t="s">
        <v>16</v>
      </c>
      <c r="B26" s="65" t="s">
        <v>598</v>
      </c>
      <c r="C26" s="20"/>
      <c r="D26" s="14"/>
      <c r="E26" s="14"/>
      <c r="F26" s="14"/>
      <c r="G26" s="14"/>
      <c r="H26" s="14"/>
      <c r="I26" s="14"/>
      <c r="J26" s="4"/>
      <c r="K26" s="4"/>
      <c r="N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3" ht="15.75" thickTop="1">
      <c r="A27" s="4" t="s">
        <v>16</v>
      </c>
      <c r="D27" s="4">
        <v>2012</v>
      </c>
      <c r="E27" s="4">
        <v>2015</v>
      </c>
      <c r="F27" s="4">
        <v>2020</v>
      </c>
      <c r="G27" s="4">
        <v>2030</v>
      </c>
      <c r="H27" s="4">
        <v>2050</v>
      </c>
      <c r="I27" s="4"/>
    </row>
    <row r="28" spans="1:43">
      <c r="A28" s="4" t="s">
        <v>16</v>
      </c>
      <c r="B28" s="186" t="s">
        <v>596</v>
      </c>
      <c r="C28" s="186" t="s">
        <v>598</v>
      </c>
      <c r="D28" s="185">
        <f>MATCH(B28,Drivers!$A$7:$A$22,0)</f>
        <v>16</v>
      </c>
      <c r="E28" s="186"/>
      <c r="F28" s="185"/>
      <c r="G28" s="185"/>
      <c r="H28" s="185"/>
      <c r="I28" s="185"/>
      <c r="J28" s="186" cm="1">
        <f t="array" ref="J28">INDEX(Drivers!$C$7:$AG$22,$D28,J$3)</f>
        <v>1.1351531206547518</v>
      </c>
      <c r="K28" s="186" cm="1">
        <f t="array" ref="K28">INDEX(Drivers!$C$7:$AG$22,$D28,K$3)</f>
        <v>1.123</v>
      </c>
      <c r="L28" s="186" cm="1">
        <f t="array" ref="L28">INDEX(Drivers!$C$7:$AG$22,$D28,L$3)</f>
        <v>1.141</v>
      </c>
      <c r="M28" s="186" cm="1">
        <f t="array" ref="M28">INDEX(Drivers!$C$7:$AG$22,$D28,M$3)</f>
        <v>1.085</v>
      </c>
      <c r="N28" s="186" cm="1">
        <f t="array" ref="N28">INDEX(Drivers!$C$7:$AG$22,$D28,N$3)</f>
        <v>0.97599999999999998</v>
      </c>
      <c r="O28" s="186" cm="1">
        <f t="array" ref="O28">INDEX(Drivers!$C$7:$AG$22,$D28,O$3)</f>
        <v>0.97698555779560181</v>
      </c>
      <c r="P28" s="186" cm="1">
        <f t="array" ref="P28">INDEX(Drivers!$C$7:$AG$22,$D28,P$3)</f>
        <v>1.3466390583332413</v>
      </c>
      <c r="Q28" s="186" cm="1">
        <f t="array" ref="Q28">INDEX(Drivers!$C$7:$AG$22,$D28,Q$3)</f>
        <v>1.9345288177400692</v>
      </c>
      <c r="R28" s="186" cm="1">
        <f t="array" ref="R28">INDEX(Drivers!$C$7:$AG$22,$D28,R$3)</f>
        <v>2.950642647220036</v>
      </c>
      <c r="S28" s="6"/>
      <c r="T28" s="6"/>
      <c r="U28" s="6"/>
      <c r="V28" s="6"/>
      <c r="W28" s="6"/>
      <c r="X28" s="6"/>
      <c r="Y28" s="6"/>
      <c r="Z28" s="6"/>
      <c r="AA28" s="6"/>
      <c r="AB28" s="6"/>
      <c r="AC28" s="6"/>
      <c r="AD28" s="6"/>
      <c r="AE28" s="6"/>
      <c r="AF28" s="6"/>
      <c r="AG28" s="6"/>
      <c r="AH28" s="6"/>
      <c r="AI28" s="6"/>
      <c r="AJ28" s="6"/>
      <c r="AK28" s="6"/>
      <c r="AL28" s="6"/>
      <c r="AM28" s="6"/>
      <c r="AN28" s="6"/>
      <c r="AO28" s="6"/>
      <c r="AP28" s="6"/>
      <c r="AQ28" s="6"/>
    </row>
    <row r="29" spans="1:43">
      <c r="A29" s="4" t="s">
        <v>16</v>
      </c>
      <c r="F29" s="4"/>
      <c r="G29"/>
    </row>
    <row r="30" spans="1:43">
      <c r="A30" s="4" t="s">
        <v>16</v>
      </c>
      <c r="F30" s="4"/>
      <c r="G30"/>
    </row>
    <row r="31" spans="1:43" ht="15.75" thickBot="1">
      <c r="A31" s="4" t="s">
        <v>16</v>
      </c>
      <c r="B31" s="64" t="s">
        <v>155</v>
      </c>
      <c r="F31" s="4"/>
      <c r="G31"/>
      <c r="K31" s="4"/>
      <c r="N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3">
      <c r="A32" s="4" t="s">
        <v>16</v>
      </c>
      <c r="E32" s="4" t="s">
        <v>15</v>
      </c>
    </row>
    <row r="33" spans="1:78">
      <c r="A33" s="4" t="s">
        <v>16</v>
      </c>
      <c r="B33" s="4" t="s">
        <v>134</v>
      </c>
      <c r="C33" s="4" t="s">
        <v>104</v>
      </c>
      <c r="D33" t="s">
        <v>38</v>
      </c>
      <c r="E33" s="58">
        <f>'[2]TS BYDem'!$J$33</f>
        <v>0.820564128</v>
      </c>
      <c r="J33" s="186">
        <f>E33</f>
        <v>0.820564128</v>
      </c>
      <c r="K33" s="186">
        <f>763.4835/1000</f>
        <v>0.76348350000000009</v>
      </c>
      <c r="L33" s="284">
        <f>714.528/1000</f>
        <v>0.71452800000000005</v>
      </c>
      <c r="M33" s="186">
        <f>AVERAGE(L33,J33,K33)</f>
        <v>0.76619187600000005</v>
      </c>
      <c r="N33" s="186">
        <f>M33</f>
        <v>0.76619187600000005</v>
      </c>
      <c r="O33" s="186">
        <f t="shared" ref="O33:R33" si="28">N33</f>
        <v>0.76619187600000005</v>
      </c>
      <c r="P33" s="186">
        <f t="shared" si="28"/>
        <v>0.76619187600000005</v>
      </c>
      <c r="Q33" s="186">
        <f t="shared" si="28"/>
        <v>0.76619187600000005</v>
      </c>
      <c r="R33" s="186">
        <f t="shared" si="28"/>
        <v>0.76619187600000005</v>
      </c>
    </row>
    <row r="34" spans="1:78">
      <c r="A34" s="4" t="s">
        <v>16</v>
      </c>
    </row>
    <row r="35" spans="1:78" ht="18" thickBot="1">
      <c r="A35" s="4" t="s">
        <v>16</v>
      </c>
      <c r="C35" s="65" t="s">
        <v>157</v>
      </c>
    </row>
    <row r="36" spans="1:78" ht="15.75" thickTop="1">
      <c r="A36" s="4" t="s">
        <v>16</v>
      </c>
      <c r="B36" s="4" t="s">
        <v>158</v>
      </c>
      <c r="C36" s="4" t="s">
        <v>159</v>
      </c>
      <c r="D36" s="28" t="s">
        <v>38</v>
      </c>
      <c r="E36" s="58">
        <f>'[2]TS BYDem'!$J$37</f>
        <v>4.5090000000000003</v>
      </c>
      <c r="J36" s="6">
        <f>E36</f>
        <v>4.5090000000000003</v>
      </c>
      <c r="K36" s="6">
        <f>K$28/J$28*J36</f>
        <v>4.4607259653916396</v>
      </c>
      <c r="L36" s="283">
        <f>0.001*(26455.61401-21947)</f>
        <v>4.5086140100000014</v>
      </c>
      <c r="M36" s="186">
        <f>M$28/J$28*J36</f>
        <v>4.3097842141139173</v>
      </c>
      <c r="N36" s="186">
        <f>N$28/K$28*K36</f>
        <v>3.8768197170278187</v>
      </c>
      <c r="O36" s="186">
        <f>O$28/L$28*L36</f>
        <v>3.8605177681375253</v>
      </c>
      <c r="P36" s="186">
        <f>P$28/N$28*N36</f>
        <v>5.349054152731644</v>
      </c>
      <c r="Q36" s="186">
        <f>Q$28/P$28*P36</f>
        <v>7.6842412538659994</v>
      </c>
      <c r="R36" s="186">
        <f>R$28/Q$28*Q36</f>
        <v>11.720399172792822</v>
      </c>
      <c r="S36" s="6"/>
      <c r="T36" s="6"/>
      <c r="U36" s="6"/>
      <c r="V36" s="6"/>
      <c r="W36" s="6"/>
      <c r="X36" s="6"/>
      <c r="Y36" s="6"/>
      <c r="Z36" s="6"/>
      <c r="AA36" s="6"/>
      <c r="AB36" s="6"/>
      <c r="AC36" s="6"/>
      <c r="AD36" s="6"/>
      <c r="AE36" s="6"/>
      <c r="AF36" s="6"/>
      <c r="AG36" s="6"/>
      <c r="AH36" s="6"/>
      <c r="AI36" s="6"/>
      <c r="AJ36" s="6"/>
      <c r="AK36" s="6"/>
      <c r="AL36" s="6"/>
      <c r="AM36" s="6"/>
      <c r="AN36" s="6"/>
      <c r="AO36" s="6"/>
      <c r="AP36" s="6"/>
      <c r="AQ36" s="6"/>
    </row>
    <row r="37" spans="1:78">
      <c r="A37" s="114" t="s">
        <v>16</v>
      </c>
    </row>
    <row r="38" spans="1:78" s="185" customFormat="1">
      <c r="A38" s="114" t="s">
        <v>16</v>
      </c>
      <c r="B38" s="115">
        <v>1</v>
      </c>
      <c r="C38" s="191">
        <v>2012</v>
      </c>
      <c r="D38" s="191">
        <v>2015</v>
      </c>
      <c r="E38" s="191">
        <v>2017</v>
      </c>
      <c r="F38" s="188">
        <v>2019</v>
      </c>
      <c r="G38" s="191">
        <v>2020</v>
      </c>
      <c r="H38" s="191">
        <v>2021</v>
      </c>
      <c r="I38" s="115">
        <v>2030</v>
      </c>
      <c r="J38" s="191">
        <v>2040</v>
      </c>
      <c r="K38" s="120">
        <v>2050</v>
      </c>
    </row>
    <row r="39" spans="1:78" s="185" customFormat="1">
      <c r="A39" s="40" t="s">
        <v>16</v>
      </c>
      <c r="B39" s="188">
        <v>0</v>
      </c>
      <c r="C39" s="187" cm="1">
        <f t="array" ref="C39">INDEX($C38:$K38,0,COUNT($C38:$K38)-C40)</f>
        <v>2050</v>
      </c>
      <c r="D39" s="187" cm="1">
        <f t="array" ref="D39">INDEX($C38:$K38,0,COUNT($C38:$K38)-D40)</f>
        <v>2040</v>
      </c>
      <c r="E39" s="187" cm="1">
        <f t="array" ref="E39">INDEX($C38:$K38,0,COUNT($C38:$K38)-E40)</f>
        <v>2030</v>
      </c>
      <c r="F39" s="187" cm="1">
        <f t="array" ref="F39">INDEX($C38:$K38,0,COUNT($C38:$K38)-F40)</f>
        <v>2021</v>
      </c>
      <c r="G39" s="187" cm="1">
        <f t="array" ref="G39">INDEX($C38:$K38,0,COUNT($C38:$K38)-G40)</f>
        <v>2020</v>
      </c>
      <c r="H39" s="187" cm="1">
        <f t="array" ref="H39">INDEX($C38:$K38,0,COUNT($C38:$K38)-H40)</f>
        <v>2019</v>
      </c>
      <c r="I39" s="187" cm="1">
        <f t="array" ref="I39">INDEX($C38:$K38,0,COUNT($C38:$K38)-I40)</f>
        <v>2017</v>
      </c>
      <c r="J39" s="187" cm="1">
        <f t="array" ref="J39">INDEX($C38:$K38,0,COUNT($C38:$K38)-J40)</f>
        <v>2015</v>
      </c>
      <c r="K39" s="121">
        <v>2012</v>
      </c>
    </row>
    <row r="40" spans="1:78" s="185" customFormat="1">
      <c r="A40" s="40" t="s">
        <v>16</v>
      </c>
      <c r="B40" s="188">
        <v>-1</v>
      </c>
      <c r="C40" s="187">
        <v>0</v>
      </c>
      <c r="D40" s="187">
        <v>1</v>
      </c>
      <c r="E40" s="188">
        <v>2</v>
      </c>
      <c r="F40" s="187">
        <v>3</v>
      </c>
      <c r="G40" s="188">
        <v>4</v>
      </c>
      <c r="H40" s="187">
        <v>5</v>
      </c>
      <c r="I40" s="188">
        <v>6</v>
      </c>
      <c r="J40" s="187">
        <v>7</v>
      </c>
      <c r="K40" s="188">
        <v>8</v>
      </c>
    </row>
    <row r="41" spans="1:78">
      <c r="A41" s="116" t="s">
        <v>16</v>
      </c>
      <c r="B41" s="117"/>
      <c r="C41" s="117"/>
      <c r="D41" s="117"/>
      <c r="E41" s="117"/>
      <c r="F41" s="117"/>
      <c r="G41" s="117"/>
      <c r="H41" s="117"/>
      <c r="I41" s="122"/>
    </row>
    <row r="42" spans="1:78" s="185" customFormat="1" ht="23.25">
      <c r="A42" s="323" t="s">
        <v>16</v>
      </c>
      <c r="B42" s="118" t="s">
        <v>19</v>
      </c>
      <c r="C42" s="118" t="s">
        <v>20</v>
      </c>
      <c r="D42" s="118" t="s">
        <v>21</v>
      </c>
      <c r="E42" s="118" t="s">
        <v>22</v>
      </c>
      <c r="F42" s="118" t="s">
        <v>23</v>
      </c>
      <c r="G42" s="118" t="s">
        <v>24</v>
      </c>
      <c r="H42" s="118" t="s">
        <v>614</v>
      </c>
      <c r="I42" s="119" t="s">
        <v>25</v>
      </c>
      <c r="J42" s="188">
        <v>2012</v>
      </c>
      <c r="K42" s="188">
        <v>2013</v>
      </c>
      <c r="L42" s="188">
        <v>2014</v>
      </c>
      <c r="M42" s="188">
        <v>2015</v>
      </c>
      <c r="N42" s="188">
        <v>2016</v>
      </c>
      <c r="O42" s="188">
        <v>2017</v>
      </c>
      <c r="P42" s="188">
        <v>2018</v>
      </c>
      <c r="Q42" s="188">
        <v>2019</v>
      </c>
      <c r="R42" s="188">
        <v>2020</v>
      </c>
      <c r="S42" s="188">
        <v>2021</v>
      </c>
      <c r="T42" s="188">
        <v>2022</v>
      </c>
      <c r="U42" s="188">
        <v>2023</v>
      </c>
      <c r="V42" s="188">
        <v>2024</v>
      </c>
      <c r="W42" s="188">
        <v>2025</v>
      </c>
      <c r="X42" s="188">
        <v>2026</v>
      </c>
      <c r="Y42" s="188">
        <v>2027</v>
      </c>
      <c r="Z42" s="188">
        <v>2028</v>
      </c>
      <c r="AA42" s="188">
        <v>2029</v>
      </c>
      <c r="AB42" s="188">
        <v>2030</v>
      </c>
      <c r="AC42" s="188">
        <v>2031</v>
      </c>
      <c r="AD42" s="188">
        <v>2032</v>
      </c>
      <c r="AE42" s="188">
        <v>2033</v>
      </c>
      <c r="AF42" s="188">
        <v>2034</v>
      </c>
      <c r="AG42" s="188">
        <v>2035</v>
      </c>
      <c r="AH42" s="188">
        <v>2036</v>
      </c>
      <c r="AI42" s="188">
        <v>2037</v>
      </c>
      <c r="AJ42" s="188">
        <v>2038</v>
      </c>
      <c r="AK42" s="188">
        <v>2039</v>
      </c>
      <c r="AL42" s="188">
        <v>2040</v>
      </c>
      <c r="AM42" s="188">
        <v>2045</v>
      </c>
      <c r="AN42" s="188">
        <v>2050</v>
      </c>
      <c r="AO42" s="188">
        <v>2060</v>
      </c>
      <c r="AP42" s="188">
        <v>2070</v>
      </c>
    </row>
    <row r="43" spans="1:78" s="191" customFormat="1">
      <c r="A43" s="191" t="s">
        <v>16</v>
      </c>
      <c r="J43" s="191">
        <f t="shared" ref="J43:AP43" si="29">MATCH(J$42,$C$38:$K$38,$B38)</f>
        <v>1</v>
      </c>
      <c r="K43" s="191">
        <f t="shared" si="29"/>
        <v>1</v>
      </c>
      <c r="L43" s="191">
        <f t="shared" si="29"/>
        <v>1</v>
      </c>
      <c r="M43" s="191">
        <f t="shared" si="29"/>
        <v>2</v>
      </c>
      <c r="N43" s="191">
        <f t="shared" si="29"/>
        <v>2</v>
      </c>
      <c r="O43" s="191">
        <f t="shared" si="29"/>
        <v>3</v>
      </c>
      <c r="P43" s="191">
        <f t="shared" si="29"/>
        <v>3</v>
      </c>
      <c r="Q43" s="191">
        <f t="shared" si="29"/>
        <v>4</v>
      </c>
      <c r="R43" s="191">
        <f t="shared" si="29"/>
        <v>5</v>
      </c>
      <c r="S43" s="191">
        <f t="shared" si="29"/>
        <v>6</v>
      </c>
      <c r="T43" s="191">
        <f t="shared" si="29"/>
        <v>6</v>
      </c>
      <c r="U43" s="191">
        <f t="shared" si="29"/>
        <v>6</v>
      </c>
      <c r="V43" s="191">
        <f t="shared" si="29"/>
        <v>6</v>
      </c>
      <c r="W43" s="191">
        <f t="shared" si="29"/>
        <v>6</v>
      </c>
      <c r="X43" s="191">
        <f t="shared" si="29"/>
        <v>6</v>
      </c>
      <c r="Y43" s="191">
        <f t="shared" si="29"/>
        <v>6</v>
      </c>
      <c r="Z43" s="191">
        <f t="shared" si="29"/>
        <v>6</v>
      </c>
      <c r="AA43" s="191">
        <f t="shared" si="29"/>
        <v>6</v>
      </c>
      <c r="AB43" s="191">
        <f t="shared" si="29"/>
        <v>7</v>
      </c>
      <c r="AC43" s="191">
        <f t="shared" si="29"/>
        <v>7</v>
      </c>
      <c r="AD43" s="191">
        <f t="shared" si="29"/>
        <v>7</v>
      </c>
      <c r="AE43" s="191">
        <f t="shared" si="29"/>
        <v>7</v>
      </c>
      <c r="AF43" s="191">
        <f t="shared" si="29"/>
        <v>7</v>
      </c>
      <c r="AG43" s="191">
        <f t="shared" si="29"/>
        <v>7</v>
      </c>
      <c r="AH43" s="191">
        <f t="shared" si="29"/>
        <v>7</v>
      </c>
      <c r="AI43" s="191">
        <f t="shared" si="29"/>
        <v>7</v>
      </c>
      <c r="AJ43" s="191">
        <f t="shared" si="29"/>
        <v>7</v>
      </c>
      <c r="AK43" s="191">
        <f t="shared" si="29"/>
        <v>7</v>
      </c>
      <c r="AL43" s="191">
        <f t="shared" si="29"/>
        <v>8</v>
      </c>
      <c r="AM43" s="191">
        <f t="shared" si="29"/>
        <v>8</v>
      </c>
      <c r="AN43" s="191">
        <f t="shared" si="29"/>
        <v>9</v>
      </c>
      <c r="AO43" s="191">
        <f t="shared" si="29"/>
        <v>9</v>
      </c>
      <c r="AP43" s="191">
        <f t="shared" si="29"/>
        <v>9</v>
      </c>
      <c r="AR43" s="185"/>
      <c r="AS43" s="185"/>
      <c r="AT43" s="185"/>
      <c r="AU43" s="185"/>
      <c r="AV43" s="185"/>
      <c r="AW43" s="185"/>
      <c r="AX43" s="185"/>
      <c r="AY43" s="185"/>
      <c r="AZ43" s="185"/>
      <c r="BA43" s="185"/>
      <c r="BB43" s="185"/>
      <c r="BC43" s="185"/>
      <c r="BD43" s="185"/>
      <c r="BE43" s="185"/>
      <c r="BF43" s="185"/>
      <c r="BG43" s="185"/>
      <c r="BH43" s="185"/>
      <c r="BI43" s="185"/>
      <c r="BJ43" s="185"/>
      <c r="BK43" s="185"/>
      <c r="BL43" s="185"/>
      <c r="BM43" s="185"/>
      <c r="BN43" s="185"/>
      <c r="BO43" s="185"/>
      <c r="BP43" s="185"/>
      <c r="BQ43" s="185"/>
      <c r="BR43" s="185"/>
      <c r="BS43" s="185"/>
      <c r="BT43" s="185"/>
      <c r="BU43" s="185"/>
      <c r="BV43" s="185"/>
      <c r="BW43" s="185"/>
      <c r="BX43" s="185"/>
      <c r="BY43" s="185"/>
      <c r="BZ43" s="185"/>
    </row>
    <row r="44" spans="1:78" s="187" customFormat="1">
      <c r="A44" s="188" t="s">
        <v>16</v>
      </c>
      <c r="J44" s="40">
        <f t="shared" ref="J44:AP44" si="30">MATCH(J$42,$C$38:$K$38,$B39)</f>
        <v>1</v>
      </c>
      <c r="K44" s="187" t="e">
        <f t="shared" si="30"/>
        <v>#N/A</v>
      </c>
      <c r="L44" s="187" t="e">
        <f t="shared" si="30"/>
        <v>#N/A</v>
      </c>
      <c r="M44" s="187">
        <f t="shared" si="30"/>
        <v>2</v>
      </c>
      <c r="N44" s="187" t="e">
        <f t="shared" si="30"/>
        <v>#N/A</v>
      </c>
      <c r="O44" s="187">
        <f t="shared" si="30"/>
        <v>3</v>
      </c>
      <c r="P44" s="187" t="e">
        <f t="shared" si="30"/>
        <v>#N/A</v>
      </c>
      <c r="Q44" s="187">
        <f t="shared" si="30"/>
        <v>4</v>
      </c>
      <c r="R44" s="187">
        <f t="shared" si="30"/>
        <v>5</v>
      </c>
      <c r="S44" s="187">
        <f t="shared" si="30"/>
        <v>6</v>
      </c>
      <c r="T44" s="187" t="e">
        <f t="shared" si="30"/>
        <v>#N/A</v>
      </c>
      <c r="U44" s="187" t="e">
        <f t="shared" si="30"/>
        <v>#N/A</v>
      </c>
      <c r="V44" s="187" t="e">
        <f t="shared" si="30"/>
        <v>#N/A</v>
      </c>
      <c r="W44" s="187" t="e">
        <f t="shared" si="30"/>
        <v>#N/A</v>
      </c>
      <c r="X44" s="187" t="e">
        <f t="shared" si="30"/>
        <v>#N/A</v>
      </c>
      <c r="Y44" s="187" t="e">
        <f t="shared" si="30"/>
        <v>#N/A</v>
      </c>
      <c r="Z44" s="187" t="e">
        <f t="shared" si="30"/>
        <v>#N/A</v>
      </c>
      <c r="AA44" s="187" t="e">
        <f t="shared" si="30"/>
        <v>#N/A</v>
      </c>
      <c r="AB44" s="187">
        <f t="shared" si="30"/>
        <v>7</v>
      </c>
      <c r="AC44" s="187" t="e">
        <f t="shared" si="30"/>
        <v>#N/A</v>
      </c>
      <c r="AD44" s="187" t="e">
        <f t="shared" si="30"/>
        <v>#N/A</v>
      </c>
      <c r="AE44" s="187" t="e">
        <f t="shared" si="30"/>
        <v>#N/A</v>
      </c>
      <c r="AF44" s="187" t="e">
        <f t="shared" si="30"/>
        <v>#N/A</v>
      </c>
      <c r="AG44" s="187" t="e">
        <f t="shared" si="30"/>
        <v>#N/A</v>
      </c>
      <c r="AH44" s="187" t="e">
        <f t="shared" si="30"/>
        <v>#N/A</v>
      </c>
      <c r="AI44" s="187" t="e">
        <f t="shared" si="30"/>
        <v>#N/A</v>
      </c>
      <c r="AJ44" s="187" t="e">
        <f t="shared" si="30"/>
        <v>#N/A</v>
      </c>
      <c r="AK44" s="187" t="e">
        <f t="shared" si="30"/>
        <v>#N/A</v>
      </c>
      <c r="AL44" s="187">
        <f t="shared" si="30"/>
        <v>8</v>
      </c>
      <c r="AM44" s="187" t="e">
        <f t="shared" si="30"/>
        <v>#N/A</v>
      </c>
      <c r="AN44" s="187">
        <f t="shared" si="30"/>
        <v>9</v>
      </c>
      <c r="AO44" s="187" t="e">
        <f t="shared" si="30"/>
        <v>#N/A</v>
      </c>
      <c r="AP44" s="187" t="e">
        <f t="shared" si="30"/>
        <v>#N/A</v>
      </c>
      <c r="AR44" s="185"/>
      <c r="AS44" s="185"/>
      <c r="AT44" s="185"/>
      <c r="AU44" s="185"/>
      <c r="AV44" s="185"/>
      <c r="AW44" s="185"/>
      <c r="AX44" s="185"/>
      <c r="AY44" s="185"/>
      <c r="AZ44" s="185"/>
      <c r="BA44" s="185"/>
      <c r="BB44" s="185"/>
      <c r="BC44" s="185"/>
      <c r="BD44" s="185"/>
      <c r="BE44" s="185"/>
      <c r="BF44" s="185"/>
      <c r="BG44" s="185"/>
      <c r="BH44" s="185"/>
      <c r="BI44" s="185"/>
      <c r="BJ44" s="185"/>
      <c r="BK44" s="185"/>
      <c r="BL44" s="185"/>
      <c r="BM44" s="185"/>
      <c r="BN44" s="185"/>
      <c r="BO44" s="185"/>
      <c r="BP44" s="185"/>
      <c r="BQ44" s="185"/>
      <c r="BR44" s="185"/>
      <c r="BS44" s="185"/>
      <c r="BT44" s="185"/>
      <c r="BU44" s="185"/>
      <c r="BV44" s="185"/>
      <c r="BW44" s="185"/>
      <c r="BX44" s="185"/>
      <c r="BY44" s="185"/>
      <c r="BZ44" s="185"/>
    </row>
    <row r="45" spans="1:78" s="187" customFormat="1">
      <c r="A45" s="188" t="s">
        <v>16</v>
      </c>
      <c r="J45" s="40">
        <f t="shared" ref="J45:AP45" si="31">MATCH(J$42,$C$39:$K$39,$B40)</f>
        <v>9</v>
      </c>
      <c r="K45" s="187">
        <f t="shared" si="31"/>
        <v>8</v>
      </c>
      <c r="L45" s="187">
        <f t="shared" si="31"/>
        <v>8</v>
      </c>
      <c r="M45" s="187">
        <f t="shared" si="31"/>
        <v>8</v>
      </c>
      <c r="N45" s="187">
        <f t="shared" si="31"/>
        <v>7</v>
      </c>
      <c r="O45" s="187">
        <f t="shared" si="31"/>
        <v>7</v>
      </c>
      <c r="P45" s="187">
        <f t="shared" si="31"/>
        <v>6</v>
      </c>
      <c r="Q45" s="187">
        <f t="shared" si="31"/>
        <v>6</v>
      </c>
      <c r="R45" s="187">
        <f t="shared" si="31"/>
        <v>5</v>
      </c>
      <c r="S45" s="187">
        <f t="shared" si="31"/>
        <v>4</v>
      </c>
      <c r="T45" s="187">
        <f t="shared" si="31"/>
        <v>3</v>
      </c>
      <c r="U45" s="187">
        <f t="shared" si="31"/>
        <v>3</v>
      </c>
      <c r="V45" s="187">
        <f t="shared" si="31"/>
        <v>3</v>
      </c>
      <c r="W45" s="187">
        <f t="shared" si="31"/>
        <v>3</v>
      </c>
      <c r="X45" s="187">
        <f t="shared" si="31"/>
        <v>3</v>
      </c>
      <c r="Y45" s="187">
        <f t="shared" si="31"/>
        <v>3</v>
      </c>
      <c r="Z45" s="187">
        <f t="shared" si="31"/>
        <v>3</v>
      </c>
      <c r="AA45" s="187">
        <f t="shared" si="31"/>
        <v>3</v>
      </c>
      <c r="AB45" s="187">
        <f t="shared" si="31"/>
        <v>3</v>
      </c>
      <c r="AC45" s="187">
        <f t="shared" si="31"/>
        <v>2</v>
      </c>
      <c r="AD45" s="187">
        <f t="shared" si="31"/>
        <v>2</v>
      </c>
      <c r="AE45" s="187">
        <f t="shared" si="31"/>
        <v>2</v>
      </c>
      <c r="AF45" s="187">
        <f t="shared" si="31"/>
        <v>2</v>
      </c>
      <c r="AG45" s="187">
        <f t="shared" si="31"/>
        <v>2</v>
      </c>
      <c r="AH45" s="187">
        <f t="shared" si="31"/>
        <v>2</v>
      </c>
      <c r="AI45" s="187">
        <f t="shared" si="31"/>
        <v>2</v>
      </c>
      <c r="AJ45" s="187">
        <f t="shared" si="31"/>
        <v>2</v>
      </c>
      <c r="AK45" s="187">
        <f t="shared" si="31"/>
        <v>2</v>
      </c>
      <c r="AL45" s="187">
        <f t="shared" si="31"/>
        <v>2</v>
      </c>
      <c r="AM45" s="187">
        <f t="shared" si="31"/>
        <v>1</v>
      </c>
      <c r="AN45" s="187">
        <f t="shared" si="31"/>
        <v>1</v>
      </c>
      <c r="AO45" s="187" t="e">
        <f t="shared" si="31"/>
        <v>#N/A</v>
      </c>
      <c r="AP45" s="187" t="e">
        <f t="shared" si="31"/>
        <v>#N/A</v>
      </c>
      <c r="AR45" s="185"/>
      <c r="AS45" s="185"/>
      <c r="AT45" s="185"/>
      <c r="AU45" s="185"/>
      <c r="AV45" s="185"/>
      <c r="AW45" s="185"/>
      <c r="AX45" s="185"/>
      <c r="AY45" s="185"/>
      <c r="AZ45" s="185"/>
      <c r="BA45" s="185"/>
      <c r="BB45" s="185"/>
      <c r="BC45" s="185"/>
      <c r="BD45" s="185"/>
      <c r="BE45" s="185"/>
      <c r="BF45" s="185"/>
      <c r="BG45" s="185"/>
      <c r="BH45" s="185"/>
      <c r="BI45" s="185"/>
      <c r="BJ45" s="185"/>
      <c r="BK45" s="185"/>
      <c r="BL45" s="185"/>
      <c r="BM45" s="185"/>
      <c r="BN45" s="185"/>
      <c r="BO45" s="185"/>
      <c r="BP45" s="185"/>
      <c r="BQ45" s="185"/>
      <c r="BR45" s="185"/>
      <c r="BS45" s="185"/>
      <c r="BT45" s="185"/>
      <c r="BU45" s="185"/>
      <c r="BV45" s="185"/>
      <c r="BW45" s="185"/>
      <c r="BX45" s="185"/>
      <c r="BY45" s="185"/>
      <c r="BZ45" s="185"/>
    </row>
    <row r="46" spans="1:78" s="117" customFormat="1">
      <c r="A46" s="117" t="s">
        <v>16</v>
      </c>
      <c r="J46" s="189">
        <f t="shared" ref="J46:K46" si="32">IF(ISNA(J43),-1,IF(ISNA(J45),99,IF(ISNA(J44),J43,0)))</f>
        <v>0</v>
      </c>
      <c r="K46" s="189">
        <f t="shared" si="32"/>
        <v>1</v>
      </c>
      <c r="L46" s="189">
        <f t="shared" ref="L46:AP46" si="33">IF(ISNA(L43),-1,IF(ISNA(L45),99,IF(ISNA(L44),L43,0)))</f>
        <v>1</v>
      </c>
      <c r="M46" s="189">
        <f t="shared" si="33"/>
        <v>0</v>
      </c>
      <c r="N46" s="189">
        <f t="shared" si="33"/>
        <v>2</v>
      </c>
      <c r="O46" s="189">
        <f t="shared" si="33"/>
        <v>0</v>
      </c>
      <c r="P46" s="189">
        <f t="shared" si="33"/>
        <v>3</v>
      </c>
      <c r="Q46" s="189">
        <f t="shared" si="33"/>
        <v>0</v>
      </c>
      <c r="R46" s="189">
        <f t="shared" si="33"/>
        <v>0</v>
      </c>
      <c r="S46" s="189">
        <f t="shared" si="33"/>
        <v>0</v>
      </c>
      <c r="T46" s="189">
        <f t="shared" si="33"/>
        <v>6</v>
      </c>
      <c r="U46" s="189">
        <f t="shared" si="33"/>
        <v>6</v>
      </c>
      <c r="V46" s="189">
        <f t="shared" si="33"/>
        <v>6</v>
      </c>
      <c r="W46" s="189">
        <f t="shared" si="33"/>
        <v>6</v>
      </c>
      <c r="X46" s="189">
        <f t="shared" si="33"/>
        <v>6</v>
      </c>
      <c r="Y46" s="189">
        <f t="shared" si="33"/>
        <v>6</v>
      </c>
      <c r="Z46" s="189">
        <f t="shared" si="33"/>
        <v>6</v>
      </c>
      <c r="AA46" s="189">
        <f t="shared" si="33"/>
        <v>6</v>
      </c>
      <c r="AB46" s="189">
        <f t="shared" si="33"/>
        <v>0</v>
      </c>
      <c r="AC46" s="189">
        <f t="shared" si="33"/>
        <v>7</v>
      </c>
      <c r="AD46" s="189">
        <f t="shared" si="33"/>
        <v>7</v>
      </c>
      <c r="AE46" s="189">
        <f t="shared" si="33"/>
        <v>7</v>
      </c>
      <c r="AF46" s="189">
        <f t="shared" si="33"/>
        <v>7</v>
      </c>
      <c r="AG46" s="189">
        <f t="shared" si="33"/>
        <v>7</v>
      </c>
      <c r="AH46" s="189">
        <f t="shared" si="33"/>
        <v>7</v>
      </c>
      <c r="AI46" s="189">
        <f t="shared" si="33"/>
        <v>7</v>
      </c>
      <c r="AJ46" s="189">
        <f t="shared" si="33"/>
        <v>7</v>
      </c>
      <c r="AK46" s="189">
        <f t="shared" si="33"/>
        <v>7</v>
      </c>
      <c r="AL46" s="189">
        <f t="shared" si="33"/>
        <v>0</v>
      </c>
      <c r="AM46" s="189">
        <f t="shared" si="33"/>
        <v>8</v>
      </c>
      <c r="AN46" s="189">
        <f t="shared" si="33"/>
        <v>0</v>
      </c>
      <c r="AO46" s="189">
        <f t="shared" si="33"/>
        <v>99</v>
      </c>
      <c r="AP46" s="189">
        <f t="shared" si="33"/>
        <v>99</v>
      </c>
      <c r="AR46" s="185"/>
      <c r="AS46" s="185"/>
      <c r="AT46" s="185"/>
      <c r="AU46" s="185"/>
      <c r="AV46" s="185"/>
      <c r="AW46" s="185"/>
      <c r="AX46" s="185"/>
      <c r="AY46" s="185"/>
      <c r="AZ46" s="185"/>
      <c r="BA46" s="185"/>
      <c r="BB46" s="185"/>
      <c r="BC46" s="185"/>
      <c r="BD46" s="185"/>
      <c r="BE46" s="185"/>
      <c r="BF46" s="185"/>
      <c r="BG46" s="185"/>
      <c r="BH46" s="185"/>
      <c r="BI46" s="185"/>
      <c r="BJ46" s="185"/>
      <c r="BK46" s="185"/>
      <c r="BL46" s="185"/>
      <c r="BM46" s="185"/>
      <c r="BN46" s="185"/>
      <c r="BO46" s="185"/>
      <c r="BP46" s="185"/>
      <c r="BQ46" s="185"/>
      <c r="BR46" s="185"/>
      <c r="BS46" s="185"/>
      <c r="BT46" s="185"/>
      <c r="BU46" s="185"/>
      <c r="BV46" s="185"/>
      <c r="BW46" s="185"/>
      <c r="BX46" s="185"/>
      <c r="BY46" s="185"/>
      <c r="BZ46" s="185"/>
    </row>
    <row r="47" spans="1:78" s="185" customFormat="1">
      <c r="A47" s="40" t="s">
        <v>125</v>
      </c>
      <c r="B47" s="123" t="str">
        <f t="shared" ref="B47:B51" si="34">IF(A47="*","","COM_PROJ")</f>
        <v>COM_PROJ</v>
      </c>
      <c r="C47" s="124" t="str">
        <f t="shared" ref="C47:C51" si="35">IF($A47="*","","-")</f>
        <v>-</v>
      </c>
      <c r="D47" s="57" t="s">
        <v>134</v>
      </c>
      <c r="E47" s="124" t="str">
        <f t="shared" ref="E47:H51" si="36">IF($A47="*","","-")</f>
        <v>-</v>
      </c>
      <c r="F47" s="124" t="str">
        <f t="shared" si="36"/>
        <v>-</v>
      </c>
      <c r="G47" s="124" t="str">
        <f t="shared" si="36"/>
        <v>-</v>
      </c>
      <c r="H47" s="124" t="str">
        <f t="shared" si="36"/>
        <v>-</v>
      </c>
      <c r="I47" s="125">
        <f t="shared" ref="I47:I51" si="37">IF(A47="*","",0)</f>
        <v>0</v>
      </c>
      <c r="J47" s="186">
        <f>J33</f>
        <v>0.820564128</v>
      </c>
      <c r="K47" s="186" cm="1">
        <f t="array" ref="K47">IF(K$46=-1,L47,IF(K$46=99,J47,IF(K$46=0,INDEX($J33:$R33,0,K$44),(INDEX($J33:$R33,0,K$46+1)-INDEX($J33:$R33,0,K$46))/(INDEX($J$4:$R$4,0,K$46+1)-INDEX($J$4:$R$4,0,K$46))+J47)))</f>
        <v>0.80153725200000003</v>
      </c>
      <c r="L47" s="186" cm="1">
        <f t="array" ref="L47">IF(L$46=-1,M47,IF(L$46=99,K47,IF(L$46=0,INDEX($J33:$R33,0,L$44),(INDEX($J33:$R33,0,L$46+1)-INDEX($J33:$R33,0,L$46))/(INDEX($J$4:$R$4,0,L$46+1)-INDEX($J$4:$R$4,0,L$46))+K47)))</f>
        <v>0.78251037600000006</v>
      </c>
      <c r="M47" s="186" cm="1">
        <f t="array" ref="M47">IF(M$46=-1,N47,IF(M$46=99,L47,IF(M$46=0,INDEX($J33:$R33,0,M$44),(INDEX($J33:$R33,0,M$46+1)-INDEX($J33:$R33,0,M$46))/(INDEX($J$4:$R$4,0,M$46+1)-INDEX($J$4:$R$4,0,M$46))+L47)))</f>
        <v>0.76348350000000009</v>
      </c>
      <c r="N47" s="186" cm="1">
        <f t="array" ref="N47">IF(N$46=-1,O47,IF(N$46=99,M47,IF(N$46=0,INDEX($J33:$R33,0,N$44),(INDEX($J33:$R33,0,N$46+1)-INDEX($J33:$R33,0,N$46))/(INDEX($J$4:$R$4,0,N$46+1)-INDEX($J$4:$R$4,0,N$46))+M47)))</f>
        <v>0.73900575000000002</v>
      </c>
      <c r="O47" s="186" cm="1">
        <f t="array" ref="O47">IF(O$46=-1,P47,IF(O$46=99,N47,IF(O$46=0,INDEX($J33:$R33,0,O$44),(INDEX($J33:$R33,0,O$46+1)-INDEX($J33:$R33,0,O$46))/(INDEX($J$4:$R$4,0,O$46+1)-INDEX($J$4:$R$4,0,O$46))+N47)))</f>
        <v>0.71452800000000005</v>
      </c>
      <c r="P47" s="186" cm="1">
        <f t="array" ref="P47">IF(P$46=-1,Q47,IF(P$46=99,O47,IF(P$46=0,INDEX($J33:$R33,0,P$44),(INDEX($J33:$R33,0,P$46+1)-INDEX($J33:$R33,0,P$46))/(INDEX($J$4:$R$4,0,P$46+1)-INDEX($J$4:$R$4,0,P$46))+O47)))</f>
        <v>0.74035993800000011</v>
      </c>
      <c r="Q47" s="186" cm="1">
        <f t="array" ref="Q47">IF(Q$46=-1,R47,IF(Q$46=99,P47,IF(Q$46=0,INDEX($J33:$R33,0,Q$44),(INDEX($J33:$R33,0,Q$46+1)-INDEX($J33:$R33,0,Q$46))/(INDEX($J$4:$R$4,0,Q$46+1)-INDEX($J$4:$R$4,0,Q$46))+P47)))</f>
        <v>0.76619187600000005</v>
      </c>
      <c r="R47" s="186" cm="1">
        <f t="array" ref="R47">IF(R$46=-1,S47,IF(R$46=99,Q47,IF(R$46=0,INDEX($J33:$R33,0,R$44),(INDEX($J33:$R33,0,R$46+1)-INDEX($J33:$R33,0,R$46))/(INDEX($J$4:$R$4,0,R$46+1)-INDEX($J$4:$R$4,0,R$46))+Q47)))</f>
        <v>0.76619187600000005</v>
      </c>
      <c r="S47" s="186" cm="1">
        <f t="array" ref="S47">IF(S$46=-1,T47,IF(S$46=99,R47,IF(S$46=0,INDEX($J33:$R33,0,S$44),(INDEX($J33:$R33,0,S$46+1)-INDEX($J33:$R33,0,S$46))/(INDEX($J$4:$R$4,0,S$46+1)-INDEX($J$4:$R$4,0,S$46))+R47)))</f>
        <v>0.76619187600000005</v>
      </c>
      <c r="T47" s="186" cm="1">
        <f t="array" ref="T47">IF(T$46=-1,U47,IF(T$46=99,S47,IF(T$46=0,INDEX($J33:$R33,0,T$44),(INDEX($J33:$R33,0,T$46+1)-INDEX($J33:$R33,0,T$46))/(INDEX($J$4:$R$4,0,T$46+1)-INDEX($J$4:$R$4,0,T$46))+S47)))</f>
        <v>0.76619187600000005</v>
      </c>
      <c r="U47" s="186" cm="1">
        <f t="array" ref="U47">IF(U$46=-1,V47,IF(U$46=99,T47,IF(U$46=0,INDEX($J33:$R33,0,U$44),(INDEX($J33:$R33,0,U$46+1)-INDEX($J33:$R33,0,U$46))/(INDEX($J$4:$R$4,0,U$46+1)-INDEX($J$4:$R$4,0,U$46))+T47)))</f>
        <v>0.76619187600000005</v>
      </c>
      <c r="V47" s="186" cm="1">
        <f t="array" ref="V47">IF(V$46=-1,W47,IF(V$46=99,U47,IF(V$46=0,INDEX($J33:$R33,0,V$44),(INDEX($J33:$R33,0,V$46+1)-INDEX($J33:$R33,0,V$46))/(INDEX($J$4:$R$4,0,V$46+1)-INDEX($J$4:$R$4,0,V$46))+U47)))</f>
        <v>0.76619187600000005</v>
      </c>
      <c r="W47" s="186" cm="1">
        <f t="array" ref="W47">IF(W$46=-1,X47,IF(W$46=99,V47,IF(W$46=0,INDEX($J33:$R33,0,W$44),(INDEX($J33:$R33,0,W$46+1)-INDEX($J33:$R33,0,W$46))/(INDEX($J$4:$R$4,0,W$46+1)-INDEX($J$4:$R$4,0,W$46))+V47)))</f>
        <v>0.76619187600000005</v>
      </c>
      <c r="X47" s="186" cm="1">
        <f t="array" ref="X47">IF(X$46=-1,Y47,IF(X$46=99,W47,IF(X$46=0,INDEX($J33:$R33,0,X$44),(INDEX($J33:$R33,0,X$46+1)-INDEX($J33:$R33,0,X$46))/(INDEX($J$4:$R$4,0,X$46+1)-INDEX($J$4:$R$4,0,X$46))+W47)))</f>
        <v>0.76619187600000005</v>
      </c>
      <c r="Y47" s="186" cm="1">
        <f t="array" ref="Y47">IF(Y$46=-1,Z47,IF(Y$46=99,X47,IF(Y$46=0,INDEX($J33:$R33,0,Y$44),(INDEX($J33:$R33,0,Y$46+1)-INDEX($J33:$R33,0,Y$46))/(INDEX($J$4:$R$4,0,Y$46+1)-INDEX($J$4:$R$4,0,Y$46))+X47)))</f>
        <v>0.76619187600000005</v>
      </c>
      <c r="Z47" s="186" cm="1">
        <f t="array" ref="Z47">IF(Z$46=-1,AA47,IF(Z$46=99,Y47,IF(Z$46=0,INDEX($J33:$R33,0,Z$44),(INDEX($J33:$R33,0,Z$46+1)-INDEX($J33:$R33,0,Z$46))/(INDEX($J$4:$R$4,0,Z$46+1)-INDEX($J$4:$R$4,0,Z$46))+Y47)))</f>
        <v>0.76619187600000005</v>
      </c>
      <c r="AA47" s="186" cm="1">
        <f t="array" ref="AA47">IF(AA$46=-1,AB47,IF(AA$46=99,Z47,IF(AA$46=0,INDEX($J33:$R33,0,AA$44),(INDEX($J33:$R33,0,AA$46+1)-INDEX($J33:$R33,0,AA$46))/(INDEX($J$4:$R$4,0,AA$46+1)-INDEX($J$4:$R$4,0,AA$46))+Z47)))</f>
        <v>0.76619187600000005</v>
      </c>
      <c r="AB47" s="186" cm="1">
        <f t="array" ref="AB47">IF(AB$46=-1,AC47,IF(AB$46=99,AA47,IF(AB$46=0,INDEX($J33:$R33,0,AB$44),(INDEX($J33:$R33,0,AB$46+1)-INDEX($J33:$R33,0,AB$46))/(INDEX($J$4:$R$4,0,AB$46+1)-INDEX($J$4:$R$4,0,AB$46))+AA47)))</f>
        <v>0.76619187600000005</v>
      </c>
      <c r="AC47" s="186" cm="1">
        <f t="array" ref="AC47">IF(AC$46=-1,AD47,IF(AC$46=99,AB47,IF(AC$46=0,INDEX($J33:$R33,0,AC$44),(INDEX($J33:$R33,0,AC$46+1)-INDEX($J33:$R33,0,AC$46))/(INDEX($J$4:$R$4,0,AC$46+1)-INDEX($J$4:$R$4,0,AC$46))+AB47)))</f>
        <v>0.76619187600000005</v>
      </c>
      <c r="AD47" s="186" cm="1">
        <f t="array" ref="AD47">IF(AD$46=-1,AE47,IF(AD$46=99,AC47,IF(AD$46=0,INDEX($J33:$R33,0,AD$44),(INDEX($J33:$R33,0,AD$46+1)-INDEX($J33:$R33,0,AD$46))/(INDEX($J$4:$R$4,0,AD$46+1)-INDEX($J$4:$R$4,0,AD$46))+AC47)))</f>
        <v>0.76619187600000005</v>
      </c>
      <c r="AE47" s="186" cm="1">
        <f t="array" ref="AE47">IF(AE$46=-1,AF47,IF(AE$46=99,AD47,IF(AE$46=0,INDEX($J33:$R33,0,AE$44),(INDEX($J33:$R33,0,AE$46+1)-INDEX($J33:$R33,0,AE$46))/(INDEX($J$4:$R$4,0,AE$46+1)-INDEX($J$4:$R$4,0,AE$46))+AD47)))</f>
        <v>0.76619187600000005</v>
      </c>
      <c r="AF47" s="186" cm="1">
        <f t="array" ref="AF47">IF(AF$46=-1,AG47,IF(AF$46=99,AE47,IF(AF$46=0,INDEX($J33:$R33,0,AF$44),(INDEX($J33:$R33,0,AF$46+1)-INDEX($J33:$R33,0,AF$46))/(INDEX($J$4:$R$4,0,AF$46+1)-INDEX($J$4:$R$4,0,AF$46))+AE47)))</f>
        <v>0.76619187600000005</v>
      </c>
      <c r="AG47" s="186" cm="1">
        <f t="array" ref="AG47">IF(AG$46=-1,AH47,IF(AG$46=99,AF47,IF(AG$46=0,INDEX($J33:$R33,0,AG$44),(INDEX($J33:$R33,0,AG$46+1)-INDEX($J33:$R33,0,AG$46))/(INDEX($J$4:$R$4,0,AG$46+1)-INDEX($J$4:$R$4,0,AG$46))+AF47)))</f>
        <v>0.76619187600000005</v>
      </c>
      <c r="AH47" s="186" cm="1">
        <f t="array" ref="AH47">IF(AH$46=-1,AI47,IF(AH$46=99,AG47,IF(AH$46=0,INDEX($J33:$R33,0,AH$44),(INDEX($J33:$R33,0,AH$46+1)-INDEX($J33:$R33,0,AH$46))/(INDEX($J$4:$R$4,0,AH$46+1)-INDEX($J$4:$R$4,0,AH$46))+AG47)))</f>
        <v>0.76619187600000005</v>
      </c>
      <c r="AI47" s="186" cm="1">
        <f t="array" ref="AI47">IF(AI$46=-1,AJ47,IF(AI$46=99,AH47,IF(AI$46=0,INDEX($J33:$R33,0,AI$44),(INDEX($J33:$R33,0,AI$46+1)-INDEX($J33:$R33,0,AI$46))/(INDEX($J$4:$R$4,0,AI$46+1)-INDEX($J$4:$R$4,0,AI$46))+AH47)))</f>
        <v>0.76619187600000005</v>
      </c>
      <c r="AJ47" s="186" cm="1">
        <f t="array" ref="AJ47">IF(AJ$46=-1,AK47,IF(AJ$46=99,AI47,IF(AJ$46=0,INDEX($J33:$R33,0,AJ$44),(INDEX($J33:$R33,0,AJ$46+1)-INDEX($J33:$R33,0,AJ$46))/(INDEX($J$4:$R$4,0,AJ$46+1)-INDEX($J$4:$R$4,0,AJ$46))+AI47)))</f>
        <v>0.76619187600000005</v>
      </c>
      <c r="AK47" s="186" cm="1">
        <f t="array" ref="AK47">IF(AK$46=-1,AL47,IF(AK$46=99,AJ47,IF(AK$46=0,INDEX($J33:$R33,0,AK$44),(INDEX($J33:$R33,0,AK$46+1)-INDEX($J33:$R33,0,AK$46))/(INDEX($J$4:$R$4,0,AK$46+1)-INDEX($J$4:$R$4,0,AK$46))+AJ47)))</f>
        <v>0.76619187600000005</v>
      </c>
      <c r="AL47" s="186" cm="1">
        <f t="array" ref="AL47">IF(AL$46=-1,AM47,IF(AL$46=99,AK47,IF(AL$46=0,INDEX($J33:$R33,0,AL$44),(INDEX($J33:$R33,0,AL$46+1)-INDEX($J33:$R33,0,AL$46))/(INDEX($J$4:$R$4,0,AL$46+1)-INDEX($J$4:$R$4,0,AL$46))+AK47)))</f>
        <v>0.76619187600000005</v>
      </c>
      <c r="AM47" s="215">
        <f>(AL47+AN47)/2</f>
        <v>0.76619187600000005</v>
      </c>
      <c r="AN47" s="186" cm="1">
        <f t="array" ref="AN47">IF(AN$46=-1,AO47,IF(AN$46=99,AM47,IF(AN$46=0,INDEX($J33:$R33,0,AN$44),(INDEX($J33:$R33,0,AN$46+1)-INDEX($J33:$R33,0,AN$46))/(INDEX($J$4:$R$4,0,AN$46+1)-INDEX($J$4:$R$4,0,AN$46))+AM47)))</f>
        <v>0.76619187600000005</v>
      </c>
      <c r="AO47" s="186" cm="1">
        <f t="array" ref="AO47">IF(AO$46=-1,AP47,IF(AO$46=99,AN47,IF(AO$46=0,INDEX($J33:$R33,0,AO$44),(INDEX($J33:$R33,0,AO$46+1)-INDEX($J33:$R33,0,AO$46))/(INDEX($J$4:$R$4,0,AO$46+1)-INDEX($J$4:$R$4,0,AO$46))+AN47)))</f>
        <v>0.76619187600000005</v>
      </c>
      <c r="AP47" s="186" cm="1">
        <f t="array" ref="AP47">IF(AP$46=-1,AR47,IF(AP$46=99,AO47,IF(AP$46=0,INDEX($J33:$R33,0,AP$44),(INDEX($J33:$R33,0,AP$46+1)-INDEX($J33:$R33,0,AP$46))/(INDEX($J$4:$R$4,0,AP$46+1)-INDEX($J$4:$R$4,0,AP$46))+AO47)))</f>
        <v>0.76619187600000005</v>
      </c>
    </row>
    <row r="48" spans="1:78" s="185" customFormat="1">
      <c r="A48" s="40"/>
      <c r="B48" s="123" t="str">
        <f t="shared" si="34"/>
        <v>COM_PROJ</v>
      </c>
      <c r="C48" s="124" t="str">
        <f t="shared" si="35"/>
        <v>-</v>
      </c>
      <c r="D48" s="57" t="str">
        <f>B22</f>
        <v>TAIJET</v>
      </c>
      <c r="E48" s="124" t="str">
        <f t="shared" si="36"/>
        <v>-</v>
      </c>
      <c r="F48" s="124" t="str">
        <f t="shared" si="36"/>
        <v>-</v>
      </c>
      <c r="G48" s="124" t="str">
        <f t="shared" si="36"/>
        <v>-</v>
      </c>
      <c r="H48" s="124" t="str">
        <f t="shared" si="36"/>
        <v>-</v>
      </c>
      <c r="I48" s="125">
        <f t="shared" si="37"/>
        <v>0</v>
      </c>
      <c r="J48" s="186">
        <f>J22</f>
        <v>60.368000000000002</v>
      </c>
      <c r="K48" s="186" cm="1">
        <f t="array" ref="K48">IF(K$46=-1,L48,IF(K$46=99,J48,IF(K$46=0,INDEX($J22:$R22,0,K$44),(INDEX($J22:$R22,0,K$46+1)-INDEX($J22:$R22,0,K$46))/(INDEX($J$4:$R$4,0,K$46+1)-INDEX($J$4:$R$4,0,K$46))+J48)))</f>
        <v>62.148158892930546</v>
      </c>
      <c r="L48" s="186" cm="1">
        <f t="array" ref="L48">IF(L$46=-1,M48,IF(L$46=99,K48,IF(L$46=0,INDEX($J22:$R22,0,L$44),(INDEX($J22:$R22,0,L$46+1)-INDEX($J22:$R22,0,L$46))/(INDEX($J$4:$R$4,0,L$46+1)-INDEX($J$4:$R$4,0,L$46))+K48)))</f>
        <v>63.92831778586109</v>
      </c>
      <c r="M48" s="186" cm="1">
        <f t="array" ref="M48">IF(M$46=-1,N48,IF(M$46=99,L48,IF(M$46=0,INDEX($J22:$R22,0,M$44),(INDEX($J22:$R22,0,M$46+1)-INDEX($J22:$R22,0,M$46))/(INDEX($J$4:$R$4,0,M$46+1)-INDEX($J$4:$R$4,0,M$46))+L48)))</f>
        <v>65.708476678791641</v>
      </c>
      <c r="N48" s="186" cm="1">
        <f t="array" ref="N48">IF(N$46=-1,O48,IF(N$46=99,M48,IF(N$46=0,INDEX($J22:$R22,0,N$44),(INDEX($J22:$R22,0,N$46+1)-INDEX($J22:$R22,0,N$46))/(INDEX($J$4:$R$4,0,N$46+1)-INDEX($J$4:$R$4,0,N$46))+M48)))</f>
        <v>67.323877427011467</v>
      </c>
      <c r="O48" s="186" cm="1">
        <f t="array" ref="O48">IF(O$46=-1,P48,IF(O$46=99,N48,IF(O$46=0,INDEX($J22:$R22,0,O$44),(INDEX($J22:$R22,0,O$46+1)-INDEX($J22:$R22,0,O$46))/(INDEX($J$4:$R$4,0,O$46+1)-INDEX($J$4:$R$4,0,O$46))+N48)))</f>
        <v>68.939278175231294</v>
      </c>
      <c r="P48" s="186" cm="1">
        <f t="array" ref="P48">IF(P$46=-1,Q48,IF(P$46=99,O48,IF(P$46=0,INDEX($J22:$R22,0,P$44),(INDEX($J22:$R22,0,P$46+1)-INDEX($J22:$R22,0,P$46))/(INDEX($J$4:$R$4,0,P$46+1)-INDEX($J$4:$R$4,0,P$46))+O48)))</f>
        <v>69.31496218118528</v>
      </c>
      <c r="Q48" s="186" cm="1">
        <f t="array" ref="Q48">IF(Q$46=-1,R48,IF(Q$46=99,P48,IF(Q$46=0,INDEX($J22:$R22,0,Q$44),(INDEX($J22:$R22,0,Q$46+1)-INDEX($J22:$R22,0,Q$46))/(INDEX($J$4:$R$4,0,Q$46+1)-INDEX($J$4:$R$4,0,Q$46))+P48)))</f>
        <v>69.690646187139279</v>
      </c>
      <c r="R48" s="186" cm="1">
        <f t="array" ref="R48">IF(R$46=-1,S48,IF(R$46=99,Q48,IF(R$46=0,INDEX($J22:$R22,0,R$44),(INDEX($J22:$R22,0,R$46+1)-INDEX($J22:$R22,0,R$46))/(INDEX($J$4:$R$4,0,R$46+1)-INDEX($J$4:$R$4,0,R$46))+Q48)))</f>
        <v>65.724555425124123</v>
      </c>
      <c r="S48" s="186" cm="1">
        <f t="array" ref="S48">IF(S$46=-1,T48,IF(S$46=99,R48,IF(S$46=0,INDEX($J22:$R22,0,S$44),(INDEX($J22:$R22,0,S$46+1)-INDEX($J22:$R22,0,S$46))/(INDEX($J$4:$R$4,0,S$46+1)-INDEX($J$4:$R$4,0,S$46))+R48)))</f>
        <v>67.453729361457022</v>
      </c>
      <c r="T48" s="186" cm="1">
        <f t="array" ref="T48">IF(T$46=-1,U48,IF(T$46=99,S48,IF(T$46=0,INDEX($J22:$R22,0,T$44),(INDEX($J22:$R22,0,T$46+1)-INDEX($J22:$R22,0,T$46))/(INDEX($J$4:$R$4,0,T$46+1)-INDEX($J$4:$R$4,0,T$46))+S48)))</f>
        <v>68.820525293306204</v>
      </c>
      <c r="U48" s="186" cm="1">
        <f t="array" ref="U48">IF(U$46=-1,V48,IF(U$46=99,T48,IF(U$46=0,INDEX($J22:$R22,0,U$44),(INDEX($J22:$R22,0,U$46+1)-INDEX($J22:$R22,0,U$46))/(INDEX($J$4:$R$4,0,U$46+1)-INDEX($J$4:$R$4,0,U$46))+T48)))</f>
        <v>70.187321225155387</v>
      </c>
      <c r="V48" s="186" cm="1">
        <f t="array" ref="V48">IF(V$46=-1,W48,IF(V$46=99,U48,IF(V$46=0,INDEX($J22:$R22,0,V$44),(INDEX($J22:$R22,0,V$46+1)-INDEX($J22:$R22,0,V$46))/(INDEX($J$4:$R$4,0,V$46+1)-INDEX($J$4:$R$4,0,V$46))+U48)))</f>
        <v>71.554117157004569</v>
      </c>
      <c r="W48" s="186" cm="1">
        <f t="array" ref="W48">IF(W$46=-1,X48,IF(W$46=99,V48,IF(W$46=0,INDEX($J22:$R22,0,W$44),(INDEX($J22:$R22,0,W$46+1)-INDEX($J22:$R22,0,W$46))/(INDEX($J$4:$R$4,0,W$46+1)-INDEX($J$4:$R$4,0,W$46))+V48)))</f>
        <v>72.920913088853752</v>
      </c>
      <c r="X48" s="186" cm="1">
        <f t="array" ref="X48">IF(X$46=-1,Y48,IF(X$46=99,W48,IF(X$46=0,INDEX($J22:$R22,0,X$44),(INDEX($J22:$R22,0,X$46+1)-INDEX($J22:$R22,0,X$46))/(INDEX($J$4:$R$4,0,X$46+1)-INDEX($J$4:$R$4,0,X$46))+W48)))</f>
        <v>74.287709020702934</v>
      </c>
      <c r="Y48" s="186" cm="1">
        <f t="array" ref="Y48">IF(Y$46=-1,Z48,IF(Y$46=99,X48,IF(Y$46=0,INDEX($J22:$R22,0,Y$44),(INDEX($J22:$R22,0,Y$46+1)-INDEX($J22:$R22,0,Y$46))/(INDEX($J$4:$R$4,0,Y$46+1)-INDEX($J$4:$R$4,0,Y$46))+X48)))</f>
        <v>75.654504952552116</v>
      </c>
      <c r="Z48" s="186" cm="1">
        <f t="array" ref="Z48">IF(Z$46=-1,AA48,IF(Z$46=99,Y48,IF(Z$46=0,INDEX($J22:$R22,0,Z$44),(INDEX($J22:$R22,0,Z$46+1)-INDEX($J22:$R22,0,Z$46))/(INDEX($J$4:$R$4,0,Z$46+1)-INDEX($J$4:$R$4,0,Z$46))+Y48)))</f>
        <v>77.021300884401299</v>
      </c>
      <c r="AA48" s="186" cm="1">
        <f t="array" ref="AA48">IF(AA$46=-1,AB48,IF(AA$46=99,Z48,IF(AA$46=0,INDEX($J22:$R22,0,AA$44),(INDEX($J22:$R22,0,AA$46+1)-INDEX($J22:$R22,0,AA$46))/(INDEX($J$4:$R$4,0,AA$46+1)-INDEX($J$4:$R$4,0,AA$46))+Z48)))</f>
        <v>78.388096816250481</v>
      </c>
      <c r="AB48" s="186" cm="1">
        <f t="array" ref="AB48">IF(AB$46=-1,AC48,IF(AB$46=99,AA48,IF(AB$46=0,INDEX($J22:$R22,0,AB$44),(INDEX($J22:$R22,0,AB$46+1)-INDEX($J22:$R22,0,AB$46))/(INDEX($J$4:$R$4,0,AB$46+1)-INDEX($J$4:$R$4,0,AB$46))+AA48)))</f>
        <v>79.754892748099692</v>
      </c>
      <c r="AC48" s="186" cm="1">
        <f t="array" ref="AC48">IF(AC$46=-1,AD48,IF(AC$46=99,AB48,IF(AC$46=0,INDEX($J22:$R22,0,AC$44),(INDEX($J22:$R22,0,AC$46+1)-INDEX($J22:$R22,0,AC$46))/(INDEX($J$4:$R$4,0,AC$46+1)-INDEX($J$4:$R$4,0,AC$46))+AB48)))</f>
        <v>81.485455681681032</v>
      </c>
      <c r="AD48" s="186" cm="1">
        <f t="array" ref="AD48">IF(AD$46=-1,AE48,IF(AD$46=99,AC48,IF(AD$46=0,INDEX($J22:$R22,0,AD$44),(INDEX($J22:$R22,0,AD$46+1)-INDEX($J22:$R22,0,AD$46))/(INDEX($J$4:$R$4,0,AD$46+1)-INDEX($J$4:$R$4,0,AD$46))+AC48)))</f>
        <v>83.216018615262371</v>
      </c>
      <c r="AE48" s="186" cm="1">
        <f t="array" ref="AE48">IF(AE$46=-1,AF48,IF(AE$46=99,AD48,IF(AE$46=0,INDEX($J22:$R22,0,AE$44),(INDEX($J22:$R22,0,AE$46+1)-INDEX($J22:$R22,0,AE$46))/(INDEX($J$4:$R$4,0,AE$46+1)-INDEX($J$4:$R$4,0,AE$46))+AD48)))</f>
        <v>84.94658154884371</v>
      </c>
      <c r="AF48" s="186" cm="1">
        <f t="array" ref="AF48">IF(AF$46=-1,AG48,IF(AF$46=99,AE48,IF(AF$46=0,INDEX($J22:$R22,0,AF$44),(INDEX($J22:$R22,0,AF$46+1)-INDEX($J22:$R22,0,AF$46))/(INDEX($J$4:$R$4,0,AF$46+1)-INDEX($J$4:$R$4,0,AF$46))+AE48)))</f>
        <v>86.677144482425049</v>
      </c>
      <c r="AG48" s="186" cm="1">
        <f t="array" ref="AG48">IF(AG$46=-1,AH48,IF(AG$46=99,AF48,IF(AG$46=0,INDEX($J22:$R22,0,AG$44),(INDEX($J22:$R22,0,AG$46+1)-INDEX($J22:$R22,0,AG$46))/(INDEX($J$4:$R$4,0,AG$46+1)-INDEX($J$4:$R$4,0,AG$46))+AF48)))</f>
        <v>88.407707416006389</v>
      </c>
      <c r="AH48" s="186" cm="1">
        <f t="array" ref="AH48">IF(AH$46=-1,AI48,IF(AH$46=99,AG48,IF(AH$46=0,INDEX($J22:$R22,0,AH$44),(INDEX($J22:$R22,0,AH$46+1)-INDEX($J22:$R22,0,AH$46))/(INDEX($J$4:$R$4,0,AH$46+1)-INDEX($J$4:$R$4,0,AH$46))+AG48)))</f>
        <v>90.138270349587728</v>
      </c>
      <c r="AI48" s="186" cm="1">
        <f t="array" ref="AI48">IF(AI$46=-1,AJ48,IF(AI$46=99,AH48,IF(AI$46=0,INDEX($J22:$R22,0,AI$44),(INDEX($J22:$R22,0,AI$46+1)-INDEX($J22:$R22,0,AI$46))/(INDEX($J$4:$R$4,0,AI$46+1)-INDEX($J$4:$R$4,0,AI$46))+AH48)))</f>
        <v>91.868833283169067</v>
      </c>
      <c r="AJ48" s="186" cm="1">
        <f t="array" ref="AJ48">IF(AJ$46=-1,AK48,IF(AJ$46=99,AI48,IF(AJ$46=0,INDEX($J22:$R22,0,AJ$44),(INDEX($J22:$R22,0,AJ$46+1)-INDEX($J22:$R22,0,AJ$46))/(INDEX($J$4:$R$4,0,AJ$46+1)-INDEX($J$4:$R$4,0,AJ$46))+AI48)))</f>
        <v>93.599396216750407</v>
      </c>
      <c r="AK48" s="186" cm="1">
        <f t="array" ref="AK48">IF(AK$46=-1,AL48,IF(AK$46=99,AJ48,IF(AK$46=0,INDEX($J22:$R22,0,AK$44),(INDEX($J22:$R22,0,AK$46+1)-INDEX($J22:$R22,0,AK$46))/(INDEX($J$4:$R$4,0,AK$46+1)-INDEX($J$4:$R$4,0,AK$46))+AJ48)))</f>
        <v>95.329959150331746</v>
      </c>
      <c r="AL48" s="186" cm="1">
        <f t="array" ref="AL48">IF(AL$46=-1,AM48,IF(AL$46=99,AK48,IF(AL$46=0,INDEX($J22:$R22,0,AL$44),(INDEX($J22:$R22,0,AL$46+1)-INDEX($J22:$R22,0,AL$46))/(INDEX($J$4:$R$4,0,AL$46+1)-INDEX($J$4:$R$4,0,AL$46))+AK48)))</f>
        <v>97.060522083913071</v>
      </c>
      <c r="AM48" s="215">
        <f t="shared" ref="AM48:AM51" si="38">(AL48+AN48)/2</f>
        <v>106.92747512368757</v>
      </c>
      <c r="AN48" s="186" cm="1">
        <f t="array" ref="AN48">IF(AN$46=-1,AO48,IF(AN$46=99,AM48,IF(AN$46=0,INDEX($J22:$R22,0,AN$44),(INDEX($J22:$R22,0,AN$46+1)-INDEX($J22:$R22,0,AN$46))/(INDEX($J$4:$R$4,0,AN$46+1)-INDEX($J$4:$R$4,0,AN$46))+AM48)))</f>
        <v>116.79442816346207</v>
      </c>
      <c r="AO48" s="186" cm="1">
        <f t="array" ref="AO48">IF(AO$46=-1,AP48,IF(AO$46=99,AN48,IF(AO$46=0,INDEX($J22:$R22,0,AO$44),(INDEX($J22:$R22,0,AO$46+1)-INDEX($J22:$R22,0,AO$46))/(INDEX($J$4:$R$4,0,AO$46+1)-INDEX($J$4:$R$4,0,AO$46))+AN48)))</f>
        <v>116.79442816346207</v>
      </c>
      <c r="AP48" s="186" cm="1">
        <f t="array" ref="AP48">IF(AP$46=-1,AR48,IF(AP$46=99,AO48,IF(AP$46=0,INDEX($J22:$R22,0,AP$44),(INDEX($J22:$R22,0,AP$46+1)-INDEX($J22:$R22,0,AP$46))/(INDEX($J$4:$R$4,0,AP$46+1)-INDEX($J$4:$R$4,0,AP$46))+AO48)))</f>
        <v>116.79442816346207</v>
      </c>
    </row>
    <row r="49" spans="1:42" s="185" customFormat="1">
      <c r="A49" s="40"/>
      <c r="B49" s="123" t="str">
        <f t="shared" ref="B49:B50" si="39">IF(A49="*","","COM_PROJ")</f>
        <v>COM_PROJ</v>
      </c>
      <c r="C49" s="124" t="str">
        <f t="shared" si="35"/>
        <v>-</v>
      </c>
      <c r="D49" s="57" t="str">
        <f t="shared" ref="D49:D50" si="40">B23</f>
        <v>TADJET</v>
      </c>
      <c r="E49" s="124" t="str">
        <f t="shared" si="36"/>
        <v>-</v>
      </c>
      <c r="F49" s="124" t="str">
        <f t="shared" si="36"/>
        <v>-</v>
      </c>
      <c r="G49" s="124" t="str">
        <f t="shared" si="36"/>
        <v>-</v>
      </c>
      <c r="H49" s="124" t="str">
        <f t="shared" si="36"/>
        <v>-</v>
      </c>
      <c r="I49" s="125">
        <f t="shared" ref="I49:I50" si="41">IF(A49="*","",0)</f>
        <v>0</v>
      </c>
      <c r="J49" s="186">
        <f t="shared" ref="J49:J50" si="42">J23</f>
        <v>20.123000000000001</v>
      </c>
      <c r="K49" s="186" cm="1">
        <f t="array" ref="K49">IF(K$46=-1,L49,IF(K$46=99,J49,IF(K$46=0,INDEX($J23:$R23,0,K$44),(INDEX($J23:$R23,0,K$46+1)-INDEX($J23:$R23,0,K$46))/(INDEX($J$4:$R$4,0,K$46+1)-INDEX($J$4:$R$4,0,K$46))+J49)))</f>
        <v>20.716396127127641</v>
      </c>
      <c r="L49" s="186" cm="1">
        <f t="array" ref="L49">IF(L$46=-1,M49,IF(L$46=99,K49,IF(L$46=0,INDEX($J23:$R23,0,L$44),(INDEX($J23:$R23,0,L$46+1)-INDEX($J23:$R23,0,L$46))/(INDEX($J$4:$R$4,0,L$46+1)-INDEX($J$4:$R$4,0,L$46))+K49)))</f>
        <v>21.309792254255282</v>
      </c>
      <c r="M49" s="186" cm="1">
        <f t="array" ref="M49">IF(M$46=-1,N49,IF(M$46=99,L49,IF(M$46=0,INDEX($J23:$R23,0,M$44),(INDEX($J23:$R23,0,M$46+1)-INDEX($J23:$R23,0,M$46))/(INDEX($J$4:$R$4,0,M$46+1)-INDEX($J$4:$R$4,0,M$46))+L49)))</f>
        <v>21.903188381382925</v>
      </c>
      <c r="N49" s="186" cm="1">
        <f t="array" ref="N49">IF(N$46=-1,O49,IF(N$46=99,M49,IF(N$46=0,INDEX($J23:$R23,0,N$44),(INDEX($J23:$R23,0,N$46+1)-INDEX($J23:$R23,0,N$46))/(INDEX($J$4:$R$4,0,N$46+1)-INDEX($J$4:$R$4,0,N$46))+M49)))</f>
        <v>21.184208220267859</v>
      </c>
      <c r="O49" s="186" cm="1">
        <f t="array" ref="O49">IF(O$46=-1,P49,IF(O$46=99,N49,IF(O$46=0,INDEX($J23:$R23,0,O$44),(INDEX($J23:$R23,0,O$46+1)-INDEX($J23:$R23,0,O$46))/(INDEX($J$4:$R$4,0,O$46+1)-INDEX($J$4:$R$4,0,O$46))+N49)))</f>
        <v>20.465228059152793</v>
      </c>
      <c r="P49" s="186" cm="1">
        <f t="array" ref="P49">IF(P$46=-1,Q49,IF(P$46=99,O49,IF(P$46=0,INDEX($J23:$R23,0,P$44),(INDEX($J23:$R23,0,P$46+1)-INDEX($J23:$R23,0,P$46))/(INDEX($J$4:$R$4,0,P$46+1)-INDEX($J$4:$R$4,0,P$46))+O49)))</f>
        <v>21.847914132476973</v>
      </c>
      <c r="Q49" s="186" cm="1">
        <f t="array" ref="Q49">IF(Q$46=-1,R49,IF(Q$46=99,P49,IF(Q$46=0,INDEX($J23:$R23,0,Q$44),(INDEX($J23:$R23,0,Q$46+1)-INDEX($J23:$R23,0,Q$46))/(INDEX($J$4:$R$4,0,Q$46+1)-INDEX($J$4:$R$4,0,Q$46))+P49)))</f>
        <v>23.230600205801153</v>
      </c>
      <c r="R49" s="186" cm="1">
        <f t="array" ref="R49">IF(R$46=-1,S49,IF(R$46=99,Q49,IF(R$46=0,INDEX($J23:$R23,0,R$44),(INDEX($J23:$R23,0,R$46+1)-INDEX($J23:$R23,0,R$46))/(INDEX($J$4:$R$4,0,R$46+1)-INDEX($J$4:$R$4,0,R$46))+Q49)))</f>
        <v>21.908548052275595</v>
      </c>
      <c r="S49" s="186" cm="1">
        <f t="array" ref="S49">IF(S$46=-1,T49,IF(S$46=99,R49,IF(S$46=0,INDEX($J23:$R23,0,S$44),(INDEX($J23:$R23,0,S$46+1)-INDEX($J23:$R23,0,S$46))/(INDEX($J$4:$R$4,0,S$46+1)-INDEX($J$4:$R$4,0,S$46))+R49)))</f>
        <v>22.484948912347601</v>
      </c>
      <c r="T49" s="186" cm="1">
        <f t="array" ref="T49">IF(T$46=-1,U49,IF(T$46=99,S49,IF(T$46=0,INDEX($J23:$R23,0,T$44),(INDEX($J23:$R23,0,T$46+1)-INDEX($J23:$R23,0,T$46))/(INDEX($J$4:$R$4,0,T$46+1)-INDEX($J$4:$R$4,0,T$46))+S49)))</f>
        <v>22.94055510331966</v>
      </c>
      <c r="U49" s="186" cm="1">
        <f t="array" ref="U49">IF(U$46=-1,V49,IF(U$46=99,T49,IF(U$46=0,INDEX($J23:$R23,0,U$44),(INDEX($J23:$R23,0,U$46+1)-INDEX($J23:$R23,0,U$46))/(INDEX($J$4:$R$4,0,U$46+1)-INDEX($J$4:$R$4,0,U$46))+T49)))</f>
        <v>23.396161294291719</v>
      </c>
      <c r="V49" s="186" cm="1">
        <f t="array" ref="V49">IF(V$46=-1,W49,IF(V$46=99,U49,IF(V$46=0,INDEX($J23:$R23,0,V$44),(INDEX($J23:$R23,0,V$46+1)-INDEX($J23:$R23,0,V$46))/(INDEX($J$4:$R$4,0,V$46+1)-INDEX($J$4:$R$4,0,V$46))+U49)))</f>
        <v>23.851767485263778</v>
      </c>
      <c r="W49" s="186" cm="1">
        <f t="array" ref="W49">IF(W$46=-1,X49,IF(W$46=99,V49,IF(W$46=0,INDEX($J23:$R23,0,W$44),(INDEX($J23:$R23,0,W$46+1)-INDEX($J23:$R23,0,W$46))/(INDEX($J$4:$R$4,0,W$46+1)-INDEX($J$4:$R$4,0,W$46))+V49)))</f>
        <v>24.307373676235837</v>
      </c>
      <c r="X49" s="186" cm="1">
        <f t="array" ref="X49">IF(X$46=-1,Y49,IF(X$46=99,W49,IF(X$46=0,INDEX($J23:$R23,0,X$44),(INDEX($J23:$R23,0,X$46+1)-INDEX($J23:$R23,0,X$46))/(INDEX($J$4:$R$4,0,X$46+1)-INDEX($J$4:$R$4,0,X$46))+W49)))</f>
        <v>24.762979867207896</v>
      </c>
      <c r="Y49" s="186" cm="1">
        <f t="array" ref="Y49">IF(Y$46=-1,Z49,IF(Y$46=99,X49,IF(Y$46=0,INDEX($J23:$R23,0,Y$44),(INDEX($J23:$R23,0,Y$46+1)-INDEX($J23:$R23,0,Y$46))/(INDEX($J$4:$R$4,0,Y$46+1)-INDEX($J$4:$R$4,0,Y$46))+X49)))</f>
        <v>25.218586058179955</v>
      </c>
      <c r="Z49" s="186" cm="1">
        <f t="array" ref="Z49">IF(Z$46=-1,AA49,IF(Z$46=99,Y49,IF(Z$46=0,INDEX($J23:$R23,0,Z$44),(INDEX($J23:$R23,0,Z$46+1)-INDEX($J23:$R23,0,Z$46))/(INDEX($J$4:$R$4,0,Z$46+1)-INDEX($J$4:$R$4,0,Z$46))+Y49)))</f>
        <v>25.674192249152014</v>
      </c>
      <c r="AA49" s="186" cm="1">
        <f t="array" ref="AA49">IF(AA$46=-1,AB49,IF(AA$46=99,Z49,IF(AA$46=0,INDEX($J23:$R23,0,AA$44),(INDEX($J23:$R23,0,AA$46+1)-INDEX($J23:$R23,0,AA$46))/(INDEX($J$4:$R$4,0,AA$46+1)-INDEX($J$4:$R$4,0,AA$46))+Z49)))</f>
        <v>26.129798440124073</v>
      </c>
      <c r="AB49" s="186" cm="1">
        <f t="array" ref="AB49">IF(AB$46=-1,AC49,IF(AB$46=99,AA49,IF(AB$46=0,INDEX($J23:$R23,0,AB$44),(INDEX($J23:$R23,0,AB$46+1)-INDEX($J23:$R23,0,AB$46))/(INDEX($J$4:$R$4,0,AB$46+1)-INDEX($J$4:$R$4,0,AB$46))+AA49)))</f>
        <v>26.585404631096118</v>
      </c>
      <c r="AC49" s="186" cm="1">
        <f t="array" ref="AC49">IF(AC$46=-1,AD49,IF(AC$46=99,AB49,IF(AC$46=0,INDEX($J23:$R23,0,AC$44),(INDEX($J23:$R23,0,AC$46+1)-INDEX($J23:$R23,0,AC$46))/(INDEX($J$4:$R$4,0,AC$46+1)-INDEX($J$4:$R$4,0,AC$46))+AB49)))</f>
        <v>27.16226849792055</v>
      </c>
      <c r="AD49" s="186" cm="1">
        <f t="array" ref="AD49">IF(AD$46=-1,AE49,IF(AD$46=99,AC49,IF(AD$46=0,INDEX($J23:$R23,0,AD$44),(INDEX($J23:$R23,0,AD$46+1)-INDEX($J23:$R23,0,AD$46))/(INDEX($J$4:$R$4,0,AD$46+1)-INDEX($J$4:$R$4,0,AD$46))+AC49)))</f>
        <v>27.739132364744982</v>
      </c>
      <c r="AE49" s="186" cm="1">
        <f t="array" ref="AE49">IF(AE$46=-1,AF49,IF(AE$46=99,AD49,IF(AE$46=0,INDEX($J23:$R23,0,AE$44),(INDEX($J23:$R23,0,AE$46+1)-INDEX($J23:$R23,0,AE$46))/(INDEX($J$4:$R$4,0,AE$46+1)-INDEX($J$4:$R$4,0,AE$46))+AD49)))</f>
        <v>28.315996231569414</v>
      </c>
      <c r="AF49" s="186" cm="1">
        <f t="array" ref="AF49">IF(AF$46=-1,AG49,IF(AF$46=99,AE49,IF(AF$46=0,INDEX($J23:$R23,0,AF$44),(INDEX($J23:$R23,0,AF$46+1)-INDEX($J23:$R23,0,AF$46))/(INDEX($J$4:$R$4,0,AF$46+1)-INDEX($J$4:$R$4,0,AF$46))+AE49)))</f>
        <v>28.892860098393847</v>
      </c>
      <c r="AG49" s="186" cm="1">
        <f t="array" ref="AG49">IF(AG$46=-1,AH49,IF(AG$46=99,AF49,IF(AG$46=0,INDEX($J23:$R23,0,AG$44),(INDEX($J23:$R23,0,AG$46+1)-INDEX($J23:$R23,0,AG$46))/(INDEX($J$4:$R$4,0,AG$46+1)-INDEX($J$4:$R$4,0,AG$46))+AF49)))</f>
        <v>29.469723965218279</v>
      </c>
      <c r="AH49" s="186" cm="1">
        <f t="array" ref="AH49">IF(AH$46=-1,AI49,IF(AH$46=99,AG49,IF(AH$46=0,INDEX($J23:$R23,0,AH$44),(INDEX($J23:$R23,0,AH$46+1)-INDEX($J23:$R23,0,AH$46))/(INDEX($J$4:$R$4,0,AH$46+1)-INDEX($J$4:$R$4,0,AH$46))+AG49)))</f>
        <v>30.046587832042711</v>
      </c>
      <c r="AI49" s="186" cm="1">
        <f t="array" ref="AI49">IF(AI$46=-1,AJ49,IF(AI$46=99,AH49,IF(AI$46=0,INDEX($J23:$R23,0,AI$44),(INDEX($J23:$R23,0,AI$46+1)-INDEX($J23:$R23,0,AI$46))/(INDEX($J$4:$R$4,0,AI$46+1)-INDEX($J$4:$R$4,0,AI$46))+AH49)))</f>
        <v>30.623451698867143</v>
      </c>
      <c r="AJ49" s="186" cm="1">
        <f t="array" ref="AJ49">IF(AJ$46=-1,AK49,IF(AJ$46=99,AI49,IF(AJ$46=0,INDEX($J23:$R23,0,AJ$44),(INDEX($J23:$R23,0,AJ$46+1)-INDEX($J23:$R23,0,AJ$46))/(INDEX($J$4:$R$4,0,AJ$46+1)-INDEX($J$4:$R$4,0,AJ$46))+AI49)))</f>
        <v>31.200315565691575</v>
      </c>
      <c r="AK49" s="186" cm="1">
        <f t="array" ref="AK49">IF(AK$46=-1,AL49,IF(AK$46=99,AJ49,IF(AK$46=0,INDEX($J23:$R23,0,AK$44),(INDEX($J23:$R23,0,AK$46+1)-INDEX($J23:$R23,0,AK$46))/(INDEX($J$4:$R$4,0,AK$46+1)-INDEX($J$4:$R$4,0,AK$46))+AJ49)))</f>
        <v>31.777179432516007</v>
      </c>
      <c r="AL49" s="186" cm="1">
        <f t="array" ref="AL49">IF(AL$46=-1,AM49,IF(AL$46=99,AK49,IF(AL$46=0,INDEX($J23:$R23,0,AL$44),(INDEX($J23:$R23,0,AL$46+1)-INDEX($J23:$R23,0,AL$46))/(INDEX($J$4:$R$4,0,AL$46+1)-INDEX($J$4:$R$4,0,AL$46))+AK49)))</f>
        <v>32.354043299340432</v>
      </c>
      <c r="AM49" s="215">
        <f t="shared" ref="AM49:AM50" si="43">(AL49+AN49)/2</f>
        <v>35.64308212817992</v>
      </c>
      <c r="AN49" s="186" cm="1">
        <f t="array" ref="AN49">IF(AN$46=-1,AO49,IF(AN$46=99,AM49,IF(AN$46=0,INDEX($J23:$R23,0,AN$44),(INDEX($J23:$R23,0,AN$46+1)-INDEX($J23:$R23,0,AN$46))/(INDEX($J$4:$R$4,0,AN$46+1)-INDEX($J$4:$R$4,0,AN$46))+AM49)))</f>
        <v>38.932120957019407</v>
      </c>
      <c r="AO49" s="186" cm="1">
        <f t="array" ref="AO49">IF(AO$46=-1,AP49,IF(AO$46=99,AN49,IF(AO$46=0,INDEX($J23:$R23,0,AO$44),(INDEX($J23:$R23,0,AO$46+1)-INDEX($J23:$R23,0,AO$46))/(INDEX($J$4:$R$4,0,AO$46+1)-INDEX($J$4:$R$4,0,AO$46))+AN49)))</f>
        <v>38.932120957019407</v>
      </c>
      <c r="AP49" s="186" cm="1">
        <f t="array" ref="AP49">IF(AP$46=-1,AR49,IF(AP$46=99,AO49,IF(AP$46=0,INDEX($J23:$R23,0,AP$44),(INDEX($J23:$R23,0,AP$46+1)-INDEX($J23:$R23,0,AP$46))/(INDEX($J$4:$R$4,0,AP$46+1)-INDEX($J$4:$R$4,0,AP$46))+AO49)))</f>
        <v>38.932120957019407</v>
      </c>
    </row>
    <row r="50" spans="1:42" s="185" customFormat="1">
      <c r="A50" s="40"/>
      <c r="B50" s="123" t="str">
        <f t="shared" si="39"/>
        <v>COM_PROJ</v>
      </c>
      <c r="C50" s="124" t="str">
        <f t="shared" si="35"/>
        <v>-</v>
      </c>
      <c r="D50" s="57" t="str">
        <f t="shared" si="40"/>
        <v>TAOAG</v>
      </c>
      <c r="E50" s="124" t="str">
        <f t="shared" si="36"/>
        <v>-</v>
      </c>
      <c r="F50" s="124" t="str">
        <f t="shared" si="36"/>
        <v>-</v>
      </c>
      <c r="G50" s="124" t="str">
        <f t="shared" si="36"/>
        <v>-</v>
      </c>
      <c r="H50" s="124" t="str">
        <f t="shared" si="36"/>
        <v>-</v>
      </c>
      <c r="I50" s="125">
        <f t="shared" si="41"/>
        <v>0</v>
      </c>
      <c r="J50" s="186">
        <f t="shared" si="42"/>
        <v>1.0701311035156249</v>
      </c>
      <c r="K50" s="186" cm="1">
        <f t="array" ref="K50">IF(K$46=-1,L50,IF(K$46=99,J50,IF(K$46=0,INDEX($J24:$R24,0,K$44),(INDEX($J24:$R24,0,K$46+1)-INDEX($J24:$R24,0,K$46))/(INDEX($J$4:$R$4,0,K$46+1)-INDEX($J$4:$R$4,0,K$46))+J50)))</f>
        <v>1.1016876135958813</v>
      </c>
      <c r="L50" s="186" cm="1">
        <f t="array" ref="L50">IF(L$46=-1,M50,IF(L$46=99,K50,IF(L$46=0,INDEX($J24:$R24,0,L$44),(INDEX($J24:$R24,0,L$46+1)-INDEX($J24:$R24,0,L$46))/(INDEX($J$4:$R$4,0,L$46+1)-INDEX($J$4:$R$4,0,L$46))+K50)))</f>
        <v>1.1332441236761377</v>
      </c>
      <c r="M50" s="186" cm="1">
        <f t="array" ref="M50">IF(M$46=-1,N50,IF(M$46=99,L50,IF(M$46=0,INDEX($J24:$R24,0,M$44),(INDEX($J24:$R24,0,M$46+1)-INDEX($J24:$R24,0,M$46))/(INDEX($J$4:$R$4,0,M$46+1)-INDEX($J$4:$R$4,0,M$46))+L50)))</f>
        <v>1.1648006337563943</v>
      </c>
      <c r="N50" s="186" cm="1">
        <f t="array" ref="N50">IF(N$46=-1,O50,IF(N$46=99,M50,IF(N$46=0,INDEX($J24:$R24,0,N$44),(INDEX($J24:$R24,0,N$46+1)-INDEX($J24:$R24,0,N$46))/(INDEX($J$4:$R$4,0,N$46+1)-INDEX($J$4:$R$4,0,N$46))+M50)))</f>
        <v>1.1797169224594737</v>
      </c>
      <c r="O50" s="186" cm="1">
        <f t="array" ref="O50">IF(O$46=-1,P50,IF(O$46=99,N50,IF(O$46=0,INDEX($J24:$R24,0,O$44),(INDEX($J24:$R24,0,O$46+1)-INDEX($J24:$R24,0,O$46))/(INDEX($J$4:$R$4,0,O$46+1)-INDEX($J$4:$R$4,0,O$46))+N50)))</f>
        <v>1.1946332111625533</v>
      </c>
      <c r="P50" s="186" cm="1">
        <f t="array" ref="P50">IF(P$46=-1,Q50,IF(P$46=99,O50,IF(P$46=0,INDEX($J24:$R24,0,P$44),(INDEX($J24:$R24,0,P$46+1)-INDEX($J24:$R24,0,P$46))/(INDEX($J$4:$R$4,0,P$46+1)-INDEX($J$4:$R$4,0,P$46))+O50)))</f>
        <v>1.2150124718428752</v>
      </c>
      <c r="Q50" s="186" cm="1">
        <f t="array" ref="Q50">IF(Q$46=-1,R50,IF(Q$46=99,P50,IF(Q$46=0,INDEX($J24:$R24,0,Q$44),(INDEX($J24:$R24,0,Q$46+1)-INDEX($J24:$R24,0,Q$46))/(INDEX($J$4:$R$4,0,Q$46+1)-INDEX($J$4:$R$4,0,Q$46))+P50)))</f>
        <v>1.2353917325231971</v>
      </c>
      <c r="R50" s="186" cm="1">
        <f t="array" ref="R50">IF(R$46=-1,S50,IF(R$46=99,Q50,IF(R$46=0,INDEX($J24:$R24,0,R$44),(INDEX($J24:$R24,0,R$46+1)-INDEX($J24:$R24,0,R$46))/(INDEX($J$4:$R$4,0,R$46+1)-INDEX($J$4:$R$4,0,R$46))+Q50)))</f>
        <v>1.1650856583812941</v>
      </c>
      <c r="S50" s="186" cm="1">
        <f t="array" ref="S50">IF(S$46=-1,T50,IF(S$46=99,R50,IF(S$46=0,INDEX($J24:$R24,0,S$44),(INDEX($J24:$R24,0,S$46+1)-INDEX($J24:$R24,0,S$46))/(INDEX($J$4:$R$4,0,S$46+1)-INDEX($J$4:$R$4,0,S$46))+R50)))</f>
        <v>1.1957383686360379</v>
      </c>
      <c r="T50" s="186" cm="1">
        <f t="array" ref="T50">IF(T$46=-1,U50,IF(T$46=99,S50,IF(T$46=0,INDEX($J24:$R24,0,T$44),(INDEX($J24:$R24,0,T$46+1)-INDEX($J24:$R24,0,T$46))/(INDEX($J$4:$R$4,0,T$46+1)-INDEX($J$4:$R$4,0,T$46))+S50)))</f>
        <v>1.2199672786352169</v>
      </c>
      <c r="U50" s="186" cm="1">
        <f t="array" ref="U50">IF(U$46=-1,V50,IF(U$46=99,T50,IF(U$46=0,INDEX($J24:$R24,0,U$44),(INDEX($J24:$R24,0,U$46+1)-INDEX($J24:$R24,0,U$46))/(INDEX($J$4:$R$4,0,U$46+1)-INDEX($J$4:$R$4,0,U$46))+T50)))</f>
        <v>1.244196188634396</v>
      </c>
      <c r="V50" s="186" cm="1">
        <f t="array" ref="V50">IF(V$46=-1,W50,IF(V$46=99,U50,IF(V$46=0,INDEX($J24:$R24,0,V$44),(INDEX($J24:$R24,0,V$46+1)-INDEX($J24:$R24,0,V$46))/(INDEX($J$4:$R$4,0,V$46+1)-INDEX($J$4:$R$4,0,V$46))+U50)))</f>
        <v>1.268425098633575</v>
      </c>
      <c r="W50" s="186" cm="1">
        <f t="array" ref="W50">IF(W$46=-1,X50,IF(W$46=99,V50,IF(W$46=0,INDEX($J24:$R24,0,W$44),(INDEX($J24:$R24,0,W$46+1)-INDEX($J24:$R24,0,W$46))/(INDEX($J$4:$R$4,0,W$46+1)-INDEX($J$4:$R$4,0,W$46))+V50)))</f>
        <v>1.292654008632754</v>
      </c>
      <c r="X50" s="186" cm="1">
        <f t="array" ref="X50">IF(X$46=-1,Y50,IF(X$46=99,W50,IF(X$46=0,INDEX($J24:$R24,0,X$44),(INDEX($J24:$R24,0,X$46+1)-INDEX($J24:$R24,0,X$46))/(INDEX($J$4:$R$4,0,X$46+1)-INDEX($J$4:$R$4,0,X$46))+W50)))</f>
        <v>1.3168829186319331</v>
      </c>
      <c r="Y50" s="186" cm="1">
        <f t="array" ref="Y50">IF(Y$46=-1,Z50,IF(Y$46=99,X50,IF(Y$46=0,INDEX($J24:$R24,0,Y$44),(INDEX($J24:$R24,0,Y$46+1)-INDEX($J24:$R24,0,Y$46))/(INDEX($J$4:$R$4,0,Y$46+1)-INDEX($J$4:$R$4,0,Y$46))+X50)))</f>
        <v>1.3411118286311121</v>
      </c>
      <c r="Z50" s="186" cm="1">
        <f t="array" ref="Z50">IF(Z$46=-1,AA50,IF(Z$46=99,Y50,IF(Z$46=0,INDEX($J24:$R24,0,Z$44),(INDEX($J24:$R24,0,Z$46+1)-INDEX($J24:$R24,0,Z$46))/(INDEX($J$4:$R$4,0,Z$46+1)-INDEX($J$4:$R$4,0,Z$46))+Y50)))</f>
        <v>1.3653407386302912</v>
      </c>
      <c r="AA50" s="186" cm="1">
        <f t="array" ref="AA50">IF(AA$46=-1,AB50,IF(AA$46=99,Z50,IF(AA$46=0,INDEX($J24:$R24,0,AA$44),(INDEX($J24:$R24,0,AA$46+1)-INDEX($J24:$R24,0,AA$46))/(INDEX($J$4:$R$4,0,AA$46+1)-INDEX($J$4:$R$4,0,AA$46))+Z50)))</f>
        <v>1.3895696486294702</v>
      </c>
      <c r="AB50" s="186" cm="1">
        <f t="array" ref="AB50">IF(AB$46=-1,AC50,IF(AB$46=99,AA50,IF(AB$46=0,INDEX($J24:$R24,0,AB$44),(INDEX($J24:$R24,0,AB$46+1)-INDEX($J24:$R24,0,AB$46))/(INDEX($J$4:$R$4,0,AB$46+1)-INDEX($J$4:$R$4,0,AB$46))+AA50)))</f>
        <v>1.4137985586286488</v>
      </c>
      <c r="AC50" s="186" cm="1">
        <f t="array" ref="AC50">IF(AC$46=-1,AD50,IF(AC$46=99,AB50,IF(AC$46=0,INDEX($J24:$R24,0,AC$44),(INDEX($J24:$R24,0,AC$46+1)-INDEX($J24:$R24,0,AC$46))/(INDEX($J$4:$R$4,0,AC$46+1)-INDEX($J$4:$R$4,0,AC$46))+AB50)))</f>
        <v>1.444475891351559</v>
      </c>
      <c r="AD50" s="186" cm="1">
        <f t="array" ref="AD50">IF(AD$46=-1,AE50,IF(AD$46=99,AC50,IF(AD$46=0,INDEX($J24:$R24,0,AD$44),(INDEX($J24:$R24,0,AD$46+1)-INDEX($J24:$R24,0,AD$46))/(INDEX($J$4:$R$4,0,AD$46+1)-INDEX($J$4:$R$4,0,AD$46))+AC50)))</f>
        <v>1.4751532240744689</v>
      </c>
      <c r="AE50" s="186" cm="1">
        <f t="array" ref="AE50">IF(AE$46=-1,AF50,IF(AE$46=99,AD50,IF(AE$46=0,INDEX($J24:$R24,0,AE$44),(INDEX($J24:$R24,0,AE$46+1)-INDEX($J24:$R24,0,AE$46))/(INDEX($J$4:$R$4,0,AE$46+1)-INDEX($J$4:$R$4,0,AE$46))+AD50)))</f>
        <v>1.5058305567973789</v>
      </c>
      <c r="AF50" s="186" cm="1">
        <f t="array" ref="AF50">IF(AF$46=-1,AG50,IF(AF$46=99,AE50,IF(AF$46=0,INDEX($J24:$R24,0,AF$44),(INDEX($J24:$R24,0,AF$46+1)-INDEX($J24:$R24,0,AF$46))/(INDEX($J$4:$R$4,0,AF$46+1)-INDEX($J$4:$R$4,0,AF$46))+AE50)))</f>
        <v>1.5365078895202888</v>
      </c>
      <c r="AG50" s="186" cm="1">
        <f t="array" ref="AG50">IF(AG$46=-1,AH50,IF(AG$46=99,AF50,IF(AG$46=0,INDEX($J24:$R24,0,AG$44),(INDEX($J24:$R24,0,AG$46+1)-INDEX($J24:$R24,0,AG$46))/(INDEX($J$4:$R$4,0,AG$46+1)-INDEX($J$4:$R$4,0,AG$46))+AF50)))</f>
        <v>1.5671852222431988</v>
      </c>
      <c r="AH50" s="186" cm="1">
        <f t="array" ref="AH50">IF(AH$46=-1,AI50,IF(AH$46=99,AG50,IF(AH$46=0,INDEX($J24:$R24,0,AH$44),(INDEX($J24:$R24,0,AH$46+1)-INDEX($J24:$R24,0,AH$46))/(INDEX($J$4:$R$4,0,AH$46+1)-INDEX($J$4:$R$4,0,AH$46))+AG50)))</f>
        <v>1.5978625549661087</v>
      </c>
      <c r="AI50" s="186" cm="1">
        <f t="array" ref="AI50">IF(AI$46=-1,AJ50,IF(AI$46=99,AH50,IF(AI$46=0,INDEX($J24:$R24,0,AI$44),(INDEX($J24:$R24,0,AI$46+1)-INDEX($J24:$R24,0,AI$46))/(INDEX($J$4:$R$4,0,AI$46+1)-INDEX($J$4:$R$4,0,AI$46))+AH50)))</f>
        <v>1.6285398876890187</v>
      </c>
      <c r="AJ50" s="186" cm="1">
        <f t="array" ref="AJ50">IF(AJ$46=-1,AK50,IF(AJ$46=99,AI50,IF(AJ$46=0,INDEX($J24:$R24,0,AJ$44),(INDEX($J24:$R24,0,AJ$46+1)-INDEX($J24:$R24,0,AJ$46))/(INDEX($J$4:$R$4,0,AJ$46+1)-INDEX($J$4:$R$4,0,AJ$46))+AI50)))</f>
        <v>1.6592172204119287</v>
      </c>
      <c r="AK50" s="186" cm="1">
        <f t="array" ref="AK50">IF(AK$46=-1,AL50,IF(AK$46=99,AJ50,IF(AK$46=0,INDEX($J24:$R24,0,AK$44),(INDEX($J24:$R24,0,AK$46+1)-INDEX($J24:$R24,0,AK$46))/(INDEX($J$4:$R$4,0,AK$46+1)-INDEX($J$4:$R$4,0,AK$46))+AJ50)))</f>
        <v>1.6898945531348386</v>
      </c>
      <c r="AL50" s="186" cm="1">
        <f t="array" ref="AL50">IF(AL$46=-1,AM50,IF(AL$46=99,AK50,IF(AL$46=0,INDEX($J24:$R24,0,AL$44),(INDEX($J24:$R24,0,AL$46+1)-INDEX($J24:$R24,0,AL$46))/(INDEX($J$4:$R$4,0,AL$46+1)-INDEX($J$4:$R$4,0,AL$46))+AK50)))</f>
        <v>1.7205718858577495</v>
      </c>
      <c r="AM50" s="215">
        <f t="shared" si="43"/>
        <v>1.8954813303447415</v>
      </c>
      <c r="AN50" s="186" cm="1">
        <f t="array" ref="AN50">IF(AN$46=-1,AO50,IF(AN$46=99,AM50,IF(AN$46=0,INDEX($J24:$R24,0,AN$44),(INDEX($J24:$R24,0,AN$46+1)-INDEX($J24:$R24,0,AN$46))/(INDEX($J$4:$R$4,0,AN$46+1)-INDEX($J$4:$R$4,0,AN$46))+AM50)))</f>
        <v>2.0703907748317336</v>
      </c>
      <c r="AO50" s="186" cm="1">
        <f t="array" ref="AO50">IF(AO$46=-1,AP50,IF(AO$46=99,AN50,IF(AO$46=0,INDEX($J24:$R24,0,AO$44),(INDEX($J24:$R24,0,AO$46+1)-INDEX($J24:$R24,0,AO$46))/(INDEX($J$4:$R$4,0,AO$46+1)-INDEX($J$4:$R$4,0,AO$46))+AN50)))</f>
        <v>2.0703907748317336</v>
      </c>
      <c r="AP50" s="186" cm="1">
        <f t="array" ref="AP50">IF(AP$46=-1,AR50,IF(AP$46=99,AO50,IF(AP$46=0,INDEX($J24:$R24,0,AP$44),(INDEX($J24:$R24,0,AP$46+1)-INDEX($J24:$R24,0,AP$46))/(INDEX($J$4:$R$4,0,AP$46+1)-INDEX($J$4:$R$4,0,AP$46))+AO50)))</f>
        <v>2.0703907748317336</v>
      </c>
    </row>
    <row r="51" spans="1:42" s="185" customFormat="1">
      <c r="A51" s="40"/>
      <c r="B51" s="123" t="str">
        <f t="shared" si="34"/>
        <v>COM_PROJ</v>
      </c>
      <c r="C51" s="124" t="str">
        <f t="shared" si="35"/>
        <v>-</v>
      </c>
      <c r="D51" s="57" t="s">
        <v>158</v>
      </c>
      <c r="E51" s="124" t="str">
        <f t="shared" si="36"/>
        <v>-</v>
      </c>
      <c r="F51" s="124" t="str">
        <f t="shared" si="36"/>
        <v>-</v>
      </c>
      <c r="G51" s="124" t="str">
        <f t="shared" si="36"/>
        <v>-</v>
      </c>
      <c r="H51" s="124" t="str">
        <f t="shared" si="36"/>
        <v>-</v>
      </c>
      <c r="I51" s="125">
        <f t="shared" si="37"/>
        <v>0</v>
      </c>
      <c r="J51" s="186">
        <f>J36</f>
        <v>4.5090000000000003</v>
      </c>
      <c r="K51" s="186" cm="1">
        <f t="array" ref="K51">IF(K$46=-1,L51,IF(K$46=99,J51,IF(K$46=0,INDEX($J36:$R36,0,K$44),(INDEX($J36:$R36,0,K$46+1)-INDEX($J36:$R36,0,K$46))/(INDEX($J$4:$R$4,0,K$46+1)-INDEX($J$4:$R$4,0,K$46))+J51)))</f>
        <v>4.492908655130547</v>
      </c>
      <c r="L51" s="186" cm="1">
        <f t="array" ref="L51">IF(L$46=-1,M51,IF(L$46=99,K51,IF(L$46=0,INDEX($J36:$R36,0,L$44),(INDEX($J36:$R36,0,L$46+1)-INDEX($J36:$R36,0,L$46))/(INDEX($J$4:$R$4,0,L$46+1)-INDEX($J$4:$R$4,0,L$46))+K51)))</f>
        <v>4.4768173102610938</v>
      </c>
      <c r="M51" s="186" cm="1">
        <f t="array" ref="M51">IF(M$46=-1,N51,IF(M$46=99,L51,IF(M$46=0,INDEX($J36:$R36,0,M$44),(INDEX($J36:$R36,0,M$46+1)-INDEX($J36:$R36,0,M$46))/(INDEX($J$4:$R$4,0,M$46+1)-INDEX($J$4:$R$4,0,M$46))+L51)))</f>
        <v>4.4607259653916396</v>
      </c>
      <c r="N51" s="186" cm="1">
        <f t="array" ref="N51">IF(N$46=-1,O51,IF(N$46=99,M51,IF(N$46=0,INDEX($J36:$R36,0,N$44),(INDEX($J36:$R36,0,N$46+1)-INDEX($J36:$R36,0,N$46))/(INDEX($J$4:$R$4,0,N$46+1)-INDEX($J$4:$R$4,0,N$46))+M51)))</f>
        <v>4.4846699876958205</v>
      </c>
      <c r="O51" s="186" cm="1">
        <f t="array" ref="O51">IF(O$46=-1,P51,IF(O$46=99,N51,IF(O$46=0,INDEX($J36:$R36,0,O$44),(INDEX($J36:$R36,0,O$46+1)-INDEX($J36:$R36,0,O$46))/(INDEX($J$4:$R$4,0,O$46+1)-INDEX($J$4:$R$4,0,O$46))+N51)))</f>
        <v>4.5086140100000014</v>
      </c>
      <c r="P51" s="186" cm="1">
        <f t="array" ref="P51">IF(P$46=-1,Q51,IF(P$46=99,O51,IF(P$46=0,INDEX($J36:$R36,0,P$44),(INDEX($J36:$R36,0,P$46+1)-INDEX($J36:$R36,0,P$46))/(INDEX($J$4:$R$4,0,P$46+1)-INDEX($J$4:$R$4,0,P$46))+O51)))</f>
        <v>4.4091991120569594</v>
      </c>
      <c r="Q51" s="186" cm="1">
        <f t="array" ref="Q51">IF(Q$46=-1,R51,IF(Q$46=99,P51,IF(Q$46=0,INDEX($J36:$R36,0,Q$44),(INDEX($J36:$R36,0,Q$46+1)-INDEX($J36:$R36,0,Q$46))/(INDEX($J$4:$R$4,0,Q$46+1)-INDEX($J$4:$R$4,0,Q$46))+P51)))</f>
        <v>4.3097842141139173</v>
      </c>
      <c r="R51" s="186" cm="1">
        <f t="array" ref="R51">IF(R$46=-1,S51,IF(R$46=99,Q51,IF(R$46=0,INDEX($J36:$R36,0,R$44),(INDEX($J36:$R36,0,R$46+1)-INDEX($J36:$R36,0,R$46))/(INDEX($J$4:$R$4,0,R$46+1)-INDEX($J$4:$R$4,0,R$46))+Q51)))</f>
        <v>3.8768197170278187</v>
      </c>
      <c r="S51" s="186" cm="1">
        <f t="array" ref="S51">IF(S$46=-1,T51,IF(S$46=99,R51,IF(S$46=0,INDEX($J36:$R36,0,S$44),(INDEX($J36:$R36,0,S$46+1)-INDEX($J36:$R36,0,S$46))/(INDEX($J$4:$R$4,0,S$46+1)-INDEX($J$4:$R$4,0,S$46))+R51)))</f>
        <v>3.8605177681375253</v>
      </c>
      <c r="T51" s="186" cm="1">
        <f t="array" ref="T51">IF(T$46=-1,U51,IF(T$46=99,S51,IF(T$46=0,INDEX($J36:$R36,0,T$44),(INDEX($J36:$R36,0,T$46+1)-INDEX($J36:$R36,0,T$46))/(INDEX($J$4:$R$4,0,T$46+1)-INDEX($J$4:$R$4,0,T$46))+S51)))</f>
        <v>4.0259106997590939</v>
      </c>
      <c r="U51" s="186" cm="1">
        <f t="array" ref="U51">IF(U$46=-1,V51,IF(U$46=99,T51,IF(U$46=0,INDEX($J36:$R36,0,U$44),(INDEX($J36:$R36,0,U$46+1)-INDEX($J36:$R36,0,U$46))/(INDEX($J$4:$R$4,0,U$46+1)-INDEX($J$4:$R$4,0,U$46))+T51)))</f>
        <v>4.1913036313806629</v>
      </c>
      <c r="V51" s="186" cm="1">
        <f t="array" ref="V51">IF(V$46=-1,W51,IF(V$46=99,U51,IF(V$46=0,INDEX($J36:$R36,0,V$44),(INDEX($J36:$R36,0,V$46+1)-INDEX($J36:$R36,0,V$46))/(INDEX($J$4:$R$4,0,V$46+1)-INDEX($J$4:$R$4,0,V$46))+U51)))</f>
        <v>4.3566965630022318</v>
      </c>
      <c r="W51" s="186" cm="1">
        <f t="array" ref="W51">IF(W$46=-1,X51,IF(W$46=99,V51,IF(W$46=0,INDEX($J36:$R36,0,W$44),(INDEX($J36:$R36,0,W$46+1)-INDEX($J36:$R36,0,W$46))/(INDEX($J$4:$R$4,0,W$46+1)-INDEX($J$4:$R$4,0,W$46))+V51)))</f>
        <v>4.5220894946238008</v>
      </c>
      <c r="X51" s="186" cm="1">
        <f t="array" ref="X51">IF(X$46=-1,Y51,IF(X$46=99,W51,IF(X$46=0,INDEX($J36:$R36,0,X$44),(INDEX($J36:$R36,0,X$46+1)-INDEX($J36:$R36,0,X$46))/(INDEX($J$4:$R$4,0,X$46+1)-INDEX($J$4:$R$4,0,X$46))+W51)))</f>
        <v>4.6874824262453698</v>
      </c>
      <c r="Y51" s="186" cm="1">
        <f t="array" ref="Y51">IF(Y$46=-1,Z51,IF(Y$46=99,X51,IF(Y$46=0,INDEX($J36:$R36,0,Y$44),(INDEX($J36:$R36,0,Y$46+1)-INDEX($J36:$R36,0,Y$46))/(INDEX($J$4:$R$4,0,Y$46+1)-INDEX($J$4:$R$4,0,Y$46))+X51)))</f>
        <v>4.8528753578669388</v>
      </c>
      <c r="Z51" s="186" cm="1">
        <f t="array" ref="Z51">IF(Z$46=-1,AA51,IF(Z$46=99,Y51,IF(Z$46=0,INDEX($J36:$R36,0,Z$44),(INDEX($J36:$R36,0,Z$46+1)-INDEX($J36:$R36,0,Z$46))/(INDEX($J$4:$R$4,0,Z$46+1)-INDEX($J$4:$R$4,0,Z$46))+Y51)))</f>
        <v>5.0182682894885078</v>
      </c>
      <c r="AA51" s="186" cm="1">
        <f t="array" ref="AA51">IF(AA$46=-1,AB51,IF(AA$46=99,Z51,IF(AA$46=0,INDEX($J36:$R36,0,AA$44),(INDEX($J36:$R36,0,AA$46+1)-INDEX($J36:$R36,0,AA$46))/(INDEX($J$4:$R$4,0,AA$46+1)-INDEX($J$4:$R$4,0,AA$46))+Z51)))</f>
        <v>5.1836612211100768</v>
      </c>
      <c r="AB51" s="186" cm="1">
        <f t="array" ref="AB51">IF(AB$46=-1,AC51,IF(AB$46=99,AA51,IF(AB$46=0,INDEX($J36:$R36,0,AB$44),(INDEX($J36:$R36,0,AB$46+1)-INDEX($J36:$R36,0,AB$46))/(INDEX($J$4:$R$4,0,AB$46+1)-INDEX($J$4:$R$4,0,AB$46))+AA51)))</f>
        <v>5.349054152731644</v>
      </c>
      <c r="AC51" s="186" cm="1">
        <f t="array" ref="AC51">IF(AC$46=-1,AD51,IF(AC$46=99,AB51,IF(AC$46=0,INDEX($J36:$R36,0,AC$44),(INDEX($J36:$R36,0,AC$46+1)-INDEX($J36:$R36,0,AC$46))/(INDEX($J$4:$R$4,0,AC$46+1)-INDEX($J$4:$R$4,0,AC$46))+AB51)))</f>
        <v>5.5825728628450797</v>
      </c>
      <c r="AD51" s="186" cm="1">
        <f t="array" ref="AD51">IF(AD$46=-1,AE51,IF(AD$46=99,AC51,IF(AD$46=0,INDEX($J36:$R36,0,AD$44),(INDEX($J36:$R36,0,AD$46+1)-INDEX($J36:$R36,0,AD$46))/(INDEX($J$4:$R$4,0,AD$46+1)-INDEX($J$4:$R$4,0,AD$46))+AC51)))</f>
        <v>5.8160915729585154</v>
      </c>
      <c r="AE51" s="186" cm="1">
        <f t="array" ref="AE51">IF(AE$46=-1,AF51,IF(AE$46=99,AD51,IF(AE$46=0,INDEX($J36:$R36,0,AE$44),(INDEX($J36:$R36,0,AE$46+1)-INDEX($J36:$R36,0,AE$46))/(INDEX($J$4:$R$4,0,AE$46+1)-INDEX($J$4:$R$4,0,AE$46))+AD51)))</f>
        <v>6.0496102830719511</v>
      </c>
      <c r="AF51" s="186" cm="1">
        <f t="array" ref="AF51">IF(AF$46=-1,AG51,IF(AF$46=99,AE51,IF(AF$46=0,INDEX($J36:$R36,0,AF$44),(INDEX($J36:$R36,0,AF$46+1)-INDEX($J36:$R36,0,AF$46))/(INDEX($J$4:$R$4,0,AF$46+1)-INDEX($J$4:$R$4,0,AF$46))+AE51)))</f>
        <v>6.2831289931853869</v>
      </c>
      <c r="AG51" s="186" cm="1">
        <f t="array" ref="AG51">IF(AG$46=-1,AH51,IF(AG$46=99,AF51,IF(AG$46=0,INDEX($J36:$R36,0,AG$44),(INDEX($J36:$R36,0,AG$46+1)-INDEX($J36:$R36,0,AG$46))/(INDEX($J$4:$R$4,0,AG$46+1)-INDEX($J$4:$R$4,0,AG$46))+AF51)))</f>
        <v>6.5166477032988226</v>
      </c>
      <c r="AH51" s="186" cm="1">
        <f t="array" ref="AH51">IF(AH$46=-1,AI51,IF(AH$46=99,AG51,IF(AH$46=0,INDEX($J36:$R36,0,AH$44),(INDEX($J36:$R36,0,AH$46+1)-INDEX($J36:$R36,0,AH$46))/(INDEX($J$4:$R$4,0,AH$46+1)-INDEX($J$4:$R$4,0,AH$46))+AG51)))</f>
        <v>6.7501664134122583</v>
      </c>
      <c r="AI51" s="186" cm="1">
        <f t="array" ref="AI51">IF(AI$46=-1,AJ51,IF(AI$46=99,AH51,IF(AI$46=0,INDEX($J36:$R36,0,AI$44),(INDEX($J36:$R36,0,AI$46+1)-INDEX($J36:$R36,0,AI$46))/(INDEX($J$4:$R$4,0,AI$46+1)-INDEX($J$4:$R$4,0,AI$46))+AH51)))</f>
        <v>6.983685123525694</v>
      </c>
      <c r="AJ51" s="186" cm="1">
        <f t="array" ref="AJ51">IF(AJ$46=-1,AK51,IF(AJ$46=99,AI51,IF(AJ$46=0,INDEX($J36:$R36,0,AJ$44),(INDEX($J36:$R36,0,AJ$46+1)-INDEX($J36:$R36,0,AJ$46))/(INDEX($J$4:$R$4,0,AJ$46+1)-INDEX($J$4:$R$4,0,AJ$46))+AI51)))</f>
        <v>7.2172038336391298</v>
      </c>
      <c r="AK51" s="186" cm="1">
        <f t="array" ref="AK51">IF(AK$46=-1,AL51,IF(AK$46=99,AJ51,IF(AK$46=0,INDEX($J36:$R36,0,AK$44),(INDEX($J36:$R36,0,AK$46+1)-INDEX($J36:$R36,0,AK$46))/(INDEX($J$4:$R$4,0,AK$46+1)-INDEX($J$4:$R$4,0,AK$46))+AJ51)))</f>
        <v>7.4507225437525655</v>
      </c>
      <c r="AL51" s="186" cm="1">
        <f t="array" ref="AL51">IF(AL$46=-1,AM51,IF(AL$46=99,AK51,IF(AL$46=0,INDEX($J36:$R36,0,AL$44),(INDEX($J36:$R36,0,AL$46+1)-INDEX($J36:$R36,0,AL$46))/(INDEX($J$4:$R$4,0,AL$46+1)-INDEX($J$4:$R$4,0,AL$46))+AK51)))</f>
        <v>7.6842412538659994</v>
      </c>
      <c r="AM51" s="215">
        <f t="shared" si="38"/>
        <v>9.7023202133294113</v>
      </c>
      <c r="AN51" s="186" cm="1">
        <f t="array" ref="AN51">IF(AN$46=-1,AO51,IF(AN$46=99,AM51,IF(AN$46=0,INDEX($J36:$R36,0,AN$44),(INDEX($J36:$R36,0,AN$46+1)-INDEX($J36:$R36,0,AN$46))/(INDEX($J$4:$R$4,0,AN$46+1)-INDEX($J$4:$R$4,0,AN$46))+AM51)))</f>
        <v>11.720399172792822</v>
      </c>
      <c r="AO51" s="186" cm="1">
        <f t="array" ref="AO51">IF(AO$46=-1,AP51,IF(AO$46=99,AN51,IF(AO$46=0,INDEX($J36:$R36,0,AO$44),(INDEX($J36:$R36,0,AO$46+1)-INDEX($J36:$R36,0,AO$46))/(INDEX($J$4:$R$4,0,AO$46+1)-INDEX($J$4:$R$4,0,AO$46))+AN51)))</f>
        <v>11.720399172792822</v>
      </c>
      <c r="AP51" s="186" cm="1">
        <f t="array" ref="AP51">IF(AP$46=-1,AR51,IF(AP$46=99,AO51,IF(AP$46=0,INDEX($J36:$R36,0,AP$44),(INDEX($J36:$R36,0,AP$46+1)-INDEX($J36:$R36,0,AP$46))/(INDEX($J$4:$R$4,0,AP$46+1)-INDEX($J$4:$R$4,0,AP$46))+AO51)))</f>
        <v>11.720399172792822</v>
      </c>
    </row>
  </sheetData>
  <mergeCells count="1">
    <mergeCell ref="B2:C2"/>
  </mergeCells>
  <phoneticPr fontId="167" type="noConversion"/>
  <hyperlinks>
    <hyperlink ref="B3" r:id="rId1" xr:uid="{81660256-68E2-4BAC-A233-DB61963DE1A7}"/>
  </hyperlinks>
  <pageMargins left="0.7" right="0.7" top="0.75" bottom="0.75" header="0.3" footer="0.3"/>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21</vt:i4>
      </vt:variant>
      <vt:variant>
        <vt:lpstr>Named Ranges</vt:lpstr>
      </vt:variant>
      <vt:variant>
        <vt:i4>8</vt:i4>
      </vt:variant>
    </vt:vector>
  </HeadingPairs>
  <TitlesOfParts>
    <vt:vector size="29" baseType="lpstr">
      <vt:lpstr>ChangeLog</vt:lpstr>
      <vt:lpstr>REGIONS</vt:lpstr>
      <vt:lpstr>Index_SATIM</vt:lpstr>
      <vt:lpstr>Index_G2E</vt:lpstr>
      <vt:lpstr>Index_E2G</vt:lpstr>
      <vt:lpstr>POP_STATSSA</vt:lpstr>
      <vt:lpstr>DriversGams</vt:lpstr>
      <vt:lpstr>Drivers</vt:lpstr>
      <vt:lpstr>DMD</vt:lpstr>
      <vt:lpstr>ITEMS_AGR</vt:lpstr>
      <vt:lpstr>AGR</vt:lpstr>
      <vt:lpstr>ITEMS_IND</vt:lpstr>
      <vt:lpstr>IND</vt:lpstr>
      <vt:lpstr>ITEMS_RES</vt:lpstr>
      <vt:lpstr>RES</vt:lpstr>
      <vt:lpstr>ITEMS_COM</vt:lpstr>
      <vt:lpstr>COM</vt:lpstr>
      <vt:lpstr>ITEMS_TRA</vt:lpstr>
      <vt:lpstr>FTRA</vt:lpstr>
      <vt:lpstr>PTRA</vt:lpstr>
      <vt:lpstr>OtherTRA</vt:lpstr>
      <vt:lpstr>AGR</vt:lpstr>
      <vt:lpstr>COM</vt:lpstr>
      <vt:lpstr>com.EE.scen</vt:lpstr>
      <vt:lpstr>eps</vt:lpstr>
      <vt:lpstr>IND</vt:lpstr>
      <vt:lpstr>MC_Switch</vt:lpstr>
      <vt:lpstr>RES</vt:lpstr>
      <vt:lpstr>TRA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Luis</dc:creator>
  <dc:description>+ PAMS scenarios</dc:description>
  <cp:lastModifiedBy>Bruno</cp:lastModifiedBy>
  <dcterms:created xsi:type="dcterms:W3CDTF">2011-09-16T10:01:44Z</dcterms:created>
  <dcterms:modified xsi:type="dcterms:W3CDTF">2021-04-09T12:46:39Z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832439601421356</vt:r8>
  </property>
</Properties>
</file>